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DCC9E68A-25A7-4A7F-899D-512257984A18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Cover page" sheetId="43" r:id="rId1"/>
    <sheet name="RAF" sheetId="40" r:id="rId2"/>
    <sheet name="Present Revenue" sheetId="41" r:id="rId3"/>
    <sheet name="kWh" sheetId="42" r:id="rId4"/>
    <sheet name="DEI Sales by Rate" sheetId="26" r:id="rId5"/>
    <sheet name="DEI Sales by Revenue" sheetId="27" r:id="rId6"/>
    <sheet name="Allocators Data orig" sheetId="32" state="hidden" r:id="rId7"/>
    <sheet name="Allocators Data" sheetId="28" r:id="rId8"/>
    <sheet name="Allocators Calc" sheetId="31" r:id="rId9"/>
    <sheet name="Rate Calc Sheet" sheetId="25" r:id="rId10"/>
    <sheet name="LLF Secondary Blocked Energy" sheetId="37" state="hidden" r:id="rId11"/>
    <sheet name="LLF-Demand_kVAR" sheetId="34" r:id="rId12"/>
    <sheet name="HLF-Demand_kVAR" sheetId="35" r:id="rId13"/>
    <sheet name="CSN2-Demand_KVAR" sheetId="38" r:id="rId14"/>
    <sheet name="Spec-Demand_kVAR" sheetId="36" r:id="rId15"/>
    <sheet name="Sheet1" sheetId="39" r:id="rId16"/>
  </sheets>
  <definedNames>
    <definedName name="_xlnm.Print_Area" localSheetId="5">'DEI Sales by Revenue'!$A$1:$G$18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35" l="1"/>
  <c r="G4" i="25" l="1"/>
  <c r="G5" i="25"/>
  <c r="G6" i="25"/>
  <c r="G7" i="25"/>
  <c r="G8" i="25"/>
  <c r="G9" i="25"/>
  <c r="G10" i="25"/>
  <c r="G11" i="25"/>
  <c r="G12" i="25"/>
  <c r="G13" i="25"/>
  <c r="G14" i="25"/>
  <c r="G3" i="25"/>
  <c r="E4" i="25"/>
  <c r="E5" i="25"/>
  <c r="E6" i="25"/>
  <c r="E7" i="25"/>
  <c r="E8" i="25"/>
  <c r="E9" i="25"/>
  <c r="E10" i="25"/>
  <c r="E11" i="25"/>
  <c r="E12" i="25"/>
  <c r="E13" i="25"/>
  <c r="E14" i="25"/>
  <c r="E3" i="25"/>
  <c r="D4" i="25"/>
  <c r="D5" i="25"/>
  <c r="D6" i="25"/>
  <c r="D7" i="25"/>
  <c r="D8" i="25"/>
  <c r="D9" i="25"/>
  <c r="D10" i="25"/>
  <c r="D11" i="25"/>
  <c r="D12" i="25"/>
  <c r="D13" i="25"/>
  <c r="D14" i="25"/>
  <c r="D3" i="25"/>
  <c r="C4" i="25"/>
  <c r="C5" i="25"/>
  <c r="C6" i="25"/>
  <c r="C7" i="25"/>
  <c r="C8" i="25"/>
  <c r="C9" i="25"/>
  <c r="C10" i="25"/>
  <c r="C11" i="25"/>
  <c r="C12" i="25"/>
  <c r="C13" i="25"/>
  <c r="C14" i="25"/>
  <c r="C3" i="25"/>
  <c r="CS17" i="25"/>
  <c r="DE122" i="28"/>
  <c r="DE121" i="28"/>
  <c r="DE120" i="28"/>
  <c r="DE119" i="28"/>
  <c r="DE118" i="28"/>
  <c r="DE117" i="28"/>
  <c r="DE116" i="28"/>
  <c r="DE115" i="28"/>
  <c r="DE114" i="28"/>
  <c r="DE113" i="28"/>
  <c r="DE112" i="28"/>
  <c r="DE111" i="28"/>
  <c r="DE97" i="28"/>
  <c r="DE98" i="28"/>
  <c r="DE99" i="28"/>
  <c r="DE100" i="28"/>
  <c r="DE101" i="28"/>
  <c r="DE102" i="28"/>
  <c r="DE103" i="28"/>
  <c r="DE104" i="28"/>
  <c r="DE105" i="28"/>
  <c r="DE106" i="28"/>
  <c r="DE107" i="28"/>
  <c r="DE96" i="28"/>
  <c r="DP107" i="28"/>
  <c r="DN107" i="28"/>
  <c r="DP106" i="28"/>
  <c r="DN106" i="28"/>
  <c r="DP105" i="28"/>
  <c r="DN105" i="28"/>
  <c r="DP104" i="28"/>
  <c r="DN104" i="28"/>
  <c r="DP103" i="28"/>
  <c r="DN103" i="28"/>
  <c r="DP102" i="28"/>
  <c r="DN102" i="28"/>
  <c r="DP101" i="28"/>
  <c r="DN101" i="28"/>
  <c r="DP100" i="28"/>
  <c r="DN100" i="28"/>
  <c r="DP99" i="28"/>
  <c r="DN99" i="28"/>
  <c r="DP98" i="28"/>
  <c r="DN98" i="28"/>
  <c r="DP97" i="28"/>
  <c r="DN97" i="28"/>
  <c r="DP96" i="28"/>
  <c r="DN96" i="28"/>
  <c r="E15" i="25" l="1"/>
  <c r="D15" i="25"/>
  <c r="C15" i="25"/>
  <c r="G15" i="25"/>
  <c r="DE125" i="28"/>
  <c r="DE126" i="28"/>
  <c r="DE128" i="28"/>
  <c r="DE127" i="28"/>
  <c r="DE134" i="28"/>
  <c r="DE133" i="28"/>
  <c r="DE132" i="28"/>
  <c r="DE130" i="28"/>
  <c r="DE136" i="28"/>
  <c r="DE135" i="28"/>
  <c r="DE131" i="28"/>
  <c r="DE129" i="28"/>
  <c r="G15" i="27" l="1"/>
  <c r="DH108" i="28"/>
  <c r="C42" i="40"/>
  <c r="E38" i="40"/>
  <c r="F38" i="40" s="1"/>
  <c r="E39" i="40"/>
  <c r="F39" i="40" s="1"/>
  <c r="E40" i="40"/>
  <c r="F40" i="40" s="1"/>
  <c r="E41" i="40"/>
  <c r="F41" i="40" s="1"/>
  <c r="E37" i="40"/>
  <c r="F37" i="40" s="1"/>
  <c r="D42" i="40"/>
  <c r="E42" i="40" l="1"/>
  <c r="F42" i="40" s="1"/>
  <c r="E11" i="40"/>
  <c r="E10" i="40"/>
  <c r="E9" i="40"/>
  <c r="E8" i="40"/>
  <c r="E7" i="40"/>
  <c r="C29" i="40"/>
  <c r="C28" i="40"/>
  <c r="C21" i="40"/>
  <c r="C20" i="40"/>
  <c r="C11" i="40" l="1"/>
  <c r="D23" i="40" s="1"/>
  <c r="E15" i="27"/>
  <c r="C9" i="40" s="1"/>
  <c r="D21" i="40" s="1"/>
  <c r="C15" i="27"/>
  <c r="C7" i="40" s="1"/>
  <c r="D19" i="40" s="1"/>
  <c r="AG18" i="41" l="1"/>
  <c r="AD69" i="41"/>
  <c r="AD15" i="41"/>
  <c r="AD23" i="41"/>
  <c r="AD31" i="41"/>
  <c r="AD67" i="40"/>
  <c r="R67" i="40"/>
  <c r="T90" i="41"/>
  <c r="P88" i="41"/>
  <c r="P87" i="41"/>
  <c r="P86" i="41"/>
  <c r="P85" i="41"/>
  <c r="P84" i="41"/>
  <c r="P83" i="41"/>
  <c r="P82" i="41"/>
  <c r="P81" i="41"/>
  <c r="P80" i="41"/>
  <c r="P79" i="41"/>
  <c r="P78" i="41"/>
  <c r="F69" i="41"/>
  <c r="Q68" i="41"/>
  <c r="L68" i="41"/>
  <c r="O68" i="41"/>
  <c r="Q67" i="41"/>
  <c r="L67" i="41"/>
  <c r="K67" i="41"/>
  <c r="P67" i="41" s="1"/>
  <c r="O67" i="41"/>
  <c r="H67" i="41"/>
  <c r="Q66" i="41"/>
  <c r="Q69" i="41" s="1"/>
  <c r="L66" i="41"/>
  <c r="L69" i="41" s="1"/>
  <c r="Q62" i="41"/>
  <c r="Q60" i="41"/>
  <c r="Q58" i="41"/>
  <c r="Q56" i="41"/>
  <c r="L56" i="41"/>
  <c r="Q54" i="41"/>
  <c r="Q52" i="41"/>
  <c r="Q50" i="41"/>
  <c r="P50" i="41"/>
  <c r="Q48" i="41"/>
  <c r="Q45" i="41"/>
  <c r="Q42" i="41"/>
  <c r="Q37" i="41"/>
  <c r="R37" i="41"/>
  <c r="Q36" i="41"/>
  <c r="R36" i="41"/>
  <c r="Q35" i="41"/>
  <c r="R35" i="41"/>
  <c r="Q34" i="41"/>
  <c r="R34" i="41"/>
  <c r="Q33" i="41"/>
  <c r="Q40" i="41" s="1"/>
  <c r="Q29" i="41"/>
  <c r="L29" i="41"/>
  <c r="Q28" i="41"/>
  <c r="Q27" i="41"/>
  <c r="Q26" i="41"/>
  <c r="Q25" i="41"/>
  <c r="Q31" i="41" s="1"/>
  <c r="Q22" i="41"/>
  <c r="P22" i="41"/>
  <c r="O22" i="41"/>
  <c r="M22" i="41"/>
  <c r="Q21" i="41"/>
  <c r="Q20" i="41"/>
  <c r="Q19" i="41"/>
  <c r="L23" i="41"/>
  <c r="C18" i="41"/>
  <c r="L15" i="41"/>
  <c r="Q14" i="41"/>
  <c r="Q13" i="41"/>
  <c r="V68" i="41" l="1"/>
  <c r="J69" i="41"/>
  <c r="R22" i="41"/>
  <c r="T22" i="41" s="1"/>
  <c r="Z90" i="41"/>
  <c r="AA90" i="41" s="1"/>
  <c r="O66" i="41"/>
  <c r="O69" i="41" s="1"/>
  <c r="R89" i="41"/>
  <c r="L31" i="41"/>
  <c r="M67" i="41"/>
  <c r="V66" i="41"/>
  <c r="L40" i="41"/>
  <c r="R67" i="41"/>
  <c r="V67" i="41"/>
  <c r="Q18" i="41"/>
  <c r="Q23" i="41" s="1"/>
  <c r="Q72" i="41" s="1"/>
  <c r="P77" i="41"/>
  <c r="P89" i="41" s="1"/>
  <c r="L72" i="41" l="1"/>
  <c r="T67" i="41"/>
  <c r="U67" i="41" s="1"/>
  <c r="V69" i="41"/>
  <c r="D32" i="40" l="1"/>
  <c r="C32" i="40"/>
  <c r="E31" i="40"/>
  <c r="F31" i="40" s="1"/>
  <c r="E30" i="40"/>
  <c r="F30" i="40" s="1"/>
  <c r="E29" i="40"/>
  <c r="F29" i="40" s="1"/>
  <c r="E28" i="40"/>
  <c r="F28" i="40" s="1"/>
  <c r="E27" i="40"/>
  <c r="C24" i="40"/>
  <c r="E23" i="40"/>
  <c r="F23" i="40" s="1"/>
  <c r="E21" i="40"/>
  <c r="E19" i="40"/>
  <c r="F19" i="40" s="1"/>
  <c r="E32" i="40" l="1"/>
  <c r="F32" i="40" s="1"/>
  <c r="F21" i="40"/>
  <c r="F27" i="40"/>
  <c r="O60" i="40" l="1"/>
  <c r="P60" i="40" s="1"/>
  <c r="R60" i="40" s="1"/>
  <c r="O58" i="40" l="1"/>
  <c r="P58" i="40" s="1"/>
  <c r="R58" i="40" s="1"/>
  <c r="O56" i="40" l="1"/>
  <c r="P56" i="40" s="1"/>
  <c r="R56" i="40" s="1"/>
  <c r="O54" i="40" l="1"/>
  <c r="P54" i="40" s="1"/>
  <c r="R54" i="40" s="1"/>
  <c r="Q62" i="40" l="1"/>
  <c r="O52" i="40" l="1"/>
  <c r="P52" i="40" s="1"/>
  <c r="R52" i="40" s="1"/>
  <c r="O50" i="40" l="1"/>
  <c r="P50" i="40" s="1"/>
  <c r="R50" i="40" s="1"/>
  <c r="O48" i="40" l="1"/>
  <c r="P48" i="40" s="1"/>
  <c r="R48" i="40" s="1"/>
  <c r="O46" i="40" l="1"/>
  <c r="P46" i="40" s="1"/>
  <c r="R46" i="40" s="1"/>
  <c r="O43" i="40" l="1"/>
  <c r="P43" i="40" s="1"/>
  <c r="R43" i="40" s="1"/>
  <c r="AO37" i="40" l="1"/>
  <c r="AO36" i="40"/>
  <c r="AN37" i="40"/>
  <c r="AN36" i="40"/>
  <c r="AN17" i="40"/>
  <c r="AN16" i="40"/>
  <c r="AN15" i="40"/>
  <c r="AN8" i="40"/>
  <c r="AN7" i="40"/>
  <c r="AI37" i="40"/>
  <c r="AK37" i="40" s="1"/>
  <c r="AI36" i="40"/>
  <c r="AK36" i="40" s="1"/>
  <c r="AH17" i="40"/>
  <c r="W40" i="40"/>
  <c r="K40" i="40"/>
  <c r="O40" i="40" l="1"/>
  <c r="P40" i="40" s="1"/>
  <c r="R40" i="40" s="1"/>
  <c r="AH16" i="40" l="1"/>
  <c r="AH15" i="40"/>
  <c r="AH14" i="40"/>
  <c r="AH13" i="40"/>
  <c r="AH18" i="40" l="1"/>
  <c r="K14" i="40"/>
  <c r="AJ13" i="40" l="1"/>
  <c r="AJ16" i="40"/>
  <c r="AJ15" i="40"/>
  <c r="AJ14" i="40"/>
  <c r="AJ17" i="40"/>
  <c r="AH7" i="40"/>
  <c r="AH8" i="40" l="1"/>
  <c r="AH9" i="40" s="1"/>
  <c r="AJ8" i="40" s="1"/>
  <c r="AJ18" i="40"/>
  <c r="AJ7" i="40" l="1"/>
  <c r="AJ9" i="40" s="1"/>
  <c r="AH25" i="40" l="1"/>
  <c r="AH21" i="40"/>
  <c r="AH23" i="40"/>
  <c r="AH22" i="40"/>
  <c r="AH24" i="40"/>
  <c r="AH31" i="40" l="1"/>
  <c r="AH32" i="40"/>
  <c r="AH33" i="40"/>
  <c r="AH34" i="40"/>
  <c r="O34" i="40" l="1"/>
  <c r="M9" i="40"/>
  <c r="O17" i="40"/>
  <c r="P17" i="40" s="1"/>
  <c r="K21" i="40"/>
  <c r="O22" i="40"/>
  <c r="K23" i="40"/>
  <c r="O23" i="40"/>
  <c r="K24" i="40"/>
  <c r="O24" i="40"/>
  <c r="P24" i="40"/>
  <c r="R24" i="40" s="1"/>
  <c r="AI24" i="40" s="1"/>
  <c r="K25" i="40"/>
  <c r="K26" i="40"/>
  <c r="AI26" i="40"/>
  <c r="O26" i="40" l="1"/>
  <c r="AH26" i="40"/>
  <c r="AK24" i="40"/>
  <c r="P26" i="40"/>
  <c r="M27" i="40"/>
  <c r="K22" i="40"/>
  <c r="P23" i="40"/>
  <c r="R23" i="40" s="1"/>
  <c r="AI23" i="40" s="1"/>
  <c r="AK23" i="40" l="1"/>
  <c r="AH27" i="40"/>
  <c r="AJ26" i="40" s="1"/>
  <c r="AK26" i="40"/>
  <c r="P22" i="40"/>
  <c r="R22" i="40" s="1"/>
  <c r="AI22" i="40" s="1"/>
  <c r="AK22" i="40" l="1"/>
  <c r="AJ21" i="40"/>
  <c r="AJ23" i="40"/>
  <c r="AJ22" i="40"/>
  <c r="AJ25" i="40"/>
  <c r="AJ24" i="40"/>
  <c r="J62" i="40"/>
  <c r="AJ27" i="40" l="1"/>
  <c r="AH35" i="40" l="1"/>
  <c r="AH38" i="40" s="1"/>
  <c r="AJ35" i="40" s="1"/>
  <c r="M62" i="40"/>
  <c r="K35" i="40"/>
  <c r="I62" i="40"/>
  <c r="O35" i="40"/>
  <c r="M38" i="40"/>
  <c r="AJ37" i="40" l="1"/>
  <c r="AJ36" i="40"/>
  <c r="AJ34" i="40"/>
  <c r="AJ31" i="40"/>
  <c r="AJ33" i="40"/>
  <c r="AJ32" i="40"/>
  <c r="AH40" i="40"/>
  <c r="AO26" i="40"/>
  <c r="W26" i="40"/>
  <c r="W24" i="40"/>
  <c r="AA17" i="40"/>
  <c r="AB17" i="40" s="1"/>
  <c r="F11" i="40"/>
  <c r="Y9" i="40"/>
  <c r="E12" i="40"/>
  <c r="F7" i="40"/>
  <c r="V62" i="40" l="1"/>
  <c r="P35" i="40"/>
  <c r="AB26" i="40"/>
  <c r="AN26" i="40"/>
  <c r="AJ38" i="40"/>
  <c r="AA26" i="40"/>
  <c r="F9" i="40"/>
  <c r="A55" i="26"/>
  <c r="AQ26" i="40" l="1"/>
  <c r="AA76" i="28" l="1"/>
  <c r="AI76" i="28"/>
  <c r="BT76" i="28"/>
  <c r="BU76" i="28"/>
  <c r="BV76" i="28"/>
  <c r="BX76" i="28"/>
  <c r="BY76" i="28"/>
  <c r="BZ76" i="28"/>
  <c r="CK76" i="28"/>
  <c r="CR76" i="28"/>
  <c r="CU76" i="28"/>
  <c r="DH14" i="28" l="1"/>
  <c r="DH74" i="28"/>
  <c r="F15" i="27" l="1"/>
  <c r="DH44" i="28"/>
  <c r="D15" i="27"/>
  <c r="C8" i="40" s="1"/>
  <c r="DH59" i="28" l="1"/>
  <c r="C10" i="40"/>
  <c r="D20" i="40"/>
  <c r="F8" i="40"/>
  <c r="DH29" i="28"/>
  <c r="E18" i="27"/>
  <c r="C24" i="27"/>
  <c r="C26" i="27" s="1"/>
  <c r="D22" i="40" l="1"/>
  <c r="E22" i="40" s="1"/>
  <c r="F22" i="40" s="1"/>
  <c r="F10" i="40"/>
  <c r="C12" i="40"/>
  <c r="D8" i="40" s="1"/>
  <c r="E20" i="40"/>
  <c r="D24" i="40"/>
  <c r="Z18" i="41"/>
  <c r="AB18" i="41" s="1"/>
  <c r="F24" i="27"/>
  <c r="F26" i="27" s="1"/>
  <c r="D26" i="27"/>
  <c r="D7" i="40" l="1"/>
  <c r="F12" i="40"/>
  <c r="D11" i="40"/>
  <c r="D10" i="40"/>
  <c r="D12" i="40"/>
  <c r="D9" i="40"/>
  <c r="F20" i="40"/>
  <c r="E24" i="40"/>
  <c r="F24" i="40" s="1"/>
  <c r="Z19" i="41"/>
  <c r="AB19" i="41" s="1"/>
  <c r="Z34" i="41"/>
  <c r="AB34" i="41" s="1"/>
  <c r="Z26" i="41"/>
  <c r="AB26" i="41" s="1"/>
  <c r="Z36" i="41"/>
  <c r="AB36" i="41" s="1"/>
  <c r="Z21" i="41"/>
  <c r="AB21" i="41" s="1"/>
  <c r="Z28" i="41"/>
  <c r="AB28" i="41" s="1"/>
  <c r="E24" i="27"/>
  <c r="E26" i="27" s="1"/>
  <c r="Z20" i="41" l="1"/>
  <c r="AB20" i="41" s="1"/>
  <c r="Z27" i="41"/>
  <c r="AB27" i="41" s="1"/>
  <c r="Z35" i="41"/>
  <c r="AB35" i="41" s="1"/>
  <c r="A52" i="26" l="1"/>
  <c r="W41" i="35" l="1"/>
  <c r="L29" i="26" l="1"/>
  <c r="L42" i="26" s="1"/>
  <c r="BW38" i="28" l="1"/>
  <c r="BW33" i="28"/>
  <c r="BW34" i="28"/>
  <c r="BW35" i="28"/>
  <c r="BW36" i="28"/>
  <c r="BW37" i="28"/>
  <c r="BW41" i="28"/>
  <c r="BW42" i="28"/>
  <c r="BW43" i="28"/>
  <c r="BW44" i="28"/>
  <c r="BQ29" i="28"/>
  <c r="BP25" i="28"/>
  <c r="BO25" i="28"/>
  <c r="BN25" i="28"/>
  <c r="BN18" i="28"/>
  <c r="BQ18" i="28" s="1"/>
  <c r="BP19" i="28"/>
  <c r="BN19" i="28"/>
  <c r="BP20" i="28"/>
  <c r="BN20" i="28"/>
  <c r="BQ20" i="28" s="1"/>
  <c r="BP21" i="28"/>
  <c r="BO21" i="28"/>
  <c r="BN21" i="28"/>
  <c r="BP22" i="28"/>
  <c r="BO22" i="28"/>
  <c r="BN22" i="28"/>
  <c r="BP23" i="28"/>
  <c r="BO23" i="28"/>
  <c r="BN23" i="28"/>
  <c r="BP24" i="28"/>
  <c r="BO24" i="28"/>
  <c r="BN24" i="28"/>
  <c r="BW39" i="28"/>
  <c r="AJ29" i="28"/>
  <c r="AM29" i="28" s="1"/>
  <c r="AL28" i="28"/>
  <c r="AK28" i="28"/>
  <c r="AJ28" i="28"/>
  <c r="AL27" i="28"/>
  <c r="AK27" i="28"/>
  <c r="AJ27" i="28"/>
  <c r="AJ26" i="28"/>
  <c r="AL39" i="28"/>
  <c r="AK39" i="28"/>
  <c r="AJ39" i="28"/>
  <c r="AJ24" i="28"/>
  <c r="AL38" i="28"/>
  <c r="AJ38" i="28"/>
  <c r="AL23" i="28"/>
  <c r="AK23" i="28"/>
  <c r="AJ23" i="28"/>
  <c r="BW76" i="28" l="1"/>
  <c r="BQ22" i="28"/>
  <c r="BQ24" i="28"/>
  <c r="AM23" i="28"/>
  <c r="BQ21" i="28"/>
  <c r="BQ25" i="28"/>
  <c r="BQ23" i="28"/>
  <c r="BQ19" i="28"/>
  <c r="BV2" i="31"/>
  <c r="BV17" i="31" s="1"/>
  <c r="BU2" i="31"/>
  <c r="BT2" i="31"/>
  <c r="BS2" i="31"/>
  <c r="BR2" i="31"/>
  <c r="BR17" i="31" s="1"/>
  <c r="BQ2" i="31"/>
  <c r="BU17" i="31"/>
  <c r="BT17" i="31"/>
  <c r="BS17" i="31"/>
  <c r="BQ17" i="31"/>
  <c r="BQ16" i="31"/>
  <c r="DC1" i="25"/>
  <c r="DD1" i="25"/>
  <c r="DE1" i="25"/>
  <c r="DF1" i="25"/>
  <c r="DG1" i="25"/>
  <c r="DH1" i="25"/>
  <c r="DI1" i="25"/>
  <c r="DJ1" i="25"/>
  <c r="AL37" i="28"/>
  <c r="AJ21" i="28"/>
  <c r="AJ19" i="28"/>
  <c r="DP37" i="28"/>
  <c r="DO37" i="28"/>
  <c r="DN37" i="28"/>
  <c r="DM37" i="28"/>
  <c r="DL37" i="28"/>
  <c r="DK37" i="28"/>
  <c r="DP36" i="28"/>
  <c r="DO36" i="28"/>
  <c r="DN36" i="28"/>
  <c r="DM36" i="28"/>
  <c r="DL36" i="28"/>
  <c r="DK36" i="28"/>
  <c r="DP35" i="28"/>
  <c r="DO35" i="28"/>
  <c r="DN35" i="28"/>
  <c r="DM35" i="28"/>
  <c r="DL35" i="28"/>
  <c r="DK35" i="28"/>
  <c r="DP34" i="28"/>
  <c r="DO34" i="28"/>
  <c r="DN34" i="28"/>
  <c r="DM34" i="28"/>
  <c r="DL34" i="28"/>
  <c r="DK34" i="28"/>
  <c r="DL33" i="28"/>
  <c r="DK33" i="28"/>
  <c r="DQ33" i="28" l="1"/>
  <c r="DQ34" i="28"/>
  <c r="DQ37" i="28"/>
  <c r="DQ36" i="28"/>
  <c r="DQ35" i="28"/>
  <c r="F15" i="25" l="1"/>
  <c r="DK18" i="28" l="1"/>
  <c r="DJ18" i="28"/>
  <c r="DP4" i="28" l="1"/>
  <c r="DP5" i="28"/>
  <c r="DP6" i="28"/>
  <c r="DP7" i="28"/>
  <c r="DP8" i="28"/>
  <c r="DP9" i="28"/>
  <c r="DP10" i="28"/>
  <c r="DP11" i="28"/>
  <c r="DP12" i="28"/>
  <c r="DP13" i="28"/>
  <c r="DP14" i="28"/>
  <c r="DP3" i="28" l="1"/>
  <c r="D33" i="28" l="1"/>
  <c r="D34" i="28"/>
  <c r="D35" i="28"/>
  <c r="D36" i="28"/>
  <c r="D37" i="28"/>
  <c r="D38" i="28"/>
  <c r="D39" i="28"/>
  <c r="D40" i="28"/>
  <c r="D41" i="28"/>
  <c r="D42" i="28"/>
  <c r="D43" i="28"/>
  <c r="D44" i="28"/>
  <c r="DM18" i="28" l="1"/>
  <c r="DD1" i="28" l="1"/>
  <c r="DC1" i="28"/>
  <c r="DB1" i="28"/>
  <c r="DA1" i="28"/>
  <c r="CZ1" i="28"/>
  <c r="CY1" i="28"/>
  <c r="CX1" i="28"/>
  <c r="CW1" i="28"/>
  <c r="A19" i="28" l="1"/>
  <c r="A29" i="28" l="1"/>
  <c r="A28" i="28"/>
  <c r="A26" i="28"/>
  <c r="A27" i="28" l="1"/>
  <c r="A25" i="28" l="1"/>
  <c r="A24" i="28" l="1"/>
  <c r="A23" i="28" l="1"/>
  <c r="A21" i="28" l="1"/>
  <c r="A20" i="28" l="1"/>
  <c r="A18" i="28" l="1"/>
  <c r="AE20" i="28" l="1"/>
  <c r="AB35" i="28" l="1"/>
  <c r="AB36" i="28"/>
  <c r="AB40" i="28"/>
  <c r="AB43" i="28"/>
  <c r="AE29" i="28" l="1"/>
  <c r="AE28" i="28"/>
  <c r="AE26" i="28"/>
  <c r="AE18" i="28"/>
  <c r="AE19" i="28"/>
  <c r="AE22" i="28"/>
  <c r="AE23" i="28"/>
  <c r="AE24" i="28"/>
  <c r="AE25" i="28"/>
  <c r="AE21" i="28"/>
  <c r="X15" i="35"/>
  <c r="AD34" i="28"/>
  <c r="AD36" i="28"/>
  <c r="AD37" i="28"/>
  <c r="AD38" i="28"/>
  <c r="AD39" i="28"/>
  <c r="AD40" i="28"/>
  <c r="AD41" i="28"/>
  <c r="AD43" i="28"/>
  <c r="AD44" i="28"/>
  <c r="AD33" i="28"/>
  <c r="D20" i="36"/>
  <c r="D21" i="36"/>
  <c r="D22" i="36"/>
  <c r="D23" i="36"/>
  <c r="D24" i="36"/>
  <c r="D25" i="36"/>
  <c r="D26" i="36"/>
  <c r="D27" i="36"/>
  <c r="D28" i="36"/>
  <c r="D29" i="36"/>
  <c r="D30" i="36"/>
  <c r="D19" i="36"/>
  <c r="W19" i="35" l="1"/>
  <c r="W27" i="35"/>
  <c r="W25" i="35"/>
  <c r="W24" i="35"/>
  <c r="W21" i="35"/>
  <c r="AD35" i="28"/>
  <c r="W22" i="35"/>
  <c r="W23" i="35"/>
  <c r="W29" i="35"/>
  <c r="W28" i="35"/>
  <c r="AD42" i="28"/>
  <c r="W20" i="35"/>
  <c r="W26" i="35"/>
  <c r="W30" i="35"/>
  <c r="V15" i="35"/>
  <c r="W15" i="35"/>
  <c r="Q20" i="36" l="1"/>
  <c r="Q21" i="36"/>
  <c r="Q22" i="36"/>
  <c r="Q23" i="36"/>
  <c r="Q24" i="36"/>
  <c r="Q25" i="36"/>
  <c r="Q26" i="36"/>
  <c r="Q27" i="36"/>
  <c r="Q28" i="36"/>
  <c r="Q29" i="36"/>
  <c r="Q19" i="36"/>
  <c r="R20" i="36"/>
  <c r="Z20" i="36" s="1"/>
  <c r="R21" i="36"/>
  <c r="Z21" i="36" s="1"/>
  <c r="R22" i="36"/>
  <c r="Z22" i="36" s="1"/>
  <c r="R23" i="36"/>
  <c r="Z23" i="36" s="1"/>
  <c r="R24" i="36"/>
  <c r="Z24" i="36" s="1"/>
  <c r="R25" i="36"/>
  <c r="Z25" i="36" s="1"/>
  <c r="R26" i="36"/>
  <c r="Z26" i="36" s="1"/>
  <c r="R27" i="36"/>
  <c r="Z27" i="36" s="1"/>
  <c r="R28" i="36"/>
  <c r="Z28" i="36" s="1"/>
  <c r="R29" i="36"/>
  <c r="Z29" i="36" s="1"/>
  <c r="R30" i="36"/>
  <c r="Z30" i="36" s="1"/>
  <c r="R19" i="36"/>
  <c r="Z19" i="36" s="1"/>
  <c r="I11" i="36"/>
  <c r="I10" i="36"/>
  <c r="I9" i="36"/>
  <c r="I8" i="36"/>
  <c r="I7" i="36"/>
  <c r="I6" i="36"/>
  <c r="I5" i="36"/>
  <c r="I4" i="36"/>
  <c r="I3" i="36"/>
  <c r="I14" i="36"/>
  <c r="I13" i="36"/>
  <c r="I12" i="36"/>
  <c r="C47" i="34" l="1"/>
  <c r="D31" i="34" l="1"/>
  <c r="I31" i="34"/>
  <c r="Q31" i="34"/>
  <c r="E15" i="34"/>
  <c r="C15" i="34"/>
  <c r="E31" i="34"/>
  <c r="K31" i="34"/>
  <c r="J31" i="34"/>
  <c r="C31" i="34"/>
  <c r="P31" i="34" l="1"/>
  <c r="D47" i="34" l="1"/>
  <c r="D15" i="34" l="1"/>
  <c r="D44" i="35" l="1"/>
  <c r="D41" i="35"/>
  <c r="D37" i="35"/>
  <c r="D36" i="35"/>
  <c r="D35" i="35"/>
  <c r="O45" i="35"/>
  <c r="O44" i="35"/>
  <c r="O43" i="35"/>
  <c r="O42" i="35"/>
  <c r="O41" i="35"/>
  <c r="O40" i="35"/>
  <c r="O39" i="35"/>
  <c r="O38" i="35"/>
  <c r="O37" i="35"/>
  <c r="O36" i="35"/>
  <c r="O35" i="35"/>
  <c r="AB38" i="28" l="1"/>
  <c r="D39" i="35"/>
  <c r="AB37" i="28"/>
  <c r="D38" i="35"/>
  <c r="AB42" i="28"/>
  <c r="D43" i="35"/>
  <c r="AB41" i="28"/>
  <c r="D42" i="35"/>
  <c r="AB39" i="28"/>
  <c r="D40" i="35"/>
  <c r="D45" i="35"/>
  <c r="AB44" i="28"/>
  <c r="O34" i="35"/>
  <c r="E34" i="35" l="1"/>
  <c r="F34" i="35"/>
  <c r="D34" i="35" l="1"/>
  <c r="D46" i="35" s="1"/>
  <c r="D50" i="35" s="1"/>
  <c r="A54" i="26" l="1"/>
  <c r="AU50" i="26"/>
  <c r="AU52" i="26" l="1"/>
  <c r="AU46" i="26"/>
  <c r="AU47" i="26"/>
  <c r="AU48" i="26"/>
  <c r="AU49" i="26"/>
  <c r="AS55" i="26" l="1"/>
  <c r="AU53" i="26" l="1"/>
  <c r="AU43" i="26"/>
  <c r="AU44" i="26"/>
  <c r="AU45" i="26"/>
  <c r="C31" i="36" l="1"/>
  <c r="D31" i="36"/>
  <c r="I15" i="36" l="1"/>
  <c r="Y31" i="36"/>
  <c r="J15" i="36"/>
  <c r="Z31" i="36"/>
  <c r="C15" i="36"/>
  <c r="U31" i="36"/>
  <c r="F15" i="36"/>
  <c r="I31" i="36"/>
  <c r="V31" i="36"/>
  <c r="N31" i="36"/>
  <c r="Q15" i="36"/>
  <c r="R15" i="36"/>
  <c r="J31" i="36"/>
  <c r="M15" i="36"/>
  <c r="N15" i="36"/>
  <c r="R31" i="36"/>
  <c r="U15" i="36"/>
  <c r="V15" i="36"/>
  <c r="AN2" i="26"/>
  <c r="AN29" i="26" s="1"/>
  <c r="AN42" i="26" s="1"/>
  <c r="AK2" i="26"/>
  <c r="AK29" i="26" s="1"/>
  <c r="AK42" i="26" s="1"/>
  <c r="DF16" i="25"/>
  <c r="DF31" i="25" s="1"/>
  <c r="DF46" i="25" s="1"/>
  <c r="DF61" i="25" s="1"/>
  <c r="CZ31" i="28" l="1"/>
  <c r="CZ46" i="28" s="1"/>
  <c r="CZ61" i="28" s="1"/>
  <c r="AE47" i="28"/>
  <c r="AE62" i="28" s="1"/>
  <c r="AD47" i="28"/>
  <c r="AD62" i="28" s="1"/>
  <c r="AE46" i="28"/>
  <c r="AE61" i="28" s="1"/>
  <c r="AE16" i="28"/>
  <c r="AE76" i="28" s="1"/>
  <c r="C32" i="42" s="1"/>
  <c r="AD16" i="28"/>
  <c r="AD17" i="32"/>
  <c r="AD32" i="32" s="1"/>
  <c r="AD47" i="32" s="1"/>
  <c r="AD62" i="32" s="1"/>
  <c r="AC17" i="32"/>
  <c r="AC32" i="32" s="1"/>
  <c r="AC47" i="32" s="1"/>
  <c r="AC62" i="32" s="1"/>
  <c r="AD16" i="32"/>
  <c r="AD31" i="32" s="1"/>
  <c r="AD46" i="32" s="1"/>
  <c r="AD61" i="32" s="1"/>
  <c r="AD31" i="28" l="1"/>
  <c r="AD46" i="28" s="1"/>
  <c r="AD61" i="28" s="1"/>
  <c r="AD76" i="28"/>
  <c r="C31" i="42" s="1"/>
  <c r="EU16" i="32"/>
  <c r="EU31" i="32" s="1"/>
  <c r="EU46" i="32" s="1"/>
  <c r="EU61" i="32" s="1"/>
  <c r="DC16" i="25" l="1"/>
  <c r="DC31" i="25" s="1"/>
  <c r="DC46" i="25" s="1"/>
  <c r="DC61" i="25" s="1"/>
  <c r="AK32" i="25"/>
  <c r="AK47" i="25" s="1"/>
  <c r="AK62" i="25" s="1"/>
  <c r="AJ32" i="25"/>
  <c r="AJ47" i="25" s="1"/>
  <c r="AJ62" i="25" s="1"/>
  <c r="AK31" i="25"/>
  <c r="AK46" i="25" s="1"/>
  <c r="AK61" i="25" s="1"/>
  <c r="CW31" i="28"/>
  <c r="CW46" i="28" s="1"/>
  <c r="CW61" i="28" s="1"/>
  <c r="CW76" i="28" l="1"/>
  <c r="AB17" i="31"/>
  <c r="AB47" i="31" s="1"/>
  <c r="AB62" i="31" s="1"/>
  <c r="AA17" i="31"/>
  <c r="AA47" i="31" s="1"/>
  <c r="AA62" i="31" s="1"/>
  <c r="AB16" i="31"/>
  <c r="AB46" i="31" s="1"/>
  <c r="AB61" i="31" s="1"/>
  <c r="ER16" i="32"/>
  <c r="ER31" i="32" s="1"/>
  <c r="ER46" i="32" s="1"/>
  <c r="ER61" i="32" s="1"/>
  <c r="AD89" i="28" l="1"/>
  <c r="AD88" i="28"/>
  <c r="AD86" i="28"/>
  <c r="AD85" i="28"/>
  <c r="AD84" i="28"/>
  <c r="AD82" i="28"/>
  <c r="AD81" i="28"/>
  <c r="AD80" i="28"/>
  <c r="AD79" i="28" l="1"/>
  <c r="AD83" i="28"/>
  <c r="AD87" i="28"/>
  <c r="AD90" i="28"/>
  <c r="AC77" i="32" l="1"/>
  <c r="AC79" i="32" l="1"/>
  <c r="AC83" i="32"/>
  <c r="AC78" i="32"/>
  <c r="AC82" i="32"/>
  <c r="AC86" i="32"/>
  <c r="AC87" i="32"/>
  <c r="AC81" i="32"/>
  <c r="AC85" i="32"/>
  <c r="AC80" i="32"/>
  <c r="AC84" i="32"/>
  <c r="AC88" i="32"/>
  <c r="CW17" i="25" l="1"/>
  <c r="CW32" i="25" s="1"/>
  <c r="CW47" i="25" s="1"/>
  <c r="CW62" i="25" s="1"/>
  <c r="CV17" i="25"/>
  <c r="CV32" i="25" s="1"/>
  <c r="CV47" i="25" s="1"/>
  <c r="CV62" i="25" s="1"/>
  <c r="CU17" i="25"/>
  <c r="CU32" i="25" s="1"/>
  <c r="CU47" i="25" s="1"/>
  <c r="CU62" i="25" s="1"/>
  <c r="CT17" i="25"/>
  <c r="CT32" i="25" s="1"/>
  <c r="CT47" i="25" s="1"/>
  <c r="CT62" i="25" s="1"/>
  <c r="CS32" i="25"/>
  <c r="CS47" i="25" s="1"/>
  <c r="CS62" i="25" s="1"/>
  <c r="CR17" i="25"/>
  <c r="CR32" i="25" s="1"/>
  <c r="CR47" i="25" s="1"/>
  <c r="CR62" i="25" s="1"/>
  <c r="CU16" i="25"/>
  <c r="CU31" i="25" s="1"/>
  <c r="CU46" i="25" s="1"/>
  <c r="CU61" i="25" s="1"/>
  <c r="AH2" i="26"/>
  <c r="AH29" i="26" s="1"/>
  <c r="CU17" i="37"/>
  <c r="CU32" i="37" s="1"/>
  <c r="CU47" i="37" s="1"/>
  <c r="CU62" i="37" s="1"/>
  <c r="CT17" i="37"/>
  <c r="CT32" i="37" s="1"/>
  <c r="CT47" i="37" s="1"/>
  <c r="CT62" i="37" s="1"/>
  <c r="CS17" i="37"/>
  <c r="CS32" i="37" s="1"/>
  <c r="CS47" i="37" s="1"/>
  <c r="CS62" i="37" s="1"/>
  <c r="CR17" i="37"/>
  <c r="CR32" i="37" s="1"/>
  <c r="CR47" i="37" s="1"/>
  <c r="CR62" i="37" s="1"/>
  <c r="CQ17" i="37"/>
  <c r="CQ32" i="37" s="1"/>
  <c r="CQ47" i="37" s="1"/>
  <c r="CQ62" i="37" s="1"/>
  <c r="CP17" i="37"/>
  <c r="CP32" i="37" s="1"/>
  <c r="CP47" i="37" s="1"/>
  <c r="CP62" i="37" s="1"/>
  <c r="CP16" i="37"/>
  <c r="CP31" i="37" s="1"/>
  <c r="CP46" i="37" s="1"/>
  <c r="CP61" i="37" s="1"/>
  <c r="CJ16" i="37"/>
  <c r="CJ31" i="37" s="1"/>
  <c r="CJ46" i="37" s="1"/>
  <c r="CJ61" i="37" s="1"/>
  <c r="CJ17" i="37"/>
  <c r="CJ32" i="37" s="1"/>
  <c r="CJ47" i="37" s="1"/>
  <c r="CJ62" i="37" s="1"/>
  <c r="CK17" i="37"/>
  <c r="CK32" i="37" s="1"/>
  <c r="CK47" i="37" s="1"/>
  <c r="CK62" i="37" s="1"/>
  <c r="CL17" i="37"/>
  <c r="CL32" i="37" s="1"/>
  <c r="CL47" i="37" s="1"/>
  <c r="CL62" i="37" s="1"/>
  <c r="CM17" i="37"/>
  <c r="CM32" i="37" s="1"/>
  <c r="CM47" i="37" s="1"/>
  <c r="CM62" i="37" s="1"/>
  <c r="CN17" i="37"/>
  <c r="CN32" i="37" s="1"/>
  <c r="CN47" i="37" s="1"/>
  <c r="CN62" i="37" s="1"/>
  <c r="CO17" i="37"/>
  <c r="CO32" i="37" s="1"/>
  <c r="CO47" i="37" s="1"/>
  <c r="CO62" i="37" s="1"/>
  <c r="V2" i="26" l="1"/>
  <c r="V29" i="26" s="1"/>
  <c r="CE17" i="25"/>
  <c r="CE32" i="25" s="1"/>
  <c r="CE47" i="25" s="1"/>
  <c r="CE62" i="25" s="1"/>
  <c r="CD17" i="25"/>
  <c r="CD32" i="25" s="1"/>
  <c r="CD47" i="25" s="1"/>
  <c r="CD62" i="25" s="1"/>
  <c r="CC17" i="25"/>
  <c r="CC32" i="25" s="1"/>
  <c r="CC47" i="25" s="1"/>
  <c r="CC62" i="25" s="1"/>
  <c r="CB17" i="25"/>
  <c r="CB32" i="25" s="1"/>
  <c r="CB47" i="25" s="1"/>
  <c r="CB62" i="25" s="1"/>
  <c r="CA17" i="25"/>
  <c r="CA32" i="25" s="1"/>
  <c r="CA47" i="25" s="1"/>
  <c r="CA62" i="25" s="1"/>
  <c r="BZ17" i="25"/>
  <c r="BZ32" i="25" s="1"/>
  <c r="BZ47" i="25" s="1"/>
  <c r="BZ62" i="25" s="1"/>
  <c r="BZ16" i="25"/>
  <c r="BZ31" i="25" s="1"/>
  <c r="BZ46" i="25" s="1"/>
  <c r="BZ61" i="25" s="1"/>
  <c r="DO17" i="32" l="1"/>
  <c r="DO32" i="32" s="1"/>
  <c r="DO47" i="32" s="1"/>
  <c r="DO62" i="32" s="1"/>
  <c r="DN17" i="32"/>
  <c r="DN32" i="32" s="1"/>
  <c r="DN47" i="32" s="1"/>
  <c r="DN62" i="32" s="1"/>
  <c r="DM17" i="32"/>
  <c r="DM32" i="32" s="1"/>
  <c r="DM47" i="32" s="1"/>
  <c r="DM62" i="32" s="1"/>
  <c r="DL17" i="32"/>
  <c r="DL32" i="32" s="1"/>
  <c r="DL47" i="32" s="1"/>
  <c r="DL62" i="32" s="1"/>
  <c r="DK17" i="32"/>
  <c r="DK32" i="32" s="1"/>
  <c r="DK47" i="32" s="1"/>
  <c r="DK62" i="32" s="1"/>
  <c r="DJ17" i="32"/>
  <c r="DJ32" i="32" s="1"/>
  <c r="DJ47" i="32" s="1"/>
  <c r="DJ62" i="32" s="1"/>
  <c r="DJ16" i="32"/>
  <c r="DJ31" i="32" s="1"/>
  <c r="DJ46" i="32" s="1"/>
  <c r="DJ61" i="32" s="1"/>
  <c r="C18" i="38" l="1"/>
  <c r="B18" i="38"/>
  <c r="B31" i="35" l="1"/>
  <c r="P16" i="37" l="1"/>
  <c r="P31" i="37" s="1"/>
  <c r="P46" i="37" s="1"/>
  <c r="P61" i="37" s="1"/>
  <c r="P17" i="37"/>
  <c r="P32" i="37" s="1"/>
  <c r="P47" i="37" s="1"/>
  <c r="P62" i="37" s="1"/>
  <c r="Q17" i="37"/>
  <c r="Q32" i="37" s="1"/>
  <c r="Q47" i="37" s="1"/>
  <c r="Q62" i="37" s="1"/>
  <c r="CI17" i="37"/>
  <c r="CI32" i="37" s="1"/>
  <c r="CI47" i="37" s="1"/>
  <c r="CI62" i="37" s="1"/>
  <c r="CH17" i="37"/>
  <c r="CH32" i="37" s="1"/>
  <c r="CH47" i="37" s="1"/>
  <c r="CH62" i="37" s="1"/>
  <c r="CG17" i="37"/>
  <c r="CG32" i="37" s="1"/>
  <c r="CG47" i="37" s="1"/>
  <c r="CG62" i="37" s="1"/>
  <c r="CF17" i="37"/>
  <c r="CF32" i="37" s="1"/>
  <c r="CF47" i="37" s="1"/>
  <c r="CF62" i="37" s="1"/>
  <c r="CE17" i="37"/>
  <c r="CE32" i="37" s="1"/>
  <c r="CE47" i="37" s="1"/>
  <c r="CE62" i="37" s="1"/>
  <c r="CD17" i="37"/>
  <c r="CD32" i="37" s="1"/>
  <c r="CD47" i="37" s="1"/>
  <c r="CD62" i="37" s="1"/>
  <c r="CC17" i="37"/>
  <c r="CC32" i="37" s="1"/>
  <c r="CC47" i="37" s="1"/>
  <c r="CC62" i="37" s="1"/>
  <c r="CB17" i="37"/>
  <c r="CB32" i="37" s="1"/>
  <c r="CB47" i="37" s="1"/>
  <c r="CB62" i="37" s="1"/>
  <c r="CA17" i="37"/>
  <c r="CA32" i="37" s="1"/>
  <c r="CA47" i="37" s="1"/>
  <c r="CA62" i="37" s="1"/>
  <c r="BZ17" i="37"/>
  <c r="BZ32" i="37" s="1"/>
  <c r="BZ47" i="37" s="1"/>
  <c r="BZ62" i="37" s="1"/>
  <c r="BY17" i="37"/>
  <c r="BY32" i="37" s="1"/>
  <c r="BY47" i="37" s="1"/>
  <c r="BY62" i="37" s="1"/>
  <c r="BX17" i="37"/>
  <c r="BX32" i="37" s="1"/>
  <c r="BX47" i="37" s="1"/>
  <c r="BX62" i="37" s="1"/>
  <c r="BW17" i="37"/>
  <c r="BW32" i="37" s="1"/>
  <c r="BW47" i="37" s="1"/>
  <c r="BW62" i="37" s="1"/>
  <c r="BV17" i="37"/>
  <c r="BV32" i="37" s="1"/>
  <c r="BV47" i="37" s="1"/>
  <c r="BV62" i="37" s="1"/>
  <c r="BU17" i="37"/>
  <c r="BU32" i="37" s="1"/>
  <c r="BU47" i="37" s="1"/>
  <c r="BU62" i="37" s="1"/>
  <c r="BT17" i="37"/>
  <c r="BT32" i="37" s="1"/>
  <c r="BT47" i="37" s="1"/>
  <c r="BT62" i="37" s="1"/>
  <c r="BS17" i="37"/>
  <c r="BS32" i="37" s="1"/>
  <c r="BS47" i="37" s="1"/>
  <c r="BS62" i="37" s="1"/>
  <c r="BR17" i="37"/>
  <c r="BR32" i="37" s="1"/>
  <c r="BR47" i="37" s="1"/>
  <c r="BR62" i="37" s="1"/>
  <c r="BQ17" i="37"/>
  <c r="BQ32" i="37" s="1"/>
  <c r="BQ47" i="37" s="1"/>
  <c r="BQ62" i="37" s="1"/>
  <c r="BP17" i="37"/>
  <c r="BP32" i="37" s="1"/>
  <c r="BP47" i="37" s="1"/>
  <c r="BP62" i="37" s="1"/>
  <c r="BO17" i="37"/>
  <c r="BO32" i="37" s="1"/>
  <c r="BO47" i="37" s="1"/>
  <c r="BO62" i="37" s="1"/>
  <c r="BN17" i="37"/>
  <c r="BN32" i="37" s="1"/>
  <c r="BN47" i="37" s="1"/>
  <c r="BN62" i="37" s="1"/>
  <c r="BM17" i="37"/>
  <c r="BM32" i="37" s="1"/>
  <c r="BM47" i="37" s="1"/>
  <c r="BM62" i="37" s="1"/>
  <c r="BL17" i="37"/>
  <c r="BL32" i="37" s="1"/>
  <c r="BL47" i="37" s="1"/>
  <c r="BL62" i="37" s="1"/>
  <c r="BK17" i="37"/>
  <c r="BK32" i="37" s="1"/>
  <c r="BK47" i="37" s="1"/>
  <c r="BK62" i="37" s="1"/>
  <c r="BJ17" i="37"/>
  <c r="BJ32" i="37" s="1"/>
  <c r="BJ47" i="37" s="1"/>
  <c r="BJ62" i="37" s="1"/>
  <c r="BI17" i="37"/>
  <c r="BI32" i="37" s="1"/>
  <c r="BI47" i="37" s="1"/>
  <c r="BI62" i="37" s="1"/>
  <c r="BH17" i="37"/>
  <c r="BH32" i="37" s="1"/>
  <c r="BH47" i="37" s="1"/>
  <c r="BH62" i="37" s="1"/>
  <c r="BG17" i="37"/>
  <c r="BG32" i="37" s="1"/>
  <c r="BG47" i="37" s="1"/>
  <c r="BG62" i="37" s="1"/>
  <c r="BF17" i="37"/>
  <c r="BF32" i="37" s="1"/>
  <c r="BF47" i="37" s="1"/>
  <c r="BF62" i="37" s="1"/>
  <c r="BE17" i="37"/>
  <c r="BE32" i="37" s="1"/>
  <c r="BE47" i="37" s="1"/>
  <c r="BE62" i="37" s="1"/>
  <c r="BD17" i="37"/>
  <c r="BD32" i="37" s="1"/>
  <c r="BD47" i="37" s="1"/>
  <c r="BD62" i="37" s="1"/>
  <c r="BC17" i="37"/>
  <c r="BC32" i="37" s="1"/>
  <c r="BC47" i="37" s="1"/>
  <c r="BC62" i="37" s="1"/>
  <c r="BB17" i="37"/>
  <c r="BB32" i="37" s="1"/>
  <c r="BB47" i="37" s="1"/>
  <c r="BB62" i="37" s="1"/>
  <c r="BA17" i="37"/>
  <c r="BA32" i="37" s="1"/>
  <c r="BA47" i="37" s="1"/>
  <c r="BA62" i="37" s="1"/>
  <c r="AZ17" i="37"/>
  <c r="AZ32" i="37" s="1"/>
  <c r="AZ47" i="37" s="1"/>
  <c r="AZ62" i="37" s="1"/>
  <c r="AY17" i="37"/>
  <c r="AY32" i="37" s="1"/>
  <c r="AY47" i="37" s="1"/>
  <c r="AY62" i="37" s="1"/>
  <c r="AX17" i="37"/>
  <c r="AX32" i="37" s="1"/>
  <c r="AX47" i="37" s="1"/>
  <c r="AX62" i="37" s="1"/>
  <c r="AW17" i="37"/>
  <c r="AW32" i="37" s="1"/>
  <c r="AW47" i="37" s="1"/>
  <c r="AW62" i="37" s="1"/>
  <c r="AV17" i="37"/>
  <c r="AV32" i="37" s="1"/>
  <c r="AV47" i="37" s="1"/>
  <c r="AV62" i="37" s="1"/>
  <c r="AU17" i="37"/>
  <c r="AU32" i="37" s="1"/>
  <c r="AU47" i="37" s="1"/>
  <c r="AU62" i="37" s="1"/>
  <c r="AT17" i="37"/>
  <c r="AT32" i="37" s="1"/>
  <c r="AT47" i="37" s="1"/>
  <c r="AT62" i="37" s="1"/>
  <c r="AS17" i="37"/>
  <c r="AS32" i="37" s="1"/>
  <c r="AS47" i="37" s="1"/>
  <c r="AS62" i="37" s="1"/>
  <c r="AR17" i="37"/>
  <c r="AR32" i="37" s="1"/>
  <c r="AR47" i="37" s="1"/>
  <c r="AR62" i="37" s="1"/>
  <c r="AQ17" i="37"/>
  <c r="AQ32" i="37" s="1"/>
  <c r="AQ47" i="37" s="1"/>
  <c r="AQ62" i="37" s="1"/>
  <c r="AP17" i="37"/>
  <c r="AP32" i="37" s="1"/>
  <c r="AP47" i="37" s="1"/>
  <c r="AP62" i="37" s="1"/>
  <c r="AO17" i="37"/>
  <c r="AO32" i="37" s="1"/>
  <c r="AO47" i="37" s="1"/>
  <c r="AO62" i="37" s="1"/>
  <c r="AN17" i="37"/>
  <c r="AN32" i="37" s="1"/>
  <c r="AN47" i="37" s="1"/>
  <c r="AN62" i="37" s="1"/>
  <c r="AM17" i="37"/>
  <c r="AM32" i="37" s="1"/>
  <c r="AM47" i="37" s="1"/>
  <c r="AM62" i="37" s="1"/>
  <c r="AL17" i="37"/>
  <c r="AL32" i="37" s="1"/>
  <c r="AL47" i="37" s="1"/>
  <c r="AL62" i="37" s="1"/>
  <c r="AK17" i="37"/>
  <c r="AK32" i="37" s="1"/>
  <c r="AK47" i="37" s="1"/>
  <c r="AK62" i="37" s="1"/>
  <c r="AJ17" i="37"/>
  <c r="AJ32" i="37" s="1"/>
  <c r="AJ47" i="37" s="1"/>
  <c r="AJ62" i="37" s="1"/>
  <c r="AI17" i="37"/>
  <c r="AI32" i="37" s="1"/>
  <c r="AI47" i="37" s="1"/>
  <c r="AI62" i="37" s="1"/>
  <c r="AH17" i="37"/>
  <c r="AH32" i="37" s="1"/>
  <c r="AH47" i="37" s="1"/>
  <c r="AH62" i="37" s="1"/>
  <c r="AG17" i="37"/>
  <c r="AG32" i="37" s="1"/>
  <c r="AG47" i="37" s="1"/>
  <c r="AG62" i="37" s="1"/>
  <c r="AF17" i="37"/>
  <c r="AF32" i="37" s="1"/>
  <c r="AF47" i="37" s="1"/>
  <c r="AF62" i="37" s="1"/>
  <c r="AE17" i="37"/>
  <c r="AE32" i="37" s="1"/>
  <c r="AE47" i="37" s="1"/>
  <c r="AE62" i="37" s="1"/>
  <c r="AD17" i="37"/>
  <c r="AD32" i="37" s="1"/>
  <c r="AD47" i="37" s="1"/>
  <c r="AD62" i="37" s="1"/>
  <c r="AC17" i="37"/>
  <c r="AC32" i="37" s="1"/>
  <c r="AC47" i="37" s="1"/>
  <c r="AC62" i="37" s="1"/>
  <c r="AB17" i="37"/>
  <c r="AB32" i="37" s="1"/>
  <c r="AB47" i="37" s="1"/>
  <c r="AB62" i="37" s="1"/>
  <c r="AA17" i="37"/>
  <c r="AA32" i="37" s="1"/>
  <c r="AA47" i="37" s="1"/>
  <c r="AA62" i="37" s="1"/>
  <c r="Z17" i="37"/>
  <c r="Z32" i="37" s="1"/>
  <c r="Z47" i="37" s="1"/>
  <c r="Z62" i="37" s="1"/>
  <c r="Y17" i="37"/>
  <c r="Y32" i="37" s="1"/>
  <c r="Y47" i="37" s="1"/>
  <c r="Y62" i="37" s="1"/>
  <c r="X17" i="37"/>
  <c r="X32" i="37" s="1"/>
  <c r="X47" i="37" s="1"/>
  <c r="X62" i="37" s="1"/>
  <c r="W17" i="37"/>
  <c r="W32" i="37" s="1"/>
  <c r="W47" i="37" s="1"/>
  <c r="W62" i="37" s="1"/>
  <c r="V17" i="37"/>
  <c r="V32" i="37" s="1"/>
  <c r="V47" i="37" s="1"/>
  <c r="V62" i="37" s="1"/>
  <c r="U17" i="37"/>
  <c r="U32" i="37" s="1"/>
  <c r="U47" i="37" s="1"/>
  <c r="U62" i="37" s="1"/>
  <c r="T17" i="37"/>
  <c r="T32" i="37" s="1"/>
  <c r="T47" i="37" s="1"/>
  <c r="T62" i="37" s="1"/>
  <c r="S17" i="37"/>
  <c r="S32" i="37" s="1"/>
  <c r="S47" i="37" s="1"/>
  <c r="S62" i="37" s="1"/>
  <c r="R17" i="37"/>
  <c r="R32" i="37" s="1"/>
  <c r="R47" i="37" s="1"/>
  <c r="R62" i="37" s="1"/>
  <c r="CD16" i="37"/>
  <c r="CD31" i="37" s="1"/>
  <c r="CD46" i="37" s="1"/>
  <c r="CD61" i="37" s="1"/>
  <c r="BX16" i="37"/>
  <c r="BX31" i="37" s="1"/>
  <c r="BX46" i="37" s="1"/>
  <c r="BX61" i="37" s="1"/>
  <c r="BR16" i="37"/>
  <c r="BR31" i="37" s="1"/>
  <c r="BR46" i="37" s="1"/>
  <c r="BR61" i="37" s="1"/>
  <c r="BL16" i="37"/>
  <c r="BL31" i="37" s="1"/>
  <c r="BL46" i="37" s="1"/>
  <c r="BL61" i="37" s="1"/>
  <c r="BF16" i="37"/>
  <c r="BF31" i="37" s="1"/>
  <c r="BF46" i="37" s="1"/>
  <c r="BF61" i="37" s="1"/>
  <c r="AZ16" i="37"/>
  <c r="AZ31" i="37" s="1"/>
  <c r="AZ46" i="37" s="1"/>
  <c r="AZ61" i="37" s="1"/>
  <c r="AT16" i="37"/>
  <c r="AT31" i="37" s="1"/>
  <c r="AT46" i="37" s="1"/>
  <c r="AT61" i="37" s="1"/>
  <c r="AN16" i="37"/>
  <c r="AN31" i="37" s="1"/>
  <c r="AN46" i="37" s="1"/>
  <c r="AN61" i="37" s="1"/>
  <c r="AH16" i="37"/>
  <c r="AH31" i="37" s="1"/>
  <c r="AH46" i="37" s="1"/>
  <c r="AH61" i="37" s="1"/>
  <c r="AB16" i="37"/>
  <c r="AB31" i="37" s="1"/>
  <c r="AB46" i="37" s="1"/>
  <c r="AB61" i="37" s="1"/>
  <c r="V16" i="37"/>
  <c r="V31" i="37" s="1"/>
  <c r="V46" i="37" s="1"/>
  <c r="V61" i="37" s="1"/>
  <c r="C15" i="37" l="1"/>
  <c r="F15" i="37"/>
  <c r="E15" i="37"/>
  <c r="G15" i="37"/>
  <c r="D15" i="37"/>
  <c r="G16" i="37" l="1"/>
  <c r="F16" i="37"/>
  <c r="AF2" i="26" l="1"/>
  <c r="AF29" i="26" s="1"/>
  <c r="AE2" i="26"/>
  <c r="AE29" i="26" s="1"/>
  <c r="AD2" i="26"/>
  <c r="AD29" i="26" s="1"/>
  <c r="AC2" i="26"/>
  <c r="AC29" i="26" s="1"/>
  <c r="AB2" i="26"/>
  <c r="AB29" i="26" s="1"/>
  <c r="AA2" i="26"/>
  <c r="AA29" i="26" s="1"/>
  <c r="Z2" i="26"/>
  <c r="Z29" i="26" s="1"/>
  <c r="Y2" i="26"/>
  <c r="Y29" i="26" s="1"/>
  <c r="X2" i="26"/>
  <c r="X29" i="26" s="1"/>
  <c r="W2" i="26"/>
  <c r="W29" i="26" s="1"/>
  <c r="CM59" i="25"/>
  <c r="CM58" i="25"/>
  <c r="CM57" i="25"/>
  <c r="CM56" i="25"/>
  <c r="CM55" i="25"/>
  <c r="CM54" i="25"/>
  <c r="CM53" i="25"/>
  <c r="CM52" i="25"/>
  <c r="CM51" i="25"/>
  <c r="CM50" i="25"/>
  <c r="CM49" i="25"/>
  <c r="CM48" i="25"/>
  <c r="CO44" i="25"/>
  <c r="CG44" i="25"/>
  <c r="CO43" i="25"/>
  <c r="CG43" i="25"/>
  <c r="CO42" i="25"/>
  <c r="CG42" i="25"/>
  <c r="CO41" i="25"/>
  <c r="CG41" i="25"/>
  <c r="CO40" i="25"/>
  <c r="CG40" i="25"/>
  <c r="CO39" i="25"/>
  <c r="CG39" i="25"/>
  <c r="CO38" i="25"/>
  <c r="CG38" i="25"/>
  <c r="CO37" i="25"/>
  <c r="CG37" i="25"/>
  <c r="CO36" i="25"/>
  <c r="CG36" i="25"/>
  <c r="CO35" i="25"/>
  <c r="CG35" i="25"/>
  <c r="CO34" i="25"/>
  <c r="CG34" i="25"/>
  <c r="CO33" i="25"/>
  <c r="CG33" i="25"/>
  <c r="CJ16" i="28"/>
  <c r="CI16" i="28"/>
  <c r="CH16" i="28"/>
  <c r="CG16" i="28"/>
  <c r="CF16" i="28"/>
  <c r="CE16" i="28"/>
  <c r="CD16" i="28"/>
  <c r="CC16" i="28"/>
  <c r="CB16" i="28"/>
  <c r="CA16" i="28"/>
  <c r="CA31" i="28" l="1"/>
  <c r="CA46" i="28" s="1"/>
  <c r="CA61" i="28" s="1"/>
  <c r="CA76" i="28"/>
  <c r="CB31" i="28"/>
  <c r="CB46" i="28" s="1"/>
  <c r="CB61" i="28" s="1"/>
  <c r="CB76" i="28"/>
  <c r="CC46" i="28"/>
  <c r="CC61" i="28" s="1"/>
  <c r="CC76" i="28"/>
  <c r="CD31" i="28"/>
  <c r="CD46" i="28" s="1"/>
  <c r="CD61" i="28" s="1"/>
  <c r="CD76" i="28"/>
  <c r="CE31" i="28"/>
  <c r="CE46" i="28" s="1"/>
  <c r="CE61" i="28" s="1"/>
  <c r="CE76" i="28"/>
  <c r="CF31" i="28"/>
  <c r="CF46" i="28" s="1"/>
  <c r="CF61" i="28" s="1"/>
  <c r="CF76" i="28"/>
  <c r="CH31" i="28"/>
  <c r="CH46" i="28" s="1"/>
  <c r="CH61" i="28" s="1"/>
  <c r="CH76" i="28"/>
  <c r="CI31" i="28"/>
  <c r="CI46" i="28" s="1"/>
  <c r="CI61" i="28" s="1"/>
  <c r="CI76" i="28"/>
  <c r="CJ31" i="28"/>
  <c r="CJ46" i="28" s="1"/>
  <c r="CJ61" i="28" s="1"/>
  <c r="CJ76" i="28"/>
  <c r="CG31" i="28"/>
  <c r="Y24" i="26"/>
  <c r="DQ16" i="32"/>
  <c r="DR16" i="32"/>
  <c r="DS16" i="32"/>
  <c r="DT16" i="32"/>
  <c r="DU16" i="32"/>
  <c r="DV16" i="32"/>
  <c r="DW16" i="32"/>
  <c r="DX16" i="32"/>
  <c r="CG46" i="28" l="1"/>
  <c r="CG61" i="28" s="1"/>
  <c r="CG76" i="28"/>
  <c r="DQ77" i="32"/>
  <c r="G16" i="32"/>
  <c r="G31" i="32" s="1"/>
  <c r="G46" i="32" s="1"/>
  <c r="G61" i="32" s="1"/>
  <c r="I15" i="35" l="1"/>
  <c r="I31" i="35"/>
  <c r="J31" i="35"/>
  <c r="K31" i="35"/>
  <c r="D15" i="35"/>
  <c r="P15" i="35"/>
  <c r="W31" i="35" s="1"/>
  <c r="C31" i="35"/>
  <c r="O31" i="35"/>
  <c r="J15" i="35"/>
  <c r="E15" i="35"/>
  <c r="Q15" i="35"/>
  <c r="D31" i="35"/>
  <c r="P31" i="35"/>
  <c r="K15" i="35"/>
  <c r="C15" i="35"/>
  <c r="E31" i="35"/>
  <c r="Q31" i="35"/>
  <c r="K31" i="40" l="1"/>
  <c r="CT76" i="28"/>
  <c r="O46" i="35"/>
  <c r="AJ82" i="32"/>
  <c r="AJ87" i="32"/>
  <c r="AJ84" i="32"/>
  <c r="AJ81" i="32"/>
  <c r="AJ78" i="32"/>
  <c r="AL78" i="32" s="1"/>
  <c r="AJ86" i="32"/>
  <c r="AJ83" i="32"/>
  <c r="AJ80" i="32"/>
  <c r="AJ88" i="32"/>
  <c r="AJ79" i="32"/>
  <c r="AL79" i="32" s="1"/>
  <c r="AJ77" i="32"/>
  <c r="AJ85" i="32"/>
  <c r="D52" i="34"/>
  <c r="D51" i="34"/>
  <c r="CP16" i="25"/>
  <c r="CP31" i="25" s="1"/>
  <c r="CP46" i="25" s="1"/>
  <c r="CP61" i="25" s="1"/>
  <c r="CO16" i="25"/>
  <c r="CO31" i="25" s="1"/>
  <c r="CO46" i="25" s="1"/>
  <c r="CO61" i="25" s="1"/>
  <c r="CN16" i="25"/>
  <c r="CN31" i="25" s="1"/>
  <c r="CN46" i="25" s="1"/>
  <c r="CN61" i="25" s="1"/>
  <c r="CM16" i="25"/>
  <c r="CM31" i="25" s="1"/>
  <c r="CM46" i="25" s="1"/>
  <c r="CM61" i="25" s="1"/>
  <c r="CL16" i="25"/>
  <c r="CL31" i="25" s="1"/>
  <c r="CL46" i="25" s="1"/>
  <c r="CL61" i="25" s="1"/>
  <c r="CK16" i="25"/>
  <c r="CK31" i="25" s="1"/>
  <c r="CK46" i="25" s="1"/>
  <c r="CK61" i="25" s="1"/>
  <c r="CJ16" i="25"/>
  <c r="CJ31" i="25" s="1"/>
  <c r="CJ46" i="25" s="1"/>
  <c r="CJ61" i="25" s="1"/>
  <c r="CI16" i="25"/>
  <c r="CI31" i="25" s="1"/>
  <c r="CI46" i="25" s="1"/>
  <c r="CI61" i="25" s="1"/>
  <c r="CH16" i="25"/>
  <c r="CH31" i="25" s="1"/>
  <c r="CH46" i="25" s="1"/>
  <c r="CH61" i="25" s="1"/>
  <c r="CG16" i="25"/>
  <c r="CG31" i="25" s="1"/>
  <c r="CG46" i="25" s="1"/>
  <c r="CG61" i="25" s="1"/>
  <c r="CG16" i="31"/>
  <c r="CG31" i="31" s="1"/>
  <c r="CG46" i="31" s="1"/>
  <c r="CG61" i="31" s="1"/>
  <c r="CF16" i="31"/>
  <c r="CF31" i="31" s="1"/>
  <c r="CF46" i="31" s="1"/>
  <c r="CF61" i="31" s="1"/>
  <c r="CE16" i="31"/>
  <c r="CE31" i="31" s="1"/>
  <c r="CE46" i="31" s="1"/>
  <c r="CE61" i="31" s="1"/>
  <c r="CD16" i="31"/>
  <c r="CD31" i="31" s="1"/>
  <c r="CD46" i="31" s="1"/>
  <c r="CD61" i="31" s="1"/>
  <c r="CC16" i="31"/>
  <c r="CC31" i="31" s="1"/>
  <c r="CC46" i="31" s="1"/>
  <c r="CC61" i="31" s="1"/>
  <c r="CB16" i="31"/>
  <c r="CB31" i="31" s="1"/>
  <c r="CB46" i="31" s="1"/>
  <c r="CB61" i="31" s="1"/>
  <c r="CA16" i="31"/>
  <c r="CA31" i="31" s="1"/>
  <c r="CA46" i="31" s="1"/>
  <c r="CA61" i="31" s="1"/>
  <c r="BZ16" i="31"/>
  <c r="BZ31" i="31" s="1"/>
  <c r="BZ46" i="31" s="1"/>
  <c r="BZ61" i="31" s="1"/>
  <c r="BY16" i="31"/>
  <c r="BY31" i="31" s="1"/>
  <c r="BY46" i="31" s="1"/>
  <c r="BY61" i="31" s="1"/>
  <c r="BX16" i="31"/>
  <c r="BX31" i="31" s="1"/>
  <c r="BX46" i="31" s="1"/>
  <c r="BX61" i="31" s="1"/>
  <c r="DX31" i="32"/>
  <c r="DX46" i="32" s="1"/>
  <c r="DX61" i="32" s="1"/>
  <c r="DW31" i="32"/>
  <c r="DW46" i="32" s="1"/>
  <c r="DW61" i="32" s="1"/>
  <c r="DV31" i="32"/>
  <c r="DV46" i="32" s="1"/>
  <c r="DV61" i="32" s="1"/>
  <c r="DU31" i="32"/>
  <c r="DU46" i="32" s="1"/>
  <c r="DU61" i="32" s="1"/>
  <c r="DT31" i="32"/>
  <c r="DT46" i="32" s="1"/>
  <c r="DT61" i="32" s="1"/>
  <c r="DS31" i="32"/>
  <c r="DS46" i="32" s="1"/>
  <c r="DS61" i="32" s="1"/>
  <c r="DR31" i="32"/>
  <c r="DR46" i="32" s="1"/>
  <c r="DR61" i="32" s="1"/>
  <c r="DQ31" i="32"/>
  <c r="DQ46" i="32" s="1"/>
  <c r="DQ61" i="32" s="1"/>
  <c r="DZ16" i="32"/>
  <c r="DZ31" i="32" s="1"/>
  <c r="DZ46" i="32" s="1"/>
  <c r="DZ61" i="32" s="1"/>
  <c r="DY16" i="32"/>
  <c r="DY31" i="32" s="1"/>
  <c r="DY46" i="32" s="1"/>
  <c r="DY61" i="32" s="1"/>
  <c r="G2" i="27" l="1"/>
  <c r="AR2" i="26"/>
  <c r="AR29" i="26" s="1"/>
  <c r="AR42" i="26" s="1"/>
  <c r="AQ2" i="26"/>
  <c r="AQ29" i="26" s="1"/>
  <c r="AQ42" i="26" s="1"/>
  <c r="AP2" i="26"/>
  <c r="AP29" i="26" s="1"/>
  <c r="AP42" i="26" s="1"/>
  <c r="AO2" i="26"/>
  <c r="AO29" i="26" s="1"/>
  <c r="AO42" i="26" s="1"/>
  <c r="AM2" i="26"/>
  <c r="AM29" i="26" s="1"/>
  <c r="AM42" i="26" s="1"/>
  <c r="AL2" i="26"/>
  <c r="AL29" i="26" s="1"/>
  <c r="AL42" i="26" s="1"/>
  <c r="D55" i="34"/>
  <c r="D56" i="34"/>
  <c r="D62" i="34"/>
  <c r="D60" i="34"/>
  <c r="D59" i="34"/>
  <c r="D58" i="34"/>
  <c r="D57" i="34"/>
  <c r="D54" i="34"/>
  <c r="D53" i="34" l="1"/>
  <c r="D61" i="34"/>
  <c r="DJ16" i="25"/>
  <c r="DJ31" i="25" s="1"/>
  <c r="DJ46" i="25" s="1"/>
  <c r="DJ61" i="25" s="1"/>
  <c r="DI16" i="25"/>
  <c r="DI31" i="25" s="1"/>
  <c r="DI46" i="25" s="1"/>
  <c r="DI61" i="25" s="1"/>
  <c r="DH16" i="25"/>
  <c r="DH31" i="25" s="1"/>
  <c r="DH46" i="25" s="1"/>
  <c r="DH61" i="25" s="1"/>
  <c r="DG16" i="25"/>
  <c r="DG31" i="25" s="1"/>
  <c r="DG46" i="25" s="1"/>
  <c r="DG61" i="25" s="1"/>
  <c r="DE16" i="25"/>
  <c r="DE31" i="25" s="1"/>
  <c r="DE46" i="25" s="1"/>
  <c r="DE61" i="25" s="1"/>
  <c r="DD16" i="25"/>
  <c r="DD31" i="25" s="1"/>
  <c r="DD46" i="25" s="1"/>
  <c r="DD61" i="25" s="1"/>
  <c r="CZ17" i="25"/>
  <c r="CZ32" i="25" s="1"/>
  <c r="CZ47" i="25" s="1"/>
  <c r="CZ62" i="25" s="1"/>
  <c r="CY17" i="25"/>
  <c r="CY32" i="25" s="1"/>
  <c r="CY47" i="25" s="1"/>
  <c r="CY62" i="25" s="1"/>
  <c r="CS16" i="31"/>
  <c r="CS31" i="31" s="1"/>
  <c r="CS46" i="31" s="1"/>
  <c r="CS61" i="31" s="1"/>
  <c r="CQ17" i="31"/>
  <c r="CQ32" i="31" s="1"/>
  <c r="CQ47" i="31" s="1"/>
  <c r="CQ62" i="31" s="1"/>
  <c r="CP17" i="31"/>
  <c r="CP32" i="31" s="1"/>
  <c r="CP47" i="31" s="1"/>
  <c r="CP62" i="31" s="1"/>
  <c r="DD31" i="28" l="1"/>
  <c r="DC31" i="28"/>
  <c r="DB31" i="28"/>
  <c r="DA31" i="28"/>
  <c r="CY31" i="28"/>
  <c r="CX31" i="28"/>
  <c r="CV16" i="28"/>
  <c r="CX46" i="28" l="1"/>
  <c r="CX61" i="28" s="1"/>
  <c r="CX76" i="28"/>
  <c r="CY46" i="28"/>
  <c r="CY61" i="28" s="1"/>
  <c r="CY76" i="28"/>
  <c r="DA46" i="28"/>
  <c r="DA61" i="28" s="1"/>
  <c r="DA76" i="28"/>
  <c r="DC46" i="28"/>
  <c r="DC61" i="28" s="1"/>
  <c r="DC76" i="28"/>
  <c r="DD46" i="28"/>
  <c r="DD61" i="28" s="1"/>
  <c r="DD76" i="28"/>
  <c r="CV31" i="28"/>
  <c r="DB1" i="25"/>
  <c r="DB46" i="28"/>
  <c r="CV80" i="28"/>
  <c r="CX80" i="28" s="1"/>
  <c r="CV90" i="28"/>
  <c r="CX90" i="28" s="1"/>
  <c r="CV82" i="28"/>
  <c r="CX82" i="28" s="1"/>
  <c r="CV84" i="28"/>
  <c r="CX84" i="28" s="1"/>
  <c r="CV83" i="28"/>
  <c r="CX83" i="28" s="1"/>
  <c r="CV81" i="28"/>
  <c r="CX81" i="28" s="1"/>
  <c r="DB61" i="28" l="1"/>
  <c r="DB78" i="28" s="1"/>
  <c r="DB76" i="28"/>
  <c r="CV46" i="28"/>
  <c r="CV61" i="28" s="1"/>
  <c r="CV76" i="28"/>
  <c r="AJ2" i="26"/>
  <c r="AJ29" i="26" s="1"/>
  <c r="DB16" i="25"/>
  <c r="DB31" i="25" s="1"/>
  <c r="DB46" i="25" s="1"/>
  <c r="DB61" i="25" s="1"/>
  <c r="CV87" i="28"/>
  <c r="CX87" i="28" s="1"/>
  <c r="CV79" i="28"/>
  <c r="CX79" i="28" s="1"/>
  <c r="CV89" i="28" l="1"/>
  <c r="CX89" i="28" s="1"/>
  <c r="CV88" i="28"/>
  <c r="CX88" i="28" s="1"/>
  <c r="CV85" i="28" l="1"/>
  <c r="CX85" i="28" s="1"/>
  <c r="EZ16" i="32"/>
  <c r="EZ31" i="32" s="1"/>
  <c r="EQ88" i="32" l="1"/>
  <c r="EQ87" i="32"/>
  <c r="EQ86" i="32"/>
  <c r="EQ85" i="32"/>
  <c r="EQ84" i="32"/>
  <c r="EQ83" i="32"/>
  <c r="EQ82" i="32"/>
  <c r="EQ81" i="32"/>
  <c r="EQ80" i="32"/>
  <c r="EQ79" i="32"/>
  <c r="EQ78" i="32"/>
  <c r="EZ46" i="32" l="1"/>
  <c r="EZ61" i="32" s="1"/>
  <c r="EY16" i="32"/>
  <c r="EY31" i="32" s="1"/>
  <c r="EY46" i="32" s="1"/>
  <c r="EY61" i="32" s="1"/>
  <c r="EX16" i="32"/>
  <c r="EX31" i="32" s="1"/>
  <c r="EX46" i="32" s="1"/>
  <c r="EX61" i="32" s="1"/>
  <c r="EW16" i="32"/>
  <c r="EW31" i="32" s="1"/>
  <c r="EW46" i="32" s="1"/>
  <c r="EW61" i="32" s="1"/>
  <c r="EV16" i="32"/>
  <c r="EV31" i="32" s="1"/>
  <c r="EV46" i="32" s="1"/>
  <c r="EV61" i="32" s="1"/>
  <c r="ET16" i="32"/>
  <c r="ET31" i="32" s="1"/>
  <c r="ET46" i="32" s="1"/>
  <c r="ET61" i="32" s="1"/>
  <c r="ES16" i="32"/>
  <c r="ES31" i="32" s="1"/>
  <c r="ES46" i="32" s="1"/>
  <c r="ES61" i="32" s="1"/>
  <c r="EQ77" i="32" l="1"/>
  <c r="EQ16" i="32" l="1"/>
  <c r="EQ31" i="32" s="1"/>
  <c r="EQ46" i="32" s="1"/>
  <c r="EQ61" i="32" s="1"/>
  <c r="DM63" i="25" l="1"/>
  <c r="DM67" i="25"/>
  <c r="DM69" i="25"/>
  <c r="DM71" i="25"/>
  <c r="DM65" i="25"/>
  <c r="DM73" i="25"/>
  <c r="DM68" i="25"/>
  <c r="DM70" i="25"/>
  <c r="DM64" i="25"/>
  <c r="DM72" i="25"/>
  <c r="DM66" i="25"/>
  <c r="DM74" i="25"/>
  <c r="ES77" i="32"/>
  <c r="ES80" i="32"/>
  <c r="ES84" i="32"/>
  <c r="ES88" i="32"/>
  <c r="ES79" i="32"/>
  <c r="ES81" i="32"/>
  <c r="ES83" i="32"/>
  <c r="ES85" i="32"/>
  <c r="ES87" i="32"/>
  <c r="ES78" i="32"/>
  <c r="ES82" i="32"/>
  <c r="ES86" i="32"/>
  <c r="DO74" i="25" l="1"/>
  <c r="EQ89" i="32"/>
  <c r="J55" i="34" l="1"/>
  <c r="H55" i="34" s="1"/>
  <c r="J59" i="34"/>
  <c r="H59" i="34" s="1"/>
  <c r="J52" i="34"/>
  <c r="H52" i="34" s="1"/>
  <c r="J56" i="34"/>
  <c r="H56" i="34" s="1"/>
  <c r="J53" i="34"/>
  <c r="H53" i="34" s="1"/>
  <c r="J57" i="34"/>
  <c r="H57" i="34" s="1"/>
  <c r="J61" i="34"/>
  <c r="H61" i="34" s="1"/>
  <c r="J60" i="34"/>
  <c r="H60" i="34" s="1"/>
  <c r="J54" i="34"/>
  <c r="H54" i="34" s="1"/>
  <c r="J58" i="34"/>
  <c r="H58" i="34" s="1"/>
  <c r="J51" i="34"/>
  <c r="H51" i="34" s="1"/>
  <c r="AF80" i="28" l="1"/>
  <c r="AE79" i="32"/>
  <c r="AE87" i="32"/>
  <c r="AE80" i="32"/>
  <c r="AE88" i="32"/>
  <c r="AE77" i="32"/>
  <c r="AE78" i="32"/>
  <c r="AE86" i="32"/>
  <c r="AE85" i="32"/>
  <c r="AE81" i="32"/>
  <c r="AE82" i="32"/>
  <c r="AE83" i="32"/>
  <c r="AE84" i="32"/>
  <c r="AF81" i="28"/>
  <c r="AF89" i="28"/>
  <c r="AF85" i="28"/>
  <c r="AF88" i="28"/>
  <c r="AF86" i="28"/>
  <c r="AF84" i="28"/>
  <c r="AF82" i="28"/>
  <c r="AD91" i="28"/>
  <c r="AF90" i="28"/>
  <c r="AF79" i="28"/>
  <c r="AF83" i="28"/>
  <c r="AF87" i="28"/>
  <c r="AC89" i="32" l="1"/>
  <c r="CN17" i="31"/>
  <c r="CN32" i="31" s="1"/>
  <c r="CN47" i="31" s="1"/>
  <c r="CN62" i="31" s="1"/>
  <c r="CM17" i="31"/>
  <c r="CM32" i="31" s="1"/>
  <c r="CM47" i="31" s="1"/>
  <c r="CM62" i="31" s="1"/>
  <c r="CL17" i="31"/>
  <c r="CL32" i="31" s="1"/>
  <c r="CL47" i="31" s="1"/>
  <c r="CL62" i="31" s="1"/>
  <c r="CK17" i="31"/>
  <c r="CK32" i="31" s="1"/>
  <c r="CK47" i="31" s="1"/>
  <c r="CK62" i="31" s="1"/>
  <c r="CJ17" i="31"/>
  <c r="CJ32" i="31" s="1"/>
  <c r="CJ47" i="31" s="1"/>
  <c r="CJ62" i="31" s="1"/>
  <c r="CI17" i="31"/>
  <c r="CI32" i="31" s="1"/>
  <c r="CI47" i="31" s="1"/>
  <c r="CI62" i="31" s="1"/>
  <c r="CL16" i="31"/>
  <c r="CL31" i="31" s="1"/>
  <c r="CL46" i="31" s="1"/>
  <c r="CL61" i="31" s="1"/>
  <c r="CI16" i="31"/>
  <c r="CI31" i="31" s="1"/>
  <c r="CI46" i="31" s="1"/>
  <c r="CI61" i="31" s="1"/>
  <c r="EJ17" i="32" l="1"/>
  <c r="EI17" i="32"/>
  <c r="EI32" i="32" s="1"/>
  <c r="EH17" i="32"/>
  <c r="EH32" i="32" s="1"/>
  <c r="EG17" i="32"/>
  <c r="EG32" i="32" s="1"/>
  <c r="EF17" i="32"/>
  <c r="EF32" i="32" s="1"/>
  <c r="EE17" i="32"/>
  <c r="EE32" i="32" s="1"/>
  <c r="ED17" i="32"/>
  <c r="ED32" i="32" s="1"/>
  <c r="EC17" i="32"/>
  <c r="EB17" i="32"/>
  <c r="EB32" i="32" s="1"/>
  <c r="EH16" i="32"/>
  <c r="EH31" i="32" s="1"/>
  <c r="EE16" i="32"/>
  <c r="EE31" i="32" s="1"/>
  <c r="EB16" i="32"/>
  <c r="CL84" i="28" l="1"/>
  <c r="CN84" i="28" s="1"/>
  <c r="EB79" i="32"/>
  <c r="ED79" i="32" s="1"/>
  <c r="EB87" i="32"/>
  <c r="ED87" i="32" s="1"/>
  <c r="CL88" i="28"/>
  <c r="CN88" i="28" s="1"/>
  <c r="CL83" i="28"/>
  <c r="CN83" i="28" s="1"/>
  <c r="EB81" i="32"/>
  <c r="ED81" i="32" s="1"/>
  <c r="EB83" i="32"/>
  <c r="ED83" i="32" s="1"/>
  <c r="CL90" i="28"/>
  <c r="CN90" i="28" s="1"/>
  <c r="CL85" i="28"/>
  <c r="CN85" i="28" s="1"/>
  <c r="CL89" i="28"/>
  <c r="CN89" i="28" s="1"/>
  <c r="EB82" i="32"/>
  <c r="ED82" i="32" s="1"/>
  <c r="EB84" i="32"/>
  <c r="ED84" i="32" s="1"/>
  <c r="CL86" i="28"/>
  <c r="CN86" i="28" s="1"/>
  <c r="EB80" i="32"/>
  <c r="ED80" i="32" s="1"/>
  <c r="EB88" i="32"/>
  <c r="ED88" i="32" s="1"/>
  <c r="CL79" i="28"/>
  <c r="CN79" i="28" s="1"/>
  <c r="EB77" i="32"/>
  <c r="ED77" i="32" s="1"/>
  <c r="EB85" i="32"/>
  <c r="ED85" i="32" s="1"/>
  <c r="CL82" i="28"/>
  <c r="CN82" i="28" s="1"/>
  <c r="CL87" i="28"/>
  <c r="CN87" i="28" s="1"/>
  <c r="CL81" i="28"/>
  <c r="CN81" i="28" s="1"/>
  <c r="CL80" i="28"/>
  <c r="CN80" i="28" s="1"/>
  <c r="EB78" i="32"/>
  <c r="EB86" i="32"/>
  <c r="ED86" i="32" s="1"/>
  <c r="EH47" i="32"/>
  <c r="EH62" i="32" s="1"/>
  <c r="EH46" i="32"/>
  <c r="EH61" i="32" s="1"/>
  <c r="EI47" i="32"/>
  <c r="EI62" i="32" s="1"/>
  <c r="EB47" i="32"/>
  <c r="EB62" i="32" s="1"/>
  <c r="EG47" i="32"/>
  <c r="EG62" i="32" s="1"/>
  <c r="EE46" i="32"/>
  <c r="EE61" i="32" s="1"/>
  <c r="ED47" i="32"/>
  <c r="ED62" i="32" s="1"/>
  <c r="EE47" i="32"/>
  <c r="EE62" i="32" s="1"/>
  <c r="EF47" i="32"/>
  <c r="EF62" i="32" s="1"/>
  <c r="EB31" i="32"/>
  <c r="EJ32" i="32"/>
  <c r="EC32" i="32"/>
  <c r="CQ17" i="28"/>
  <c r="CP17" i="28"/>
  <c r="CO17" i="28"/>
  <c r="CO32" i="28" s="1"/>
  <c r="CO47" i="28" s="1"/>
  <c r="CO62" i="28" s="1"/>
  <c r="CN17" i="28"/>
  <c r="CM17" i="28"/>
  <c r="CL17" i="28"/>
  <c r="CL32" i="28" s="1"/>
  <c r="CL47" i="28" s="1"/>
  <c r="CL62" i="28" s="1"/>
  <c r="CO16" i="28"/>
  <c r="CL16" i="28"/>
  <c r="CL31" i="28" l="1"/>
  <c r="CL46" i="28" s="1"/>
  <c r="CL61" i="28" s="1"/>
  <c r="CL76" i="28"/>
  <c r="CO31" i="28"/>
  <c r="CO46" i="28" s="1"/>
  <c r="CO61" i="28" s="1"/>
  <c r="CO76" i="28"/>
  <c r="CM32" i="28"/>
  <c r="CM47" i="28" s="1"/>
  <c r="CM62" i="28" s="1"/>
  <c r="CM76" i="28"/>
  <c r="CN32" i="28"/>
  <c r="CN47" i="28" s="1"/>
  <c r="CN62" i="28" s="1"/>
  <c r="CN76" i="28"/>
  <c r="CP32" i="28"/>
  <c r="CP47" i="28" s="1"/>
  <c r="CP62" i="28" s="1"/>
  <c r="CP76" i="28"/>
  <c r="CQ32" i="28"/>
  <c r="CQ47" i="28" s="1"/>
  <c r="CQ62" i="28" s="1"/>
  <c r="CQ76" i="28"/>
  <c r="EB89" i="32"/>
  <c r="ED78" i="32"/>
  <c r="CL91" i="28"/>
  <c r="EJ47" i="32"/>
  <c r="EJ62" i="32" s="1"/>
  <c r="EC47" i="32"/>
  <c r="EC62" i="32" s="1"/>
  <c r="EB46" i="32"/>
  <c r="EB61" i="32" s="1"/>
  <c r="C8" i="42" l="1"/>
  <c r="C7" i="42"/>
  <c r="C9" i="42" s="1"/>
  <c r="DI17" i="32"/>
  <c r="DI32" i="32" s="1"/>
  <c r="DI47" i="32" s="1"/>
  <c r="DI62" i="32" s="1"/>
  <c r="DH17" i="32"/>
  <c r="DH32" i="32" s="1"/>
  <c r="DH47" i="32" s="1"/>
  <c r="DH62" i="32" s="1"/>
  <c r="DG17" i="32"/>
  <c r="DG32" i="32" s="1"/>
  <c r="DG47" i="32" s="1"/>
  <c r="DG62" i="32" s="1"/>
  <c r="DF17" i="32"/>
  <c r="DF32" i="32" s="1"/>
  <c r="DF47" i="32" s="1"/>
  <c r="DF62" i="32" s="1"/>
  <c r="DE17" i="32"/>
  <c r="DE32" i="32" s="1"/>
  <c r="DE47" i="32" s="1"/>
  <c r="DE62" i="32" s="1"/>
  <c r="DD17" i="32"/>
  <c r="DD32" i="32" s="1"/>
  <c r="DD47" i="32" s="1"/>
  <c r="DD62" i="32" s="1"/>
  <c r="DC17" i="32"/>
  <c r="DC32" i="32" s="1"/>
  <c r="DC47" i="32" s="1"/>
  <c r="DC62" i="32" s="1"/>
  <c r="DB17" i="32"/>
  <c r="DB32" i="32" s="1"/>
  <c r="DB47" i="32" s="1"/>
  <c r="DB62" i="32" s="1"/>
  <c r="DA17" i="32"/>
  <c r="DA32" i="32" s="1"/>
  <c r="DA47" i="32" s="1"/>
  <c r="DA62" i="32" s="1"/>
  <c r="CZ17" i="32"/>
  <c r="CZ32" i="32" s="1"/>
  <c r="CZ47" i="32" s="1"/>
  <c r="CZ62" i="32" s="1"/>
  <c r="CY17" i="32"/>
  <c r="CY32" i="32" s="1"/>
  <c r="CY47" i="32" s="1"/>
  <c r="CY62" i="32" s="1"/>
  <c r="CX17" i="32"/>
  <c r="CX32" i="32" s="1"/>
  <c r="CX47" i="32" s="1"/>
  <c r="CX62" i="32" s="1"/>
  <c r="CW17" i="32"/>
  <c r="CW32" i="32" s="1"/>
  <c r="CW47" i="32" s="1"/>
  <c r="CW62" i="32" s="1"/>
  <c r="CV17" i="32"/>
  <c r="CV32" i="32" s="1"/>
  <c r="CV47" i="32" s="1"/>
  <c r="CV62" i="32" s="1"/>
  <c r="CU17" i="32"/>
  <c r="CU32" i="32" s="1"/>
  <c r="CU47" i="32" s="1"/>
  <c r="CU62" i="32" s="1"/>
  <c r="CT17" i="32"/>
  <c r="CT32" i="32" s="1"/>
  <c r="CT47" i="32" s="1"/>
  <c r="CT62" i="32" s="1"/>
  <c r="CS17" i="32"/>
  <c r="CS32" i="32" s="1"/>
  <c r="CS47" i="32" s="1"/>
  <c r="CS62" i="32" s="1"/>
  <c r="CR17" i="32"/>
  <c r="CR32" i="32" s="1"/>
  <c r="CR47" i="32" s="1"/>
  <c r="CR62" i="32" s="1"/>
  <c r="CQ17" i="32"/>
  <c r="CQ32" i="32" s="1"/>
  <c r="CQ47" i="32" s="1"/>
  <c r="CQ62" i="32" s="1"/>
  <c r="CP17" i="32"/>
  <c r="CP32" i="32" s="1"/>
  <c r="CP47" i="32" s="1"/>
  <c r="CP62" i="32" s="1"/>
  <c r="CO17" i="32"/>
  <c r="CO32" i="32" s="1"/>
  <c r="CO47" i="32" s="1"/>
  <c r="CO62" i="32" s="1"/>
  <c r="CN17" i="32"/>
  <c r="CN32" i="32" s="1"/>
  <c r="CN47" i="32" s="1"/>
  <c r="CN62" i="32" s="1"/>
  <c r="CM17" i="32"/>
  <c r="CM32" i="32" s="1"/>
  <c r="CM47" i="32" s="1"/>
  <c r="CM62" i="32" s="1"/>
  <c r="CL17" i="32"/>
  <c r="CL32" i="32" s="1"/>
  <c r="CL47" i="32" s="1"/>
  <c r="CL62" i="32" s="1"/>
  <c r="CK17" i="32"/>
  <c r="CK32" i="32" s="1"/>
  <c r="CK47" i="32" s="1"/>
  <c r="CK62" i="32" s="1"/>
  <c r="CJ17" i="32"/>
  <c r="CJ32" i="32" s="1"/>
  <c r="CJ47" i="32" s="1"/>
  <c r="CJ62" i="32" s="1"/>
  <c r="CI17" i="32"/>
  <c r="CI32" i="32" s="1"/>
  <c r="CI47" i="32" s="1"/>
  <c r="CI62" i="32" s="1"/>
  <c r="CH17" i="32"/>
  <c r="CH32" i="32" s="1"/>
  <c r="CH47" i="32" s="1"/>
  <c r="CH62" i="32" s="1"/>
  <c r="CG17" i="32"/>
  <c r="CG32" i="32" s="1"/>
  <c r="CG47" i="32" s="1"/>
  <c r="CG62" i="32" s="1"/>
  <c r="CF17" i="32"/>
  <c r="CF32" i="32" s="1"/>
  <c r="CF47" i="32" s="1"/>
  <c r="CF62" i="32" s="1"/>
  <c r="CE17" i="32"/>
  <c r="CE32" i="32" s="1"/>
  <c r="CE47" i="32" s="1"/>
  <c r="CE62" i="32" s="1"/>
  <c r="CD17" i="32"/>
  <c r="CD32" i="32" s="1"/>
  <c r="CD47" i="32" s="1"/>
  <c r="CD62" i="32" s="1"/>
  <c r="CC17" i="32"/>
  <c r="CC32" i="32" s="1"/>
  <c r="CC47" i="32" s="1"/>
  <c r="CC62" i="32" s="1"/>
  <c r="CB17" i="32"/>
  <c r="CB32" i="32" s="1"/>
  <c r="CB47" i="32" s="1"/>
  <c r="CB62" i="32" s="1"/>
  <c r="CA17" i="32"/>
  <c r="CA32" i="32" s="1"/>
  <c r="CA47" i="32" s="1"/>
  <c r="CA62" i="32" s="1"/>
  <c r="BZ17" i="32"/>
  <c r="BZ32" i="32" s="1"/>
  <c r="BZ47" i="32" s="1"/>
  <c r="BZ62" i="32" s="1"/>
  <c r="BY17" i="32"/>
  <c r="BY32" i="32" s="1"/>
  <c r="BY47" i="32" s="1"/>
  <c r="BY62" i="32" s="1"/>
  <c r="BX17" i="32"/>
  <c r="BX32" i="32" s="1"/>
  <c r="BX47" i="32" s="1"/>
  <c r="BX62" i="32" s="1"/>
  <c r="BW17" i="32"/>
  <c r="BW32" i="32" s="1"/>
  <c r="BW47" i="32" s="1"/>
  <c r="BW62" i="32" s="1"/>
  <c r="BV17" i="32"/>
  <c r="BV32" i="32" s="1"/>
  <c r="BV47" i="32" s="1"/>
  <c r="BV62" i="32" s="1"/>
  <c r="BU17" i="32"/>
  <c r="BU32" i="32" s="1"/>
  <c r="BU47" i="32" s="1"/>
  <c r="BU62" i="32" s="1"/>
  <c r="BT17" i="32"/>
  <c r="BT32" i="32" s="1"/>
  <c r="BT47" i="32" s="1"/>
  <c r="BT62" i="32" s="1"/>
  <c r="BS17" i="32"/>
  <c r="BS32" i="32" s="1"/>
  <c r="BS47" i="32" s="1"/>
  <c r="BS62" i="32" s="1"/>
  <c r="BR17" i="32"/>
  <c r="BR32" i="32" s="1"/>
  <c r="BR47" i="32" s="1"/>
  <c r="BR62" i="32" s="1"/>
  <c r="BQ17" i="32"/>
  <c r="BQ32" i="32" s="1"/>
  <c r="BQ47" i="32" s="1"/>
  <c r="BQ62" i="32" s="1"/>
  <c r="BP17" i="32"/>
  <c r="BP32" i="32" s="1"/>
  <c r="BP47" i="32" s="1"/>
  <c r="BP62" i="32" s="1"/>
  <c r="BO17" i="32"/>
  <c r="BO32" i="32" s="1"/>
  <c r="BO47" i="32" s="1"/>
  <c r="BO62" i="32" s="1"/>
  <c r="BN17" i="32"/>
  <c r="BN32" i="32" s="1"/>
  <c r="BN47" i="32" s="1"/>
  <c r="BN62" i="32" s="1"/>
  <c r="BM17" i="32"/>
  <c r="BM32" i="32" s="1"/>
  <c r="BM47" i="32" s="1"/>
  <c r="BM62" i="32" s="1"/>
  <c r="BL17" i="32"/>
  <c r="BL32" i="32" s="1"/>
  <c r="BL47" i="32" s="1"/>
  <c r="BL62" i="32" s="1"/>
  <c r="BK17" i="32"/>
  <c r="BK32" i="32" s="1"/>
  <c r="BK47" i="32" s="1"/>
  <c r="BK62" i="32" s="1"/>
  <c r="BJ17" i="32"/>
  <c r="BJ32" i="32" s="1"/>
  <c r="BJ47" i="32" s="1"/>
  <c r="BJ62" i="32" s="1"/>
  <c r="BI17" i="32"/>
  <c r="BI32" i="32" s="1"/>
  <c r="BI47" i="32" s="1"/>
  <c r="BI62" i="32" s="1"/>
  <c r="BH17" i="32"/>
  <c r="BH32" i="32" s="1"/>
  <c r="BH47" i="32" s="1"/>
  <c r="BH62" i="32" s="1"/>
  <c r="BG17" i="32"/>
  <c r="BG32" i="32" s="1"/>
  <c r="BG47" i="32" s="1"/>
  <c r="BG62" i="32" s="1"/>
  <c r="BF17" i="32"/>
  <c r="BF32" i="32" s="1"/>
  <c r="BF47" i="32" s="1"/>
  <c r="BF62" i="32" s="1"/>
  <c r="BE17" i="32"/>
  <c r="BE32" i="32" s="1"/>
  <c r="BE47" i="32" s="1"/>
  <c r="BE62" i="32" s="1"/>
  <c r="BD17" i="32"/>
  <c r="BD32" i="32" s="1"/>
  <c r="BD47" i="32" s="1"/>
  <c r="BD62" i="32" s="1"/>
  <c r="BC17" i="32"/>
  <c r="BC32" i="32" s="1"/>
  <c r="BC47" i="32" s="1"/>
  <c r="BC62" i="32" s="1"/>
  <c r="BB17" i="32"/>
  <c r="BB32" i="32" s="1"/>
  <c r="BB47" i="32" s="1"/>
  <c r="BB62" i="32" s="1"/>
  <c r="BA17" i="32"/>
  <c r="BA32" i="32" s="1"/>
  <c r="BA47" i="32" s="1"/>
  <c r="BA62" i="32" s="1"/>
  <c r="AZ17" i="32"/>
  <c r="AZ32" i="32" s="1"/>
  <c r="AZ47" i="32" s="1"/>
  <c r="AZ62" i="32" s="1"/>
  <c r="AY17" i="32"/>
  <c r="AY32" i="32" s="1"/>
  <c r="AY47" i="32" s="1"/>
  <c r="AY62" i="32" s="1"/>
  <c r="AX17" i="32"/>
  <c r="AX32" i="32" s="1"/>
  <c r="AX47" i="32" s="1"/>
  <c r="AX62" i="32" s="1"/>
  <c r="AW17" i="32"/>
  <c r="AW32" i="32" s="1"/>
  <c r="AW47" i="32" s="1"/>
  <c r="AW62" i="32" s="1"/>
  <c r="AV17" i="32"/>
  <c r="AV32" i="32" s="1"/>
  <c r="AV47" i="32" s="1"/>
  <c r="AV62" i="32" s="1"/>
  <c r="AU17" i="32"/>
  <c r="AU32" i="32" s="1"/>
  <c r="AU47" i="32" s="1"/>
  <c r="AU62" i="32" s="1"/>
  <c r="AT17" i="32"/>
  <c r="AT32" i="32" s="1"/>
  <c r="AT47" i="32" s="1"/>
  <c r="AT62" i="32" s="1"/>
  <c r="AS17" i="32"/>
  <c r="AS32" i="32" s="1"/>
  <c r="AS47" i="32" s="1"/>
  <c r="AS62" i="32" s="1"/>
  <c r="AR17" i="32"/>
  <c r="AR32" i="32" s="1"/>
  <c r="AR47" i="32" s="1"/>
  <c r="AR62" i="32" s="1"/>
  <c r="AQ17" i="32"/>
  <c r="AQ32" i="32" s="1"/>
  <c r="AQ47" i="32" s="1"/>
  <c r="AQ62" i="32" s="1"/>
  <c r="AP17" i="32"/>
  <c r="AP32" i="32" s="1"/>
  <c r="AP47" i="32" s="1"/>
  <c r="AP62" i="32" s="1"/>
  <c r="AO17" i="32"/>
  <c r="AO32" i="32" s="1"/>
  <c r="AO47" i="32" s="1"/>
  <c r="AO62" i="32" s="1"/>
  <c r="AN17" i="32"/>
  <c r="AN32" i="32" s="1"/>
  <c r="AN47" i="32" s="1"/>
  <c r="AN62" i="32" s="1"/>
  <c r="AM17" i="32"/>
  <c r="AM32" i="32" s="1"/>
  <c r="AM47" i="32" s="1"/>
  <c r="AM62" i="32" s="1"/>
  <c r="AL17" i="32"/>
  <c r="AL32" i="32" s="1"/>
  <c r="AL47" i="32" s="1"/>
  <c r="AL62" i="32" s="1"/>
  <c r="AK17" i="32"/>
  <c r="AK32" i="32" s="1"/>
  <c r="AK47" i="32" s="1"/>
  <c r="AK62" i="32" s="1"/>
  <c r="AJ17" i="32"/>
  <c r="AJ32" i="32" s="1"/>
  <c r="AJ47" i="32" s="1"/>
  <c r="AJ62" i="32" s="1"/>
  <c r="W17" i="32"/>
  <c r="W32" i="32" s="1"/>
  <c r="W47" i="32" s="1"/>
  <c r="W62" i="32" s="1"/>
  <c r="V17" i="32"/>
  <c r="V32" i="32" s="1"/>
  <c r="V47" i="32" s="1"/>
  <c r="V62" i="32" s="1"/>
  <c r="U17" i="32"/>
  <c r="U32" i="32" s="1"/>
  <c r="U47" i="32" s="1"/>
  <c r="U62" i="32" s="1"/>
  <c r="T17" i="32"/>
  <c r="T32" i="32" s="1"/>
  <c r="T47" i="32" s="1"/>
  <c r="T62" i="32" s="1"/>
  <c r="S17" i="32"/>
  <c r="S32" i="32" s="1"/>
  <c r="S47" i="32" s="1"/>
  <c r="S62" i="32" s="1"/>
  <c r="R17" i="32"/>
  <c r="R32" i="32" s="1"/>
  <c r="R47" i="32" s="1"/>
  <c r="R62" i="32" s="1"/>
  <c r="Q17" i="32"/>
  <c r="Q32" i="32" s="1"/>
  <c r="Q47" i="32" s="1"/>
  <c r="Q62" i="32" s="1"/>
  <c r="P17" i="32"/>
  <c r="P32" i="32" s="1"/>
  <c r="P47" i="32" s="1"/>
  <c r="P62" i="32" s="1"/>
  <c r="O17" i="32"/>
  <c r="O32" i="32" s="1"/>
  <c r="O47" i="32" s="1"/>
  <c r="O62" i="32" s="1"/>
  <c r="N17" i="32"/>
  <c r="N32" i="32" s="1"/>
  <c r="N47" i="32" s="1"/>
  <c r="N62" i="32" s="1"/>
  <c r="M17" i="32"/>
  <c r="M32" i="32" s="1"/>
  <c r="M47" i="32" s="1"/>
  <c r="M62" i="32" s="1"/>
  <c r="L17" i="32"/>
  <c r="L32" i="32" s="1"/>
  <c r="L47" i="32" s="1"/>
  <c r="L62" i="32" s="1"/>
  <c r="K17" i="32"/>
  <c r="K32" i="32" s="1"/>
  <c r="K47" i="32" s="1"/>
  <c r="K62" i="32" s="1"/>
  <c r="J17" i="32"/>
  <c r="J32" i="32" s="1"/>
  <c r="J47" i="32" s="1"/>
  <c r="J62" i="32" s="1"/>
  <c r="I17" i="32"/>
  <c r="I32" i="32" s="1"/>
  <c r="I47" i="32" s="1"/>
  <c r="I62" i="32" s="1"/>
  <c r="H17" i="32"/>
  <c r="H32" i="32" s="1"/>
  <c r="H47" i="32" s="1"/>
  <c r="H62" i="32" s="1"/>
  <c r="F17" i="32"/>
  <c r="F32" i="32" s="1"/>
  <c r="F47" i="32" s="1"/>
  <c r="F62" i="32" s="1"/>
  <c r="E17" i="32"/>
  <c r="E32" i="32" s="1"/>
  <c r="E47" i="32" s="1"/>
  <c r="E62" i="32" s="1"/>
  <c r="D17" i="32"/>
  <c r="D32" i="32" s="1"/>
  <c r="D47" i="32" s="1"/>
  <c r="D62" i="32" s="1"/>
  <c r="C17" i="32"/>
  <c r="C32" i="32" s="1"/>
  <c r="C47" i="32" s="1"/>
  <c r="C62" i="32" s="1"/>
  <c r="EO16" i="32"/>
  <c r="EO31" i="32" s="1"/>
  <c r="EO46" i="32" s="1"/>
  <c r="EO61" i="32" s="1"/>
  <c r="EL16" i="32"/>
  <c r="EL31" i="32" s="1"/>
  <c r="EL46" i="32" s="1"/>
  <c r="EL61" i="32" s="1"/>
  <c r="DD16" i="32"/>
  <c r="DD31" i="32" s="1"/>
  <c r="DD46" i="32" s="1"/>
  <c r="DD61" i="32" s="1"/>
  <c r="CX16" i="32"/>
  <c r="CX31" i="32" s="1"/>
  <c r="CX46" i="32" s="1"/>
  <c r="CX61" i="32" s="1"/>
  <c r="CR16" i="32"/>
  <c r="CR31" i="32" s="1"/>
  <c r="CR46" i="32" s="1"/>
  <c r="CR61" i="32" s="1"/>
  <c r="CL16" i="32"/>
  <c r="CL31" i="32" s="1"/>
  <c r="CL46" i="32" s="1"/>
  <c r="CL61" i="32" s="1"/>
  <c r="CF16" i="32"/>
  <c r="CF31" i="32" s="1"/>
  <c r="CF46" i="32" s="1"/>
  <c r="CF61" i="32" s="1"/>
  <c r="BZ16" i="32"/>
  <c r="BZ31" i="32" s="1"/>
  <c r="BZ46" i="32" s="1"/>
  <c r="BZ61" i="32" s="1"/>
  <c r="BT16" i="32"/>
  <c r="BT31" i="32" s="1"/>
  <c r="BT46" i="32" s="1"/>
  <c r="BT61" i="32" s="1"/>
  <c r="BN16" i="32"/>
  <c r="BN31" i="32" s="1"/>
  <c r="BN46" i="32" s="1"/>
  <c r="BN61" i="32" s="1"/>
  <c r="BH16" i="32"/>
  <c r="BH31" i="32" s="1"/>
  <c r="BH46" i="32" s="1"/>
  <c r="BH61" i="32" s="1"/>
  <c r="BB16" i="32"/>
  <c r="BB31" i="32" s="1"/>
  <c r="BB46" i="32" s="1"/>
  <c r="BB61" i="32" s="1"/>
  <c r="AV16" i="32"/>
  <c r="AV31" i="32" s="1"/>
  <c r="AV46" i="32" s="1"/>
  <c r="AV61" i="32" s="1"/>
  <c r="AP16" i="32"/>
  <c r="AP31" i="32" s="1"/>
  <c r="AP46" i="32" s="1"/>
  <c r="AP61" i="32" s="1"/>
  <c r="AJ16" i="32"/>
  <c r="AJ31" i="32" s="1"/>
  <c r="AJ46" i="32" s="1"/>
  <c r="AJ61" i="32" s="1"/>
  <c r="AH16" i="32"/>
  <c r="AH31" i="32" s="1"/>
  <c r="AH46" i="32" s="1"/>
  <c r="AH61" i="32" s="1"/>
  <c r="AG16" i="32"/>
  <c r="AG31" i="32" s="1"/>
  <c r="AG46" i="32" s="1"/>
  <c r="AG61" i="32" s="1"/>
  <c r="AF16" i="32"/>
  <c r="AF31" i="32" s="1"/>
  <c r="AF46" i="32" s="1"/>
  <c r="AF61" i="32" s="1"/>
  <c r="AE16" i="32"/>
  <c r="AE31" i="32" s="1"/>
  <c r="AE46" i="32" s="1"/>
  <c r="AE61" i="32" s="1"/>
  <c r="AC16" i="32"/>
  <c r="AC31" i="32" s="1"/>
  <c r="AC46" i="32" s="1"/>
  <c r="AC61" i="32" s="1"/>
  <c r="AB16" i="32"/>
  <c r="AB31" i="32" s="1"/>
  <c r="AB46" i="32" s="1"/>
  <c r="AB61" i="32" s="1"/>
  <c r="AA16" i="32"/>
  <c r="AA31" i="32" s="1"/>
  <c r="AA46" i="32" s="1"/>
  <c r="AA61" i="32" s="1"/>
  <c r="Z16" i="32"/>
  <c r="Z31" i="32" s="1"/>
  <c r="Z46" i="32" s="1"/>
  <c r="Z61" i="32" s="1"/>
  <c r="Y16" i="32"/>
  <c r="Y31" i="32" s="1"/>
  <c r="Y46" i="32" s="1"/>
  <c r="Y61" i="32" s="1"/>
  <c r="T16" i="32"/>
  <c r="T31" i="32" s="1"/>
  <c r="T46" i="32" s="1"/>
  <c r="T61" i="32" s="1"/>
  <c r="P16" i="32"/>
  <c r="P31" i="32" s="1"/>
  <c r="P46" i="32" s="1"/>
  <c r="P61" i="32" s="1"/>
  <c r="L16" i="32"/>
  <c r="L31" i="32" s="1"/>
  <c r="L46" i="32" s="1"/>
  <c r="L61" i="32" s="1"/>
  <c r="H16" i="32"/>
  <c r="H31" i="32" s="1"/>
  <c r="H46" i="32" s="1"/>
  <c r="H61" i="32" s="1"/>
  <c r="C16" i="32"/>
  <c r="C31" i="32" s="1"/>
  <c r="C46" i="32" s="1"/>
  <c r="C61" i="32" s="1"/>
  <c r="EL88" i="32"/>
  <c r="G88" i="32"/>
  <c r="G87" i="32"/>
  <c r="G86" i="32"/>
  <c r="G85" i="32"/>
  <c r="EL84" i="32"/>
  <c r="G84" i="32"/>
  <c r="G83" i="32"/>
  <c r="G82" i="32"/>
  <c r="G81" i="32"/>
  <c r="EL80" i="32"/>
  <c r="G80" i="32"/>
  <c r="G79" i="32"/>
  <c r="G78" i="32"/>
  <c r="G77" i="32"/>
  <c r="J90" i="28"/>
  <c r="J88" i="28"/>
  <c r="J87" i="28"/>
  <c r="J86" i="28"/>
  <c r="J85" i="28"/>
  <c r="Y84" i="32" l="1"/>
  <c r="J41" i="35" s="1"/>
  <c r="H41" i="35" s="1"/>
  <c r="C85" i="32"/>
  <c r="EL77" i="32"/>
  <c r="EL81" i="32"/>
  <c r="EN81" i="32" s="1"/>
  <c r="F85" i="28"/>
  <c r="C79" i="32"/>
  <c r="Y86" i="32"/>
  <c r="J43" i="35" s="1"/>
  <c r="H43" i="35" s="1"/>
  <c r="EL86" i="32"/>
  <c r="EN86" i="32" s="1"/>
  <c r="C87" i="32"/>
  <c r="J89" i="28"/>
  <c r="F89" i="28" s="1"/>
  <c r="Y83" i="32"/>
  <c r="J40" i="35" s="1"/>
  <c r="H40" i="35" s="1"/>
  <c r="EL83" i="32"/>
  <c r="EN83" i="32" s="1"/>
  <c r="C84" i="32"/>
  <c r="CS89" i="28"/>
  <c r="Y81" i="32"/>
  <c r="J38" i="35" s="1"/>
  <c r="H38" i="35" s="1"/>
  <c r="F86" i="28"/>
  <c r="C77" i="32"/>
  <c r="Y80" i="32"/>
  <c r="J37" i="35" s="1"/>
  <c r="H37" i="35" s="1"/>
  <c r="CS88" i="28"/>
  <c r="CS90" i="28"/>
  <c r="Y85" i="32"/>
  <c r="J42" i="35" s="1"/>
  <c r="H42" i="35" s="1"/>
  <c r="EL85" i="32"/>
  <c r="EN85" i="32" s="1"/>
  <c r="C86" i="32"/>
  <c r="C82" i="32"/>
  <c r="CS85" i="28"/>
  <c r="CS87" i="28"/>
  <c r="F90" i="28"/>
  <c r="Y88" i="32"/>
  <c r="Y78" i="32"/>
  <c r="J35" i="35" s="1"/>
  <c r="H35" i="35" s="1"/>
  <c r="Y82" i="32"/>
  <c r="J39" i="35" s="1"/>
  <c r="H39" i="35" s="1"/>
  <c r="EL82" i="32"/>
  <c r="EN82" i="32" s="1"/>
  <c r="C83" i="32"/>
  <c r="F87" i="28"/>
  <c r="C78" i="32"/>
  <c r="CS86" i="28"/>
  <c r="F88" i="28"/>
  <c r="C81" i="32"/>
  <c r="Y79" i="32"/>
  <c r="J36" i="35" s="1"/>
  <c r="H36" i="35" s="1"/>
  <c r="EL79" i="32"/>
  <c r="EN79" i="32" s="1"/>
  <c r="C80" i="32"/>
  <c r="Y87" i="32"/>
  <c r="J44" i="35" s="1"/>
  <c r="H44" i="35" s="1"/>
  <c r="EL87" i="32"/>
  <c r="EN87" i="32" s="1"/>
  <c r="C88" i="32"/>
  <c r="Y77" i="32"/>
  <c r="J34" i="35" s="1"/>
  <c r="H34" i="35" s="1"/>
  <c r="EN80" i="32"/>
  <c r="I81" i="32"/>
  <c r="EN84" i="32"/>
  <c r="EN88" i="32"/>
  <c r="L90" i="28"/>
  <c r="L88" i="28"/>
  <c r="I82" i="32"/>
  <c r="AL81" i="32"/>
  <c r="AL85" i="32"/>
  <c r="AL83" i="32"/>
  <c r="AL80" i="32"/>
  <c r="AL82" i="32"/>
  <c r="AL84" i="32"/>
  <c r="AL86" i="32"/>
  <c r="AL87" i="32"/>
  <c r="J83" i="28"/>
  <c r="J81" i="28"/>
  <c r="J79" i="28"/>
  <c r="AA88" i="32" l="1"/>
  <c r="J45" i="35"/>
  <c r="H45" i="35" s="1"/>
  <c r="AA84" i="32"/>
  <c r="AA81" i="32"/>
  <c r="AA79" i="32"/>
  <c r="AA78" i="32"/>
  <c r="AA87" i="32"/>
  <c r="AA85" i="32"/>
  <c r="AA82" i="32"/>
  <c r="AA83" i="32"/>
  <c r="AA86" i="32"/>
  <c r="J80" i="28"/>
  <c r="L80" i="28" s="1"/>
  <c r="J82" i="28"/>
  <c r="J84" i="28"/>
  <c r="F84" i="28" s="1"/>
  <c r="AA80" i="32"/>
  <c r="E81" i="32"/>
  <c r="L87" i="28"/>
  <c r="L86" i="28"/>
  <c r="I83" i="32"/>
  <c r="E83" i="32"/>
  <c r="I88" i="32"/>
  <c r="E88" i="32"/>
  <c r="I80" i="32"/>
  <c r="E80" i="32"/>
  <c r="E82" i="32"/>
  <c r="I86" i="32"/>
  <c r="E86" i="32"/>
  <c r="I78" i="32"/>
  <c r="E78" i="32"/>
  <c r="I85" i="32"/>
  <c r="E85" i="32"/>
  <c r="EN77" i="32"/>
  <c r="I87" i="32"/>
  <c r="E87" i="32"/>
  <c r="I79" i="32"/>
  <c r="E79" i="32"/>
  <c r="L85" i="28"/>
  <c r="L89" i="28"/>
  <c r="I84" i="32"/>
  <c r="E84" i="32"/>
  <c r="AL77" i="32"/>
  <c r="Y89" i="32"/>
  <c r="AA77" i="32"/>
  <c r="E77" i="32"/>
  <c r="G89" i="32"/>
  <c r="I77" i="32"/>
  <c r="L84" i="28" l="1"/>
  <c r="L82" i="28"/>
  <c r="H89" i="28"/>
  <c r="H87" i="28"/>
  <c r="H88" i="28"/>
  <c r="H85" i="28"/>
  <c r="H90" i="28"/>
  <c r="H84" i="28"/>
  <c r="H86" i="28"/>
  <c r="L81" i="28"/>
  <c r="C89" i="32"/>
  <c r="L83" i="28"/>
  <c r="J91" i="28"/>
  <c r="L79" i="28"/>
  <c r="AI2" i="26"/>
  <c r="AI29" i="26" s="1"/>
  <c r="AG2" i="26"/>
  <c r="AG29" i="26" s="1"/>
  <c r="U2" i="26"/>
  <c r="U29" i="26" s="1"/>
  <c r="T2" i="26"/>
  <c r="T29" i="26" s="1"/>
  <c r="S2" i="26"/>
  <c r="S29" i="26" s="1"/>
  <c r="R2" i="26"/>
  <c r="R29" i="26" s="1"/>
  <c r="Q2" i="26"/>
  <c r="Q29" i="26" s="1"/>
  <c r="P2" i="26"/>
  <c r="P29" i="26" s="1"/>
  <c r="I2" i="26"/>
  <c r="I29" i="26" s="1"/>
  <c r="J2" i="26"/>
  <c r="J29" i="26" s="1"/>
  <c r="K2" i="26"/>
  <c r="K29" i="26" s="1"/>
  <c r="M2" i="26"/>
  <c r="M29" i="26" s="1"/>
  <c r="N2" i="26"/>
  <c r="N29" i="26" s="1"/>
  <c r="O2" i="26"/>
  <c r="O29" i="26" s="1"/>
  <c r="DM59" i="25"/>
  <c r="DM58" i="25"/>
  <c r="DM57" i="25"/>
  <c r="DM56" i="25"/>
  <c r="DM55" i="25"/>
  <c r="DM54" i="25"/>
  <c r="DM53" i="25"/>
  <c r="DM52" i="25"/>
  <c r="DM51" i="25"/>
  <c r="DM50" i="25"/>
  <c r="DM49" i="25"/>
  <c r="DM48" i="25"/>
  <c r="DM44" i="25"/>
  <c r="DM43" i="25"/>
  <c r="DM42" i="25"/>
  <c r="DM41" i="25"/>
  <c r="DM40" i="25"/>
  <c r="DM39" i="25"/>
  <c r="DM38" i="25"/>
  <c r="DM37" i="25"/>
  <c r="DM36" i="25"/>
  <c r="DM35" i="25"/>
  <c r="DM34" i="25"/>
  <c r="DM33" i="25"/>
  <c r="DM29" i="25"/>
  <c r="DM28" i="25"/>
  <c r="DM27" i="25"/>
  <c r="DM26" i="25"/>
  <c r="DM25" i="25"/>
  <c r="DM24" i="25"/>
  <c r="DM23" i="25"/>
  <c r="DM22" i="25"/>
  <c r="DM21" i="25"/>
  <c r="DM20" i="25"/>
  <c r="DM19" i="25"/>
  <c r="DM18" i="25"/>
  <c r="DM4" i="25"/>
  <c r="DM5" i="25"/>
  <c r="DM6" i="25"/>
  <c r="DM7" i="25"/>
  <c r="DM8" i="25"/>
  <c r="DM9" i="25"/>
  <c r="DM10" i="25"/>
  <c r="DM11" i="25"/>
  <c r="DM12" i="25"/>
  <c r="DM13" i="25"/>
  <c r="DM14" i="25"/>
  <c r="DM3" i="25"/>
  <c r="BY17" i="25"/>
  <c r="BY32" i="25" s="1"/>
  <c r="BY47" i="25" s="1"/>
  <c r="BY62" i="25" s="1"/>
  <c r="BX17" i="25"/>
  <c r="BX32" i="25" s="1"/>
  <c r="BX47" i="25" s="1"/>
  <c r="BX62" i="25" s="1"/>
  <c r="BW17" i="25"/>
  <c r="BW32" i="25" s="1"/>
  <c r="BW47" i="25" s="1"/>
  <c r="BW62" i="25" s="1"/>
  <c r="BV17" i="25"/>
  <c r="BV32" i="25" s="1"/>
  <c r="BV47" i="25" s="1"/>
  <c r="BV62" i="25" s="1"/>
  <c r="BU17" i="25"/>
  <c r="BU32" i="25" s="1"/>
  <c r="BU47" i="25" s="1"/>
  <c r="BU62" i="25" s="1"/>
  <c r="BT17" i="25"/>
  <c r="BT32" i="25" s="1"/>
  <c r="BT47" i="25" s="1"/>
  <c r="BT62" i="25" s="1"/>
  <c r="BS17" i="25"/>
  <c r="BS32" i="25" s="1"/>
  <c r="BS47" i="25" s="1"/>
  <c r="BS62" i="25" s="1"/>
  <c r="BR17" i="25"/>
  <c r="BR32" i="25" s="1"/>
  <c r="BR47" i="25" s="1"/>
  <c r="BR62" i="25" s="1"/>
  <c r="BQ17" i="25"/>
  <c r="BQ32" i="25" s="1"/>
  <c r="BQ47" i="25" s="1"/>
  <c r="BQ62" i="25" s="1"/>
  <c r="BP17" i="25"/>
  <c r="BP32" i="25" s="1"/>
  <c r="BP47" i="25" s="1"/>
  <c r="BP62" i="25" s="1"/>
  <c r="BO17" i="25"/>
  <c r="BO32" i="25" s="1"/>
  <c r="BO47" i="25" s="1"/>
  <c r="BO62" i="25" s="1"/>
  <c r="BN17" i="25"/>
  <c r="BN32" i="25" s="1"/>
  <c r="BN47" i="25" s="1"/>
  <c r="BN62" i="25" s="1"/>
  <c r="BM17" i="25"/>
  <c r="BM32" i="25" s="1"/>
  <c r="BM47" i="25" s="1"/>
  <c r="BM62" i="25" s="1"/>
  <c r="BL17" i="25"/>
  <c r="BL32" i="25" s="1"/>
  <c r="BL47" i="25" s="1"/>
  <c r="BL62" i="25" s="1"/>
  <c r="BK17" i="25"/>
  <c r="BK32" i="25" s="1"/>
  <c r="BK47" i="25" s="1"/>
  <c r="BK62" i="25" s="1"/>
  <c r="BJ17" i="25"/>
  <c r="BJ32" i="25" s="1"/>
  <c r="BJ47" i="25" s="1"/>
  <c r="BJ62" i="25" s="1"/>
  <c r="BI17" i="25"/>
  <c r="BI32" i="25" s="1"/>
  <c r="BI47" i="25" s="1"/>
  <c r="BI62" i="25" s="1"/>
  <c r="BH17" i="25"/>
  <c r="BH32" i="25" s="1"/>
  <c r="BH47" i="25" s="1"/>
  <c r="BH62" i="25" s="1"/>
  <c r="BG17" i="25"/>
  <c r="BG32" i="25" s="1"/>
  <c r="BG47" i="25" s="1"/>
  <c r="BG62" i="25" s="1"/>
  <c r="BF17" i="25"/>
  <c r="BF32" i="25" s="1"/>
  <c r="BF47" i="25" s="1"/>
  <c r="BF62" i="25" s="1"/>
  <c r="BE17" i="25"/>
  <c r="BE32" i="25" s="1"/>
  <c r="BE47" i="25" s="1"/>
  <c r="BE62" i="25" s="1"/>
  <c r="BD17" i="25"/>
  <c r="BD32" i="25" s="1"/>
  <c r="BD47" i="25" s="1"/>
  <c r="BD62" i="25" s="1"/>
  <c r="BC17" i="25"/>
  <c r="BC32" i="25" s="1"/>
  <c r="BC47" i="25" s="1"/>
  <c r="BC62" i="25" s="1"/>
  <c r="BB17" i="25"/>
  <c r="BB32" i="25" s="1"/>
  <c r="BB47" i="25" s="1"/>
  <c r="BB62" i="25" s="1"/>
  <c r="BA17" i="25"/>
  <c r="BA32" i="25" s="1"/>
  <c r="BA47" i="25" s="1"/>
  <c r="BA62" i="25" s="1"/>
  <c r="AZ17" i="25"/>
  <c r="AZ32" i="25" s="1"/>
  <c r="AZ47" i="25" s="1"/>
  <c r="AZ62" i="25" s="1"/>
  <c r="AY17" i="25"/>
  <c r="AY32" i="25" s="1"/>
  <c r="AY47" i="25" s="1"/>
  <c r="AY62" i="25" s="1"/>
  <c r="AX17" i="25"/>
  <c r="AX32" i="25" s="1"/>
  <c r="AX47" i="25" s="1"/>
  <c r="AX62" i="25" s="1"/>
  <c r="AW17" i="25"/>
  <c r="AW32" i="25" s="1"/>
  <c r="AW47" i="25" s="1"/>
  <c r="AW62" i="25" s="1"/>
  <c r="AV17" i="25"/>
  <c r="AV32" i="25" s="1"/>
  <c r="AV47" i="25" s="1"/>
  <c r="AV62" i="25" s="1"/>
  <c r="AU17" i="25"/>
  <c r="AU32" i="25" s="1"/>
  <c r="AU47" i="25" s="1"/>
  <c r="AU62" i="25" s="1"/>
  <c r="AT17" i="25"/>
  <c r="AT32" i="25" s="1"/>
  <c r="AT47" i="25" s="1"/>
  <c r="AT62" i="25" s="1"/>
  <c r="AS17" i="25"/>
  <c r="AS32" i="25" s="1"/>
  <c r="AS47" i="25" s="1"/>
  <c r="AS62" i="25" s="1"/>
  <c r="AR17" i="25"/>
  <c r="AR32" i="25" s="1"/>
  <c r="AR47" i="25" s="1"/>
  <c r="AR62" i="25" s="1"/>
  <c r="AQ17" i="25"/>
  <c r="AQ32" i="25" s="1"/>
  <c r="AQ47" i="25" s="1"/>
  <c r="AQ62" i="25" s="1"/>
  <c r="AP17" i="25"/>
  <c r="AP32" i="25" s="1"/>
  <c r="AP47" i="25" s="1"/>
  <c r="AP62" i="25" s="1"/>
  <c r="AF17" i="25"/>
  <c r="AF32" i="25" s="1"/>
  <c r="AF47" i="25" s="1"/>
  <c r="AF62" i="25" s="1"/>
  <c r="AE17" i="25"/>
  <c r="AE32" i="25" s="1"/>
  <c r="AE47" i="25" s="1"/>
  <c r="AE62" i="25" s="1"/>
  <c r="AD17" i="25"/>
  <c r="AD32" i="25" s="1"/>
  <c r="AD47" i="25" s="1"/>
  <c r="AD62" i="25" s="1"/>
  <c r="AC17" i="25"/>
  <c r="AC32" i="25" s="1"/>
  <c r="AC47" i="25" s="1"/>
  <c r="AC62" i="25" s="1"/>
  <c r="AB17" i="25"/>
  <c r="AB32" i="25" s="1"/>
  <c r="AB47" i="25" s="1"/>
  <c r="AB62" i="25" s="1"/>
  <c r="AA17" i="25"/>
  <c r="AA32" i="25" s="1"/>
  <c r="AA47" i="25" s="1"/>
  <c r="AA62" i="25" s="1"/>
  <c r="Z17" i="25"/>
  <c r="Z32" i="25" s="1"/>
  <c r="Z47" i="25" s="1"/>
  <c r="Z62" i="25" s="1"/>
  <c r="Y17" i="25"/>
  <c r="Y32" i="25" s="1"/>
  <c r="Y47" i="25" s="1"/>
  <c r="Y62" i="25" s="1"/>
  <c r="X17" i="25"/>
  <c r="X32" i="25" s="1"/>
  <c r="X47" i="25" s="1"/>
  <c r="X62" i="25" s="1"/>
  <c r="W17" i="25"/>
  <c r="W32" i="25" s="1"/>
  <c r="W47" i="25" s="1"/>
  <c r="W62" i="25" s="1"/>
  <c r="V17" i="25"/>
  <c r="V32" i="25" s="1"/>
  <c r="V47" i="25" s="1"/>
  <c r="V62" i="25" s="1"/>
  <c r="U17" i="25"/>
  <c r="U32" i="25" s="1"/>
  <c r="U47" i="25" s="1"/>
  <c r="U62" i="25" s="1"/>
  <c r="T17" i="25"/>
  <c r="T32" i="25" s="1"/>
  <c r="T47" i="25" s="1"/>
  <c r="T62" i="25" s="1"/>
  <c r="S17" i="25"/>
  <c r="S32" i="25" s="1"/>
  <c r="S47" i="25" s="1"/>
  <c r="S62" i="25" s="1"/>
  <c r="R17" i="25"/>
  <c r="R32" i="25" s="1"/>
  <c r="R47" i="25" s="1"/>
  <c r="R62" i="25" s="1"/>
  <c r="Q17" i="25"/>
  <c r="Q32" i="25" s="1"/>
  <c r="Q47" i="25" s="1"/>
  <c r="Q62" i="25" s="1"/>
  <c r="O17" i="25"/>
  <c r="O32" i="25" s="1"/>
  <c r="O47" i="25" s="1"/>
  <c r="O62" i="25" s="1"/>
  <c r="N17" i="25"/>
  <c r="N32" i="25" s="1"/>
  <c r="N47" i="25" s="1"/>
  <c r="N62" i="25" s="1"/>
  <c r="M17" i="25"/>
  <c r="M32" i="25" s="1"/>
  <c r="M47" i="25" s="1"/>
  <c r="M62" i="25" s="1"/>
  <c r="L17" i="25"/>
  <c r="L32" i="25" s="1"/>
  <c r="L47" i="25" s="1"/>
  <c r="L62" i="25" s="1"/>
  <c r="CY16" i="25"/>
  <c r="CY31" i="25" s="1"/>
  <c r="CY46" i="25" s="1"/>
  <c r="CY61" i="25" s="1"/>
  <c r="CR16" i="25"/>
  <c r="CR31" i="25" s="1"/>
  <c r="CR46" i="25" s="1"/>
  <c r="CR61" i="25" s="1"/>
  <c r="BT16" i="25"/>
  <c r="BT31" i="25" s="1"/>
  <c r="BT46" i="25" s="1"/>
  <c r="BT61" i="25" s="1"/>
  <c r="BN16" i="25"/>
  <c r="BN31" i="25" s="1"/>
  <c r="BN46" i="25" s="1"/>
  <c r="BN61" i="25" s="1"/>
  <c r="BH16" i="25"/>
  <c r="BH31" i="25" s="1"/>
  <c r="BH46" i="25" s="1"/>
  <c r="BH61" i="25" s="1"/>
  <c r="BB16" i="25"/>
  <c r="BB31" i="25" s="1"/>
  <c r="BB46" i="25" s="1"/>
  <c r="BB61" i="25" s="1"/>
  <c r="AV16" i="25"/>
  <c r="AV31" i="25" s="1"/>
  <c r="AV46" i="25" s="1"/>
  <c r="AV61" i="25" s="1"/>
  <c r="AP16" i="25"/>
  <c r="AP31" i="25" s="1"/>
  <c r="AP46" i="25" s="1"/>
  <c r="AP61" i="25" s="1"/>
  <c r="AN16" i="25"/>
  <c r="AN31" i="25" s="1"/>
  <c r="AN46" i="25" s="1"/>
  <c r="AN61" i="25" s="1"/>
  <c r="AM16" i="25"/>
  <c r="AM31" i="25" s="1"/>
  <c r="AM46" i="25" s="1"/>
  <c r="AM61" i="25" s="1"/>
  <c r="AL16" i="25"/>
  <c r="AL31" i="25" s="1"/>
  <c r="AL46" i="25" s="1"/>
  <c r="AL61" i="25" s="1"/>
  <c r="AJ16" i="25"/>
  <c r="AJ31" i="25" s="1"/>
  <c r="AJ46" i="25" s="1"/>
  <c r="AJ61" i="25" s="1"/>
  <c r="AI16" i="25"/>
  <c r="AI31" i="25" s="1"/>
  <c r="AI46" i="25" s="1"/>
  <c r="AI61" i="25" s="1"/>
  <c r="AH16" i="25"/>
  <c r="AH31" i="25" s="1"/>
  <c r="AH46" i="25" s="1"/>
  <c r="AH61" i="25" s="1"/>
  <c r="AC16" i="25"/>
  <c r="AC31" i="25" s="1"/>
  <c r="AC46" i="25" s="1"/>
  <c r="AC61" i="25" s="1"/>
  <c r="Y16" i="25"/>
  <c r="Y31" i="25" s="1"/>
  <c r="Y46" i="25" s="1"/>
  <c r="Y61" i="25" s="1"/>
  <c r="U16" i="25"/>
  <c r="U31" i="25" s="1"/>
  <c r="U46" i="25" s="1"/>
  <c r="U61" i="25" s="1"/>
  <c r="Q16" i="25"/>
  <c r="Q31" i="25" s="1"/>
  <c r="Q46" i="25" s="1"/>
  <c r="Q61" i="25" s="1"/>
  <c r="P16" i="25"/>
  <c r="P31" i="25" s="1"/>
  <c r="P46" i="25" s="1"/>
  <c r="P61" i="25" s="1"/>
  <c r="L16" i="25"/>
  <c r="L31" i="25" s="1"/>
  <c r="L46" i="25" s="1"/>
  <c r="L61" i="25" s="1"/>
  <c r="BP17" i="31"/>
  <c r="BP32" i="31" s="1"/>
  <c r="BP47" i="31" s="1"/>
  <c r="BP62" i="31" s="1"/>
  <c r="BO17" i="31"/>
  <c r="BO32" i="31" s="1"/>
  <c r="BO47" i="31" s="1"/>
  <c r="BO62" i="31" s="1"/>
  <c r="BN17" i="31"/>
  <c r="BN32" i="31" s="1"/>
  <c r="BN47" i="31" s="1"/>
  <c r="BN62" i="31" s="1"/>
  <c r="BM17" i="31"/>
  <c r="BM32" i="31" s="1"/>
  <c r="BM47" i="31" s="1"/>
  <c r="BM62" i="31" s="1"/>
  <c r="BL17" i="31"/>
  <c r="BL32" i="31" s="1"/>
  <c r="BL47" i="31" s="1"/>
  <c r="BL62" i="31" s="1"/>
  <c r="BK17" i="31"/>
  <c r="BK32" i="31" s="1"/>
  <c r="BK47" i="31" s="1"/>
  <c r="BK62" i="31" s="1"/>
  <c r="BJ17" i="31"/>
  <c r="BJ32" i="31" s="1"/>
  <c r="BJ47" i="31" s="1"/>
  <c r="BJ62" i="31" s="1"/>
  <c r="BI17" i="31"/>
  <c r="BI32" i="31" s="1"/>
  <c r="BI47" i="31" s="1"/>
  <c r="BI62" i="31" s="1"/>
  <c r="BH17" i="31"/>
  <c r="BH32" i="31" s="1"/>
  <c r="BH47" i="31" s="1"/>
  <c r="BH62" i="31" s="1"/>
  <c r="BG17" i="31"/>
  <c r="BG32" i="31" s="1"/>
  <c r="BG47" i="31" s="1"/>
  <c r="BG62" i="31" s="1"/>
  <c r="BF17" i="31"/>
  <c r="BF32" i="31" s="1"/>
  <c r="BF47" i="31" s="1"/>
  <c r="BF62" i="31" s="1"/>
  <c r="BE17" i="31"/>
  <c r="BE32" i="31" s="1"/>
  <c r="BE47" i="31" s="1"/>
  <c r="BE62" i="31" s="1"/>
  <c r="BD17" i="31"/>
  <c r="BD32" i="31" s="1"/>
  <c r="BD47" i="31" s="1"/>
  <c r="BD62" i="31" s="1"/>
  <c r="BC17" i="31"/>
  <c r="BC32" i="31" s="1"/>
  <c r="BC47" i="31" s="1"/>
  <c r="BC62" i="31" s="1"/>
  <c r="BB17" i="31"/>
  <c r="BB32" i="31" s="1"/>
  <c r="BB47" i="31" s="1"/>
  <c r="BB62" i="31" s="1"/>
  <c r="BA17" i="31"/>
  <c r="BA32" i="31" s="1"/>
  <c r="BA47" i="31" s="1"/>
  <c r="BA62" i="31" s="1"/>
  <c r="AZ17" i="31"/>
  <c r="AZ32" i="31" s="1"/>
  <c r="AZ47" i="31" s="1"/>
  <c r="AZ62" i="31" s="1"/>
  <c r="AY17" i="31"/>
  <c r="AY32" i="31" s="1"/>
  <c r="AY47" i="31" s="1"/>
  <c r="AY62" i="31" s="1"/>
  <c r="AX17" i="31"/>
  <c r="AX32" i="31" s="1"/>
  <c r="AX47" i="31" s="1"/>
  <c r="AX62" i="31" s="1"/>
  <c r="AW17" i="31"/>
  <c r="AW32" i="31" s="1"/>
  <c r="AW47" i="31" s="1"/>
  <c r="AW62" i="31" s="1"/>
  <c r="AV17" i="31"/>
  <c r="AV32" i="31" s="1"/>
  <c r="AV47" i="31" s="1"/>
  <c r="AV62" i="31" s="1"/>
  <c r="AU17" i="31"/>
  <c r="AU32" i="31" s="1"/>
  <c r="AU47" i="31" s="1"/>
  <c r="AU62" i="31" s="1"/>
  <c r="AT17" i="31"/>
  <c r="AT32" i="31" s="1"/>
  <c r="AT47" i="31" s="1"/>
  <c r="AT62" i="31" s="1"/>
  <c r="AS17" i="31"/>
  <c r="AS32" i="31" s="1"/>
  <c r="AS47" i="31" s="1"/>
  <c r="AS62" i="31" s="1"/>
  <c r="AR17" i="31"/>
  <c r="AR32" i="31" s="1"/>
  <c r="AR47" i="31" s="1"/>
  <c r="AR62" i="31" s="1"/>
  <c r="AQ17" i="31"/>
  <c r="AQ32" i="31" s="1"/>
  <c r="AQ47" i="31" s="1"/>
  <c r="AQ62" i="31" s="1"/>
  <c r="AP17" i="31"/>
  <c r="AP32" i="31" s="1"/>
  <c r="AP47" i="31" s="1"/>
  <c r="AP62" i="31" s="1"/>
  <c r="AO17" i="31"/>
  <c r="AO32" i="31" s="1"/>
  <c r="AO47" i="31" s="1"/>
  <c r="AO62" i="31" s="1"/>
  <c r="AN17" i="31"/>
  <c r="AN32" i="31" s="1"/>
  <c r="AN47" i="31" s="1"/>
  <c r="AN62" i="31" s="1"/>
  <c r="AM17" i="31"/>
  <c r="AM32" i="31" s="1"/>
  <c r="AM47" i="31" s="1"/>
  <c r="AM62" i="31" s="1"/>
  <c r="AL17" i="31"/>
  <c r="AL32" i="31" s="1"/>
  <c r="AL47" i="31" s="1"/>
  <c r="AL62" i="31" s="1"/>
  <c r="AK17" i="31"/>
  <c r="AK32" i="31" s="1"/>
  <c r="AK47" i="31" s="1"/>
  <c r="AK62" i="31" s="1"/>
  <c r="AJ17" i="31"/>
  <c r="AJ32" i="31" s="1"/>
  <c r="AJ47" i="31" s="1"/>
  <c r="AJ62" i="31" s="1"/>
  <c r="AI17" i="31"/>
  <c r="AI32" i="31" s="1"/>
  <c r="AI47" i="31" s="1"/>
  <c r="AI62" i="31" s="1"/>
  <c r="AH17" i="31"/>
  <c r="AH32" i="31" s="1"/>
  <c r="AH47" i="31" s="1"/>
  <c r="AH62" i="31" s="1"/>
  <c r="AG17" i="31"/>
  <c r="AG32" i="31" s="1"/>
  <c r="AG47" i="31" s="1"/>
  <c r="AG62" i="31" s="1"/>
  <c r="W17" i="31"/>
  <c r="W32" i="31" s="1"/>
  <c r="W47" i="31" s="1"/>
  <c r="W62" i="31" s="1"/>
  <c r="V17" i="31"/>
  <c r="V32" i="31" s="1"/>
  <c r="V47" i="31" s="1"/>
  <c r="V62" i="31" s="1"/>
  <c r="U17" i="31"/>
  <c r="U32" i="31" s="1"/>
  <c r="U47" i="31" s="1"/>
  <c r="U62" i="31" s="1"/>
  <c r="T17" i="31"/>
  <c r="T32" i="31" s="1"/>
  <c r="T47" i="31" s="1"/>
  <c r="T62" i="31" s="1"/>
  <c r="S17" i="31"/>
  <c r="S32" i="31" s="1"/>
  <c r="S47" i="31" s="1"/>
  <c r="S62" i="31" s="1"/>
  <c r="R17" i="31"/>
  <c r="R32" i="31" s="1"/>
  <c r="R47" i="31" s="1"/>
  <c r="R62" i="31" s="1"/>
  <c r="Q17" i="31"/>
  <c r="Q32" i="31" s="1"/>
  <c r="Q47" i="31" s="1"/>
  <c r="Q62" i="31" s="1"/>
  <c r="P17" i="31"/>
  <c r="P32" i="31" s="1"/>
  <c r="P47" i="31" s="1"/>
  <c r="P62" i="31" s="1"/>
  <c r="O17" i="31"/>
  <c r="O32" i="31" s="1"/>
  <c r="O47" i="31" s="1"/>
  <c r="O62" i="31" s="1"/>
  <c r="N17" i="31"/>
  <c r="N32" i="31" s="1"/>
  <c r="N47" i="31" s="1"/>
  <c r="N62" i="31" s="1"/>
  <c r="M17" i="31"/>
  <c r="M32" i="31" s="1"/>
  <c r="M47" i="31" s="1"/>
  <c r="M62" i="31" s="1"/>
  <c r="L17" i="31"/>
  <c r="L32" i="31" s="1"/>
  <c r="L47" i="31" s="1"/>
  <c r="L62" i="31" s="1"/>
  <c r="K17" i="31"/>
  <c r="K32" i="31" s="1"/>
  <c r="K47" i="31" s="1"/>
  <c r="K62" i="31" s="1"/>
  <c r="J17" i="31"/>
  <c r="J32" i="31" s="1"/>
  <c r="J47" i="31" s="1"/>
  <c r="J62" i="31" s="1"/>
  <c r="I17" i="31"/>
  <c r="I32" i="31" s="1"/>
  <c r="I47" i="31" s="1"/>
  <c r="I62" i="31" s="1"/>
  <c r="H17" i="31"/>
  <c r="H32" i="31" s="1"/>
  <c r="H47" i="31" s="1"/>
  <c r="H62" i="31" s="1"/>
  <c r="F17" i="31"/>
  <c r="F32" i="31" s="1"/>
  <c r="F47" i="31" s="1"/>
  <c r="F62" i="31" s="1"/>
  <c r="E17" i="31"/>
  <c r="E32" i="31" s="1"/>
  <c r="E47" i="31" s="1"/>
  <c r="E62" i="31" s="1"/>
  <c r="D17" i="31"/>
  <c r="D32" i="31" s="1"/>
  <c r="D47" i="31" s="1"/>
  <c r="D62" i="31" s="1"/>
  <c r="C17" i="31"/>
  <c r="C32" i="31" s="1"/>
  <c r="C47" i="31" s="1"/>
  <c r="C62" i="31" s="1"/>
  <c r="CP16" i="31"/>
  <c r="CP31" i="31" s="1"/>
  <c r="CP46" i="31" s="1"/>
  <c r="CP61" i="31" s="1"/>
  <c r="BK16" i="31"/>
  <c r="BK31" i="31" s="1"/>
  <c r="BK46" i="31" s="1"/>
  <c r="BK61" i="31" s="1"/>
  <c r="BE16" i="31"/>
  <c r="BE31" i="31" s="1"/>
  <c r="BE46" i="31" s="1"/>
  <c r="BE61" i="31" s="1"/>
  <c r="AY16" i="31"/>
  <c r="AY31" i="31" s="1"/>
  <c r="AY46" i="31" s="1"/>
  <c r="AY61" i="31" s="1"/>
  <c r="AS16" i="31"/>
  <c r="AS31" i="31" s="1"/>
  <c r="AS46" i="31" s="1"/>
  <c r="AS61" i="31" s="1"/>
  <c r="AM16" i="31"/>
  <c r="AM31" i="31" s="1"/>
  <c r="AM46" i="31" s="1"/>
  <c r="AM61" i="31" s="1"/>
  <c r="AG16" i="31"/>
  <c r="AG31" i="31" s="1"/>
  <c r="AG46" i="31" s="1"/>
  <c r="AG61" i="31" s="1"/>
  <c r="AE16" i="31"/>
  <c r="AE31" i="31" s="1"/>
  <c r="AE46" i="31" s="1"/>
  <c r="AE61" i="31" s="1"/>
  <c r="AD16" i="31"/>
  <c r="AD31" i="31" s="1"/>
  <c r="AD46" i="31" s="1"/>
  <c r="AD61" i="31" s="1"/>
  <c r="AC16" i="31"/>
  <c r="AC31" i="31" s="1"/>
  <c r="AC46" i="31" s="1"/>
  <c r="AC61" i="31" s="1"/>
  <c r="AA16" i="31"/>
  <c r="AA31" i="31" s="1"/>
  <c r="AA46" i="31" s="1"/>
  <c r="AA61" i="31" s="1"/>
  <c r="Z16" i="31"/>
  <c r="Z31" i="31" s="1"/>
  <c r="Z46" i="31" s="1"/>
  <c r="Z61" i="31" s="1"/>
  <c r="Y16" i="31"/>
  <c r="Y31" i="31" s="1"/>
  <c r="Y46" i="31" s="1"/>
  <c r="Y61" i="31" s="1"/>
  <c r="T16" i="31"/>
  <c r="T31" i="31" s="1"/>
  <c r="T46" i="31" s="1"/>
  <c r="T61" i="31" s="1"/>
  <c r="P16" i="31"/>
  <c r="P31" i="31" s="1"/>
  <c r="P46" i="31" s="1"/>
  <c r="P61" i="31" s="1"/>
  <c r="L16" i="31"/>
  <c r="L31" i="31" s="1"/>
  <c r="L46" i="31" s="1"/>
  <c r="L61" i="31" s="1"/>
  <c r="H16" i="31"/>
  <c r="H31" i="31" s="1"/>
  <c r="H46" i="31" s="1"/>
  <c r="H61" i="31" s="1"/>
  <c r="G16" i="31"/>
  <c r="G31" i="31" s="1"/>
  <c r="G46" i="31" s="1"/>
  <c r="G61" i="31" s="1"/>
  <c r="C16" i="31"/>
  <c r="C31" i="31" s="1"/>
  <c r="C46" i="31" s="1"/>
  <c r="C61" i="31" s="1"/>
  <c r="DO59" i="25" l="1"/>
  <c r="DO14" i="25"/>
  <c r="DO29" i="25"/>
  <c r="DO44" i="25"/>
  <c r="DM77" i="25"/>
  <c r="G16" i="25"/>
  <c r="CS82" i="28" l="1"/>
  <c r="CS83" i="28"/>
  <c r="CS84" i="28"/>
  <c r="CS79" i="28"/>
  <c r="CS81" i="28"/>
  <c r="BS17" i="28" l="1"/>
  <c r="BR17" i="28"/>
  <c r="BQ17" i="28"/>
  <c r="BP17" i="28"/>
  <c r="BO17" i="28"/>
  <c r="BN17" i="28"/>
  <c r="BM17" i="28"/>
  <c r="BL17" i="28"/>
  <c r="BK17" i="28"/>
  <c r="BJ17" i="28"/>
  <c r="BI17" i="28"/>
  <c r="BH17" i="28"/>
  <c r="BH32" i="28" s="1"/>
  <c r="BH47" i="28" s="1"/>
  <c r="BH62" i="28" s="1"/>
  <c r="BG17" i="28"/>
  <c r="BF17" i="28"/>
  <c r="BE17" i="28"/>
  <c r="BD17" i="28"/>
  <c r="BC17" i="28"/>
  <c r="BB17" i="28"/>
  <c r="BB32" i="28" s="1"/>
  <c r="BB47" i="28" s="1"/>
  <c r="BB62" i="28" s="1"/>
  <c r="BA17" i="28"/>
  <c r="AZ17" i="28"/>
  <c r="AY17" i="28"/>
  <c r="AX17" i="28"/>
  <c r="AW17" i="28"/>
  <c r="AV17" i="28"/>
  <c r="AV32" i="28" s="1"/>
  <c r="AV47" i="28" s="1"/>
  <c r="AV62" i="28" s="1"/>
  <c r="AU17" i="28"/>
  <c r="AT17" i="28"/>
  <c r="AS17" i="28"/>
  <c r="AR17" i="28"/>
  <c r="AQ17" i="28"/>
  <c r="AP17" i="28"/>
  <c r="AP32" i="28" s="1"/>
  <c r="AP47" i="28" s="1"/>
  <c r="AP62" i="28" s="1"/>
  <c r="AO17" i="28"/>
  <c r="AN17" i="28"/>
  <c r="AM17" i="28"/>
  <c r="AL17" i="28"/>
  <c r="AK17" i="28"/>
  <c r="AJ17" i="28"/>
  <c r="AJ32" i="28" s="1"/>
  <c r="AJ47" i="28" s="1"/>
  <c r="AJ62" i="28" s="1"/>
  <c r="Z17" i="28"/>
  <c r="Y17" i="28"/>
  <c r="X17" i="28"/>
  <c r="W17" i="28"/>
  <c r="W32" i="28" s="1"/>
  <c r="W47" i="28" s="1"/>
  <c r="W62" i="28" s="1"/>
  <c r="V17" i="28"/>
  <c r="U17" i="28"/>
  <c r="T17" i="28"/>
  <c r="S17" i="28"/>
  <c r="S32" i="28" s="1"/>
  <c r="S47" i="28" s="1"/>
  <c r="S62" i="28" s="1"/>
  <c r="R17" i="28"/>
  <c r="R32" i="28" s="1"/>
  <c r="R47" i="28" s="1"/>
  <c r="R62" i="28" s="1"/>
  <c r="Q17" i="28"/>
  <c r="Q32" i="28" s="1"/>
  <c r="Q47" i="28" s="1"/>
  <c r="Q62" i="28" s="1"/>
  <c r="P17" i="28"/>
  <c r="P32" i="28" s="1"/>
  <c r="P47" i="28" s="1"/>
  <c r="P62" i="28" s="1"/>
  <c r="O17" i="28"/>
  <c r="O32" i="28" s="1"/>
  <c r="O47" i="28" s="1"/>
  <c r="O62" i="28" s="1"/>
  <c r="N17" i="28"/>
  <c r="M17" i="28"/>
  <c r="L17" i="28"/>
  <c r="K17" i="28"/>
  <c r="K32" i="28" s="1"/>
  <c r="K47" i="28" s="1"/>
  <c r="K62" i="28" s="1"/>
  <c r="I17" i="28"/>
  <c r="H17" i="28"/>
  <c r="G17" i="28"/>
  <c r="F17" i="28"/>
  <c r="F32" i="28" s="1"/>
  <c r="F47" i="28" s="1"/>
  <c r="F62" i="28" s="1"/>
  <c r="G32" i="28" l="1"/>
  <c r="G47" i="28" s="1"/>
  <c r="G62" i="28" s="1"/>
  <c r="G76" i="28"/>
  <c r="H32" i="28"/>
  <c r="H47" i="28" s="1"/>
  <c r="H62" i="28" s="1"/>
  <c r="H76" i="28"/>
  <c r="I32" i="28"/>
  <c r="I47" i="28" s="1"/>
  <c r="I62" i="28" s="1"/>
  <c r="I76" i="28"/>
  <c r="L32" i="28"/>
  <c r="L47" i="28" s="1"/>
  <c r="L62" i="28" s="1"/>
  <c r="L76" i="28"/>
  <c r="M32" i="28"/>
  <c r="M47" i="28" s="1"/>
  <c r="M62" i="28" s="1"/>
  <c r="M76" i="28"/>
  <c r="N32" i="28"/>
  <c r="N47" i="28" s="1"/>
  <c r="N62" i="28" s="1"/>
  <c r="N76" i="28"/>
  <c r="T32" i="28"/>
  <c r="T47" i="28" s="1"/>
  <c r="T62" i="28" s="1"/>
  <c r="T76" i="28"/>
  <c r="U32" i="28"/>
  <c r="U47" i="28" s="1"/>
  <c r="U62" i="28" s="1"/>
  <c r="U76" i="28"/>
  <c r="V32" i="28"/>
  <c r="V47" i="28" s="1"/>
  <c r="V62" i="28" s="1"/>
  <c r="V76" i="28"/>
  <c r="X32" i="28"/>
  <c r="X47" i="28" s="1"/>
  <c r="X62" i="28" s="1"/>
  <c r="X76" i="28"/>
  <c r="Y32" i="28"/>
  <c r="Y47" i="28" s="1"/>
  <c r="Y62" i="28" s="1"/>
  <c r="Y76" i="28"/>
  <c r="Z32" i="28"/>
  <c r="Z47" i="28" s="1"/>
  <c r="Z62" i="28" s="1"/>
  <c r="Z76" i="28"/>
  <c r="AK32" i="28"/>
  <c r="AK47" i="28" s="1"/>
  <c r="AK62" i="28" s="1"/>
  <c r="AK76" i="28"/>
  <c r="AL32" i="28"/>
  <c r="AL47" i="28" s="1"/>
  <c r="AL62" i="28" s="1"/>
  <c r="AL76" i="28"/>
  <c r="AM32" i="28"/>
  <c r="AM47" i="28" s="1"/>
  <c r="AM62" i="28" s="1"/>
  <c r="AM76" i="28"/>
  <c r="AN32" i="28"/>
  <c r="AN47" i="28" s="1"/>
  <c r="AN62" i="28" s="1"/>
  <c r="AN76" i="28"/>
  <c r="AO32" i="28"/>
  <c r="AO47" i="28" s="1"/>
  <c r="AO62" i="28" s="1"/>
  <c r="AO76" i="28"/>
  <c r="AQ32" i="28"/>
  <c r="AQ47" i="28" s="1"/>
  <c r="AQ62" i="28" s="1"/>
  <c r="AQ76" i="28"/>
  <c r="AR32" i="28"/>
  <c r="AR47" i="28" s="1"/>
  <c r="AR62" i="28" s="1"/>
  <c r="AR76" i="28"/>
  <c r="AS32" i="28"/>
  <c r="AS47" i="28" s="1"/>
  <c r="AS62" i="28" s="1"/>
  <c r="AS76" i="28"/>
  <c r="AT32" i="28"/>
  <c r="AT47" i="28" s="1"/>
  <c r="AT62" i="28" s="1"/>
  <c r="AT76" i="28"/>
  <c r="AU32" i="28"/>
  <c r="AU47" i="28" s="1"/>
  <c r="AU62" i="28" s="1"/>
  <c r="AU76" i="28"/>
  <c r="AW32" i="28"/>
  <c r="AW47" i="28" s="1"/>
  <c r="AW62" i="28" s="1"/>
  <c r="AW76" i="28"/>
  <c r="AX32" i="28"/>
  <c r="AX47" i="28" s="1"/>
  <c r="AX62" i="28" s="1"/>
  <c r="AX76" i="28"/>
  <c r="AY32" i="28"/>
  <c r="AY47" i="28" s="1"/>
  <c r="AY62" i="28" s="1"/>
  <c r="AY76" i="28"/>
  <c r="AZ32" i="28"/>
  <c r="AZ47" i="28" s="1"/>
  <c r="AZ62" i="28" s="1"/>
  <c r="AZ76" i="28"/>
  <c r="BA32" i="28"/>
  <c r="BA47" i="28" s="1"/>
  <c r="BA62" i="28" s="1"/>
  <c r="BA76" i="28"/>
  <c r="BC32" i="28"/>
  <c r="BC47" i="28" s="1"/>
  <c r="BC62" i="28" s="1"/>
  <c r="BC76" i="28"/>
  <c r="BD32" i="28"/>
  <c r="BD47" i="28" s="1"/>
  <c r="BD62" i="28" s="1"/>
  <c r="BD76" i="28"/>
  <c r="BE32" i="28"/>
  <c r="BE47" i="28" s="1"/>
  <c r="BE62" i="28" s="1"/>
  <c r="BE76" i="28"/>
  <c r="BF32" i="28"/>
  <c r="BF47" i="28" s="1"/>
  <c r="BF62" i="28" s="1"/>
  <c r="BF76" i="28"/>
  <c r="BG32" i="28"/>
  <c r="BG47" i="28" s="1"/>
  <c r="BG62" i="28" s="1"/>
  <c r="BG76" i="28"/>
  <c r="BI32" i="28"/>
  <c r="BI47" i="28" s="1"/>
  <c r="BI62" i="28" s="1"/>
  <c r="BI76" i="28"/>
  <c r="BJ32" i="28"/>
  <c r="BJ47" i="28" s="1"/>
  <c r="BJ62" i="28" s="1"/>
  <c r="BJ76" i="28"/>
  <c r="BK32" i="28"/>
  <c r="BK47" i="28" s="1"/>
  <c r="BK62" i="28" s="1"/>
  <c r="BK76" i="28"/>
  <c r="BL32" i="28"/>
  <c r="BL47" i="28" s="1"/>
  <c r="BL62" i="28" s="1"/>
  <c r="BL76" i="28"/>
  <c r="BM32" i="28"/>
  <c r="BM47" i="28" s="1"/>
  <c r="BM62" i="28" s="1"/>
  <c r="BM76" i="28"/>
  <c r="BN32" i="28"/>
  <c r="BN47" i="28" s="1"/>
  <c r="BN62" i="28" s="1"/>
  <c r="BO32" i="28"/>
  <c r="BO47" i="28" s="1"/>
  <c r="BO62" i="28" s="1"/>
  <c r="BO76" i="28"/>
  <c r="BP32" i="28"/>
  <c r="BP47" i="28" s="1"/>
  <c r="BP62" i="28" s="1"/>
  <c r="BP76" i="28"/>
  <c r="BQ32" i="28"/>
  <c r="BQ47" i="28" s="1"/>
  <c r="BQ62" i="28" s="1"/>
  <c r="BQ76" i="28"/>
  <c r="BR32" i="28"/>
  <c r="BR47" i="28" s="1"/>
  <c r="BR62" i="28" s="1"/>
  <c r="BR76" i="28"/>
  <c r="BS32" i="28"/>
  <c r="BS47" i="28" s="1"/>
  <c r="BS62" i="28" s="1"/>
  <c r="BS76" i="28"/>
  <c r="H2" i="26"/>
  <c r="H29" i="26" s="1"/>
  <c r="G2" i="26"/>
  <c r="G29" i="26" s="1"/>
  <c r="F2" i="26"/>
  <c r="F29" i="26" s="1"/>
  <c r="E2" i="26"/>
  <c r="E29" i="26" s="1"/>
  <c r="D2" i="26"/>
  <c r="C2" i="26"/>
  <c r="C29" i="26" s="1"/>
  <c r="B4" i="38" l="1"/>
  <c r="D29" i="26"/>
  <c r="CS16" i="28"/>
  <c r="BN31" i="28"/>
  <c r="BH16" i="28"/>
  <c r="BB16" i="28"/>
  <c r="AV16" i="28"/>
  <c r="AP16" i="28"/>
  <c r="AJ16" i="28"/>
  <c r="AH16" i="28"/>
  <c r="AG16" i="28"/>
  <c r="AF16" i="28"/>
  <c r="AC16" i="28"/>
  <c r="AB16" i="28"/>
  <c r="W16" i="28"/>
  <c r="S16" i="28"/>
  <c r="O16" i="28"/>
  <c r="O31" i="28" s="1"/>
  <c r="O46" i="28" s="1"/>
  <c r="O61" i="28" s="1"/>
  <c r="K16" i="28"/>
  <c r="J16" i="28"/>
  <c r="F16" i="28"/>
  <c r="F31" i="28" l="1"/>
  <c r="F46" i="28" s="1"/>
  <c r="F61" i="28" s="1"/>
  <c r="F76" i="28"/>
  <c r="C12" i="42" s="1"/>
  <c r="J31" i="28"/>
  <c r="J46" i="28" s="1"/>
  <c r="J61" i="28" s="1"/>
  <c r="J76" i="28"/>
  <c r="C13" i="42" s="1"/>
  <c r="K31" i="28"/>
  <c r="K46" i="28" s="1"/>
  <c r="K61" i="28" s="1"/>
  <c r="K76" i="28"/>
  <c r="C14" i="42" s="1"/>
  <c r="S31" i="28"/>
  <c r="S46" i="28" s="1"/>
  <c r="S61" i="28" s="1"/>
  <c r="S76" i="28"/>
  <c r="W31" i="28"/>
  <c r="W46" i="28" s="1"/>
  <c r="W61" i="28" s="1"/>
  <c r="W76" i="28"/>
  <c r="AB31" i="28"/>
  <c r="AB46" i="28" s="1"/>
  <c r="AB61" i="28" s="1"/>
  <c r="AB76" i="28"/>
  <c r="C26" i="42" s="1"/>
  <c r="AC31" i="28"/>
  <c r="AC46" i="28" s="1"/>
  <c r="AC61" i="28" s="1"/>
  <c r="AC76" i="28"/>
  <c r="C27" i="42" s="1"/>
  <c r="AF31" i="28"/>
  <c r="AF46" i="28" s="1"/>
  <c r="AF61" i="28" s="1"/>
  <c r="AF76" i="28"/>
  <c r="C28" i="42" s="1"/>
  <c r="AG31" i="28"/>
  <c r="AG46" i="28" s="1"/>
  <c r="AG61" i="28" s="1"/>
  <c r="AG76" i="28"/>
  <c r="C29" i="42" s="1"/>
  <c r="AH31" i="28"/>
  <c r="AH46" i="28" s="1"/>
  <c r="AH61" i="28" s="1"/>
  <c r="AH76" i="28"/>
  <c r="C30" i="42" s="1"/>
  <c r="AJ31" i="28"/>
  <c r="AJ46" i="28" s="1"/>
  <c r="AJ61" i="28" s="1"/>
  <c r="AJ76" i="28"/>
  <c r="C18" i="42" s="1"/>
  <c r="AP31" i="28"/>
  <c r="AP46" i="28" s="1"/>
  <c r="AP61" i="28" s="1"/>
  <c r="AP76" i="28"/>
  <c r="C19" i="42" s="1"/>
  <c r="AV31" i="28"/>
  <c r="AV46" i="28" s="1"/>
  <c r="AV61" i="28" s="1"/>
  <c r="AV76" i="28"/>
  <c r="C20" i="42" s="1"/>
  <c r="BB31" i="28"/>
  <c r="BB46" i="28" s="1"/>
  <c r="BB61" i="28" s="1"/>
  <c r="BB76" i="28"/>
  <c r="C21" i="42" s="1"/>
  <c r="BH31" i="28"/>
  <c r="BH46" i="28" s="1"/>
  <c r="BH61" i="28" s="1"/>
  <c r="BH76" i="28"/>
  <c r="C22" i="42" s="1"/>
  <c r="BN46" i="28"/>
  <c r="BN61" i="28" s="1"/>
  <c r="BN76" i="28"/>
  <c r="C23" i="42" s="1"/>
  <c r="CS31" i="28"/>
  <c r="CS46" i="28" s="1"/>
  <c r="CS61" i="28" s="1"/>
  <c r="CS76" i="28"/>
  <c r="B15" i="26"/>
  <c r="B14" i="27"/>
  <c r="B14" i="26" s="1"/>
  <c r="B13" i="27"/>
  <c r="B13" i="26" s="1"/>
  <c r="B12" i="27"/>
  <c r="B12" i="26" s="1"/>
  <c r="B11" i="27"/>
  <c r="B11" i="26" s="1"/>
  <c r="B10" i="27"/>
  <c r="B10" i="26" s="1"/>
  <c r="B9" i="27"/>
  <c r="B9" i="26" s="1"/>
  <c r="B8" i="27"/>
  <c r="B8" i="26" s="1"/>
  <c r="B7" i="27"/>
  <c r="B7" i="26" s="1"/>
  <c r="B6" i="27"/>
  <c r="B6" i="26" s="1"/>
  <c r="B5" i="27"/>
  <c r="B5" i="26" s="1"/>
  <c r="B4" i="27"/>
  <c r="B4" i="26" s="1"/>
  <c r="B2" i="27"/>
  <c r="B2" i="26" s="1"/>
  <c r="B3" i="27"/>
  <c r="B3" i="26" s="1"/>
  <c r="A2" i="27"/>
  <c r="A2" i="26" s="1"/>
  <c r="A3" i="26"/>
  <c r="C24" i="42" l="1"/>
  <c r="C33" i="42"/>
  <c r="F2" i="27"/>
  <c r="E2" i="27"/>
  <c r="D2" i="27"/>
  <c r="C2" i="27"/>
  <c r="G16" i="27" l="1"/>
  <c r="G18" i="27" l="1"/>
  <c r="DH78" i="28"/>
  <c r="CS80" i="28"/>
  <c r="EL78" i="32"/>
  <c r="EN78" i="32" l="1"/>
  <c r="EL89" i="32"/>
  <c r="CS91" i="28"/>
  <c r="G8" i="36" l="1"/>
  <c r="D8" i="36"/>
  <c r="G7" i="36"/>
  <c r="D7" i="36"/>
  <c r="G6" i="36"/>
  <c r="D6" i="36"/>
  <c r="G5" i="36"/>
  <c r="D5" i="36"/>
  <c r="G4" i="36"/>
  <c r="D4" i="36"/>
  <c r="G3" i="36"/>
  <c r="D3" i="36"/>
  <c r="G10" i="36"/>
  <c r="D10" i="36"/>
  <c r="G14" i="36"/>
  <c r="D14" i="36"/>
  <c r="G13" i="36"/>
  <c r="D13" i="36"/>
  <c r="G11" i="36"/>
  <c r="D11" i="36"/>
  <c r="G9" i="36"/>
  <c r="D9" i="36"/>
  <c r="G12" i="36"/>
  <c r="D12" i="36"/>
  <c r="G15" i="36" l="1"/>
  <c r="D15" i="36"/>
  <c r="FB35" i="32"/>
  <c r="FB55" i="32"/>
  <c r="FB72" i="32"/>
  <c r="FB36" i="32"/>
  <c r="DF36" i="28"/>
  <c r="CA86" i="28"/>
  <c r="DF10" i="28"/>
  <c r="DF26" i="28"/>
  <c r="FB65" i="32"/>
  <c r="DQ79" i="32"/>
  <c r="FB5" i="32"/>
  <c r="FB40" i="32"/>
  <c r="DF74" i="28"/>
  <c r="DF28" i="28"/>
  <c r="DF49" i="28"/>
  <c r="DF66" i="28"/>
  <c r="CA87" i="28"/>
  <c r="DF11" i="28"/>
  <c r="DF55" i="28"/>
  <c r="DQ87" i="32"/>
  <c r="FB13" i="32"/>
  <c r="DF72" i="28"/>
  <c r="DF51" i="28"/>
  <c r="CA89" i="28"/>
  <c r="DF13" i="28"/>
  <c r="FB22" i="32"/>
  <c r="DF58" i="28"/>
  <c r="DF37" i="28"/>
  <c r="FB59" i="32"/>
  <c r="DQ81" i="32"/>
  <c r="FB7" i="32"/>
  <c r="FB43" i="32"/>
  <c r="DF68" i="28"/>
  <c r="FB29" i="32"/>
  <c r="FB73" i="32"/>
  <c r="FB34" i="32"/>
  <c r="FB53" i="32"/>
  <c r="DF67" i="28"/>
  <c r="CA83" i="28"/>
  <c r="DF7" i="28"/>
  <c r="FB18" i="32"/>
  <c r="FB69" i="32"/>
  <c r="DQ83" i="32"/>
  <c r="FB9" i="32"/>
  <c r="DF27" i="28"/>
  <c r="DF29" i="28"/>
  <c r="DF71" i="28"/>
  <c r="DF44" i="28"/>
  <c r="FB38" i="32"/>
  <c r="FB52" i="32"/>
  <c r="DF23" i="28"/>
  <c r="DF33" i="28"/>
  <c r="FB42" i="32"/>
  <c r="DF73" i="28"/>
  <c r="DF34" i="28"/>
  <c r="DF48" i="28"/>
  <c r="FB39" i="32"/>
  <c r="FB57" i="32"/>
  <c r="DF41" i="28"/>
  <c r="DF53" i="28"/>
  <c r="FB66" i="32"/>
  <c r="DF54" i="28"/>
  <c r="FB51" i="32"/>
  <c r="CA81" i="28"/>
  <c r="DF5" i="28"/>
  <c r="FB24" i="32"/>
  <c r="FB74" i="32"/>
  <c r="CA90" i="28"/>
  <c r="DF14" i="28"/>
  <c r="DF35" i="28"/>
  <c r="FB37" i="32"/>
  <c r="DF24" i="28"/>
  <c r="FB21" i="32"/>
  <c r="DQ82" i="32"/>
  <c r="FB8" i="32"/>
  <c r="FB27" i="32"/>
  <c r="FB58" i="32"/>
  <c r="FB23" i="32"/>
  <c r="FB20" i="32"/>
  <c r="DF43" i="28"/>
  <c r="FB64" i="32"/>
  <c r="DQ78" i="32"/>
  <c r="FB4" i="32"/>
  <c r="DF69" i="28"/>
  <c r="CA85" i="28"/>
  <c r="DF9" i="28"/>
  <c r="FB56" i="32"/>
  <c r="DF38" i="28"/>
  <c r="DF52" i="28"/>
  <c r="FB33" i="32"/>
  <c r="FB25" i="32"/>
  <c r="DF42" i="28"/>
  <c r="DF39" i="28"/>
  <c r="DF57" i="28"/>
  <c r="FB41" i="32"/>
  <c r="FB63" i="32"/>
  <c r="FB3" i="32"/>
  <c r="DF50" i="28"/>
  <c r="DQ85" i="32"/>
  <c r="FB11" i="32"/>
  <c r="DQ86" i="32"/>
  <c r="FB12" i="32"/>
  <c r="DQ88" i="32"/>
  <c r="FB14" i="32"/>
  <c r="DF65" i="28"/>
  <c r="CA88" i="28"/>
  <c r="DF12" i="28"/>
  <c r="FB68" i="32"/>
  <c r="DQ80" i="32"/>
  <c r="FB6" i="32"/>
  <c r="FB67" i="32"/>
  <c r="CA84" i="28"/>
  <c r="DF8" i="28"/>
  <c r="CA82" i="28"/>
  <c r="DF6" i="28"/>
  <c r="FB71" i="32"/>
  <c r="DF59" i="28"/>
  <c r="FB48" i="32"/>
  <c r="FB50" i="32"/>
  <c r="DF64" i="28"/>
  <c r="CA80" i="28"/>
  <c r="DF4" i="28"/>
  <c r="FB70" i="32"/>
  <c r="DQ84" i="32"/>
  <c r="FB10" i="32"/>
  <c r="FB54" i="32"/>
  <c r="DF56" i="28"/>
  <c r="FB26" i="32"/>
  <c r="FB19" i="32"/>
  <c r="DF40" i="28"/>
  <c r="FB28" i="32"/>
  <c r="FB49" i="32"/>
  <c r="DF63" i="28"/>
  <c r="CA79" i="28"/>
  <c r="DF3" i="28"/>
  <c r="CW9" i="31" l="1"/>
  <c r="DF9" i="25" s="1"/>
  <c r="BU9" i="31"/>
  <c r="CD9" i="25" s="1"/>
  <c r="BT9" i="31"/>
  <c r="CC9" i="25" s="1"/>
  <c r="BS9" i="31"/>
  <c r="CB9" i="25" s="1"/>
  <c r="BR9" i="31"/>
  <c r="CA9" i="25" s="1"/>
  <c r="BQ9" i="31"/>
  <c r="BZ9" i="25" s="1"/>
  <c r="BV9" i="31"/>
  <c r="CE9" i="25" s="1"/>
  <c r="CW73" i="31"/>
  <c r="DF73" i="25" s="1"/>
  <c r="BT73" i="31"/>
  <c r="CC73" i="25" s="1"/>
  <c r="BS73" i="31"/>
  <c r="CB73" i="25" s="1"/>
  <c r="BR73" i="31"/>
  <c r="CA73" i="25" s="1"/>
  <c r="BQ73" i="31"/>
  <c r="BZ73" i="25" s="1"/>
  <c r="BV73" i="31"/>
  <c r="CE73" i="25" s="1"/>
  <c r="BU73" i="31"/>
  <c r="CD73" i="25" s="1"/>
  <c r="CW67" i="31"/>
  <c r="DF67" i="25" s="1"/>
  <c r="BV67" i="31"/>
  <c r="CE67" i="25" s="1"/>
  <c r="BU67" i="31"/>
  <c r="CD67" i="25" s="1"/>
  <c r="BT67" i="31"/>
  <c r="CC67" i="25" s="1"/>
  <c r="BR67" i="31"/>
  <c r="CA67" i="25" s="1"/>
  <c r="BS67" i="31"/>
  <c r="CB67" i="25" s="1"/>
  <c r="BQ67" i="31"/>
  <c r="BZ67" i="25" s="1"/>
  <c r="CW72" i="31"/>
  <c r="DF72" i="25" s="1"/>
  <c r="BQ72" i="31"/>
  <c r="BZ72" i="25" s="1"/>
  <c r="BT72" i="31"/>
  <c r="CC72" i="25" s="1"/>
  <c r="BV72" i="31"/>
  <c r="CE72" i="25" s="1"/>
  <c r="BU72" i="31"/>
  <c r="CD72" i="25" s="1"/>
  <c r="BS72" i="31"/>
  <c r="CB72" i="25" s="1"/>
  <c r="BR72" i="31"/>
  <c r="CA72" i="25" s="1"/>
  <c r="CW63" i="31"/>
  <c r="DF63" i="25" s="1"/>
  <c r="BV63" i="31"/>
  <c r="CE63" i="25" s="1"/>
  <c r="BU63" i="31"/>
  <c r="CD63" i="25" s="1"/>
  <c r="BT63" i="31"/>
  <c r="CC63" i="25" s="1"/>
  <c r="BR63" i="31"/>
  <c r="CA63" i="25" s="1"/>
  <c r="BS63" i="31"/>
  <c r="CB63" i="25" s="1"/>
  <c r="BQ63" i="31"/>
  <c r="BZ63" i="25" s="1"/>
  <c r="CW14" i="31"/>
  <c r="DF14" i="25" s="1"/>
  <c r="D14" i="31"/>
  <c r="M14" i="25" s="1"/>
  <c r="C14" i="31"/>
  <c r="E14" i="31"/>
  <c r="N14" i="25" s="1"/>
  <c r="F14" i="31"/>
  <c r="O14" i="25" s="1"/>
  <c r="BV14" i="31"/>
  <c r="CE14" i="25" s="1"/>
  <c r="BU14" i="31"/>
  <c r="CD14" i="25" s="1"/>
  <c r="BT14" i="31"/>
  <c r="CC14" i="25" s="1"/>
  <c r="BS14" i="31"/>
  <c r="CB14" i="25" s="1"/>
  <c r="BR14" i="31"/>
  <c r="CA14" i="25" s="1"/>
  <c r="BQ14" i="31"/>
  <c r="BZ14" i="25" s="1"/>
  <c r="CW74" i="31"/>
  <c r="DF74" i="25" s="1"/>
  <c r="BV74" i="31"/>
  <c r="CE74" i="25" s="1"/>
  <c r="BU74" i="31"/>
  <c r="CD74" i="25" s="1"/>
  <c r="BT74" i="31"/>
  <c r="CC74" i="25" s="1"/>
  <c r="BS74" i="31"/>
  <c r="CB74" i="25" s="1"/>
  <c r="BR74" i="31"/>
  <c r="CA74" i="25" s="1"/>
  <c r="BQ74" i="31"/>
  <c r="BZ74" i="25" s="1"/>
  <c r="BS42" i="31"/>
  <c r="CB42" i="25" s="1"/>
  <c r="BR42" i="31"/>
  <c r="CA42" i="25" s="1"/>
  <c r="BQ42" i="31"/>
  <c r="BZ42" i="25" s="1"/>
  <c r="CW69" i="31"/>
  <c r="DF69" i="25" s="1"/>
  <c r="BT69" i="31"/>
  <c r="CC69" i="25" s="1"/>
  <c r="BS69" i="31"/>
  <c r="CB69" i="25" s="1"/>
  <c r="BR69" i="31"/>
  <c r="CA69" i="25" s="1"/>
  <c r="BV69" i="31"/>
  <c r="CE69" i="25" s="1"/>
  <c r="BQ69" i="31"/>
  <c r="BZ69" i="25" s="1"/>
  <c r="BU69" i="31"/>
  <c r="CD69" i="25" s="1"/>
  <c r="DG44" i="28"/>
  <c r="CW6" i="31"/>
  <c r="DF6" i="25" s="1"/>
  <c r="BV6" i="31"/>
  <c r="CE6" i="25" s="1"/>
  <c r="BU6" i="31"/>
  <c r="CD6" i="25" s="1"/>
  <c r="BT6" i="31"/>
  <c r="CC6" i="25" s="1"/>
  <c r="BQ6" i="31"/>
  <c r="BZ6" i="25" s="1"/>
  <c r="BS6" i="31"/>
  <c r="CB6" i="25" s="1"/>
  <c r="BR6" i="31"/>
  <c r="CA6" i="25" s="1"/>
  <c r="CW12" i="31"/>
  <c r="DF12" i="25" s="1"/>
  <c r="BS12" i="31"/>
  <c r="CB12" i="25" s="1"/>
  <c r="BR12" i="31"/>
  <c r="CA12" i="25" s="1"/>
  <c r="BQ12" i="31"/>
  <c r="BZ12" i="25" s="1"/>
  <c r="BU12" i="31"/>
  <c r="CD12" i="25" s="1"/>
  <c r="BV12" i="31"/>
  <c r="CE12" i="25" s="1"/>
  <c r="BT12" i="31"/>
  <c r="CC12" i="25" s="1"/>
  <c r="CW4" i="31"/>
  <c r="DF4" i="25" s="1"/>
  <c r="BS4" i="31"/>
  <c r="CB4" i="25" s="1"/>
  <c r="BR4" i="31"/>
  <c r="CA4" i="25" s="1"/>
  <c r="BQ4" i="31"/>
  <c r="BZ4" i="25" s="1"/>
  <c r="BU4" i="31"/>
  <c r="CD4" i="25" s="1"/>
  <c r="BV4" i="31"/>
  <c r="CE4" i="25" s="1"/>
  <c r="BT4" i="31"/>
  <c r="CC4" i="25" s="1"/>
  <c r="CW50" i="31"/>
  <c r="DF50" i="25" s="1"/>
  <c r="BQ50" i="31"/>
  <c r="BZ50" i="25" s="1"/>
  <c r="BV50" i="31"/>
  <c r="CE50" i="25" s="1"/>
  <c r="BU50" i="31"/>
  <c r="CD50" i="25" s="1"/>
  <c r="BT50" i="31"/>
  <c r="CC50" i="25" s="1"/>
  <c r="BS50" i="31"/>
  <c r="CB50" i="25" s="1"/>
  <c r="BR50" i="31"/>
  <c r="CA50" i="25" s="1"/>
  <c r="CW11" i="31"/>
  <c r="DF11" i="25" s="1"/>
  <c r="BS11" i="31"/>
  <c r="CB11" i="25" s="1"/>
  <c r="BV11" i="31"/>
  <c r="CE11" i="25" s="1"/>
  <c r="BU11" i="31"/>
  <c r="CD11" i="25" s="1"/>
  <c r="BT11" i="31"/>
  <c r="CC11" i="25" s="1"/>
  <c r="BR11" i="31"/>
  <c r="CA11" i="25" s="1"/>
  <c r="BQ11" i="31"/>
  <c r="BZ11" i="25" s="1"/>
  <c r="CW65" i="31"/>
  <c r="DF65" i="25" s="1"/>
  <c r="BS65" i="31"/>
  <c r="CB65" i="25" s="1"/>
  <c r="BR65" i="31"/>
  <c r="CA65" i="25" s="1"/>
  <c r="BV65" i="31"/>
  <c r="CE65" i="25" s="1"/>
  <c r="BQ65" i="31"/>
  <c r="BZ65" i="25" s="1"/>
  <c r="BU65" i="31"/>
  <c r="CD65" i="25" s="1"/>
  <c r="BT65" i="31"/>
  <c r="CC65" i="25" s="1"/>
  <c r="CW52" i="31"/>
  <c r="DF52" i="25" s="1"/>
  <c r="BU52" i="31"/>
  <c r="CD52" i="25" s="1"/>
  <c r="BT52" i="31"/>
  <c r="CC52" i="25" s="1"/>
  <c r="BS52" i="31"/>
  <c r="CB52" i="25" s="1"/>
  <c r="BR52" i="31"/>
  <c r="CA52" i="25" s="1"/>
  <c r="BQ52" i="31"/>
  <c r="BZ52" i="25" s="1"/>
  <c r="BV52" i="31"/>
  <c r="CE52" i="25" s="1"/>
  <c r="CW5" i="31"/>
  <c r="DF5" i="25" s="1"/>
  <c r="BT5" i="31"/>
  <c r="CC5" i="25" s="1"/>
  <c r="BS5" i="31"/>
  <c r="CB5" i="25" s="1"/>
  <c r="BR5" i="31"/>
  <c r="CA5" i="25" s="1"/>
  <c r="BQ5" i="31"/>
  <c r="BZ5" i="25" s="1"/>
  <c r="BV5" i="31"/>
  <c r="CE5" i="25" s="1"/>
  <c r="BU5" i="31"/>
  <c r="CD5" i="25" s="1"/>
  <c r="CW68" i="31"/>
  <c r="DF68" i="25" s="1"/>
  <c r="BR68" i="31"/>
  <c r="CA68" i="25" s="1"/>
  <c r="BQ68" i="31"/>
  <c r="BZ68" i="25" s="1"/>
  <c r="BV68" i="31"/>
  <c r="CE68" i="25" s="1"/>
  <c r="BU68" i="31"/>
  <c r="CD68" i="25" s="1"/>
  <c r="BT68" i="31"/>
  <c r="CC68" i="25" s="1"/>
  <c r="BS68" i="31"/>
  <c r="CB68" i="25" s="1"/>
  <c r="CW13" i="31"/>
  <c r="DF13" i="25" s="1"/>
  <c r="BT13" i="31"/>
  <c r="CC13" i="25" s="1"/>
  <c r="BS13" i="31"/>
  <c r="CB13" i="25" s="1"/>
  <c r="BR13" i="31"/>
  <c r="CA13" i="25" s="1"/>
  <c r="BQ13" i="31"/>
  <c r="BZ13" i="25" s="1"/>
  <c r="BV13" i="31"/>
  <c r="CE13" i="25" s="1"/>
  <c r="BU13" i="31"/>
  <c r="CD13" i="25" s="1"/>
  <c r="CW8" i="31"/>
  <c r="DF8" i="25" s="1"/>
  <c r="BR8" i="31"/>
  <c r="CA8" i="25" s="1"/>
  <c r="BQ8" i="31"/>
  <c r="BZ8" i="25" s="1"/>
  <c r="BV8" i="31"/>
  <c r="CE8" i="25" s="1"/>
  <c r="BU8" i="31"/>
  <c r="CD8" i="25" s="1"/>
  <c r="BT8" i="31"/>
  <c r="CC8" i="25" s="1"/>
  <c r="BS8" i="31"/>
  <c r="CB8" i="25" s="1"/>
  <c r="CW64" i="31"/>
  <c r="DF64" i="25" s="1"/>
  <c r="BR64" i="31"/>
  <c r="CA64" i="25" s="1"/>
  <c r="BQ64" i="31"/>
  <c r="BZ64" i="25" s="1"/>
  <c r="BV64" i="31"/>
  <c r="CE64" i="25" s="1"/>
  <c r="BU64" i="31"/>
  <c r="CD64" i="25" s="1"/>
  <c r="BT64" i="31"/>
  <c r="CC64" i="25" s="1"/>
  <c r="BS64" i="31"/>
  <c r="CB64" i="25" s="1"/>
  <c r="CW48" i="31"/>
  <c r="DF48" i="25" s="1"/>
  <c r="DG59" i="28"/>
  <c r="DI59" i="28" s="1"/>
  <c r="DI60" i="28" s="1"/>
  <c r="BV48" i="31"/>
  <c r="CE48" i="25" s="1"/>
  <c r="BU48" i="31"/>
  <c r="CD48" i="25" s="1"/>
  <c r="BT48" i="31"/>
  <c r="CC48" i="25" s="1"/>
  <c r="BS48" i="31"/>
  <c r="CB48" i="25" s="1"/>
  <c r="BR48" i="31"/>
  <c r="CA48" i="25" s="1"/>
  <c r="BQ48" i="31"/>
  <c r="BZ48" i="25" s="1"/>
  <c r="CW7" i="31"/>
  <c r="DF7" i="25" s="1"/>
  <c r="BQ7" i="31"/>
  <c r="BZ7" i="25" s="1"/>
  <c r="BS7" i="31"/>
  <c r="CB7" i="25" s="1"/>
  <c r="BV7" i="31"/>
  <c r="CE7" i="25" s="1"/>
  <c r="BU7" i="31"/>
  <c r="CD7" i="25" s="1"/>
  <c r="BT7" i="31"/>
  <c r="CC7" i="25" s="1"/>
  <c r="BR7" i="31"/>
  <c r="CA7" i="25" s="1"/>
  <c r="CW66" i="31"/>
  <c r="DF66" i="25" s="1"/>
  <c r="BV66" i="31"/>
  <c r="CE66" i="25" s="1"/>
  <c r="BU66" i="31"/>
  <c r="CD66" i="25" s="1"/>
  <c r="BT66" i="31"/>
  <c r="CC66" i="25" s="1"/>
  <c r="BS66" i="31"/>
  <c r="CB66" i="25" s="1"/>
  <c r="BR66" i="31"/>
  <c r="CA66" i="25" s="1"/>
  <c r="BQ66" i="31"/>
  <c r="BZ66" i="25" s="1"/>
  <c r="CW3" i="31"/>
  <c r="DF3" i="25" s="1"/>
  <c r="DG14" i="28"/>
  <c r="DI14" i="28" s="1"/>
  <c r="DI15" i="28" s="1"/>
  <c r="BS3" i="31"/>
  <c r="CB3" i="25" s="1"/>
  <c r="BV3" i="31"/>
  <c r="CE3" i="25" s="1"/>
  <c r="BU3" i="31"/>
  <c r="CD3" i="25" s="1"/>
  <c r="BT3" i="31"/>
  <c r="CC3" i="25" s="1"/>
  <c r="BR3" i="31"/>
  <c r="CA3" i="25" s="1"/>
  <c r="BQ3" i="31"/>
  <c r="BZ3" i="25" s="1"/>
  <c r="CW71" i="31"/>
  <c r="DF71" i="25" s="1"/>
  <c r="BV71" i="31"/>
  <c r="CE71" i="25" s="1"/>
  <c r="BU71" i="31"/>
  <c r="CD71" i="25" s="1"/>
  <c r="BT71" i="31"/>
  <c r="CC71" i="25" s="1"/>
  <c r="BR71" i="31"/>
  <c r="CA71" i="25" s="1"/>
  <c r="BS71" i="31"/>
  <c r="CB71" i="25" s="1"/>
  <c r="BQ71" i="31"/>
  <c r="BZ71" i="25" s="1"/>
  <c r="CW51" i="31"/>
  <c r="DF51" i="25" s="1"/>
  <c r="BT51" i="31"/>
  <c r="CC51" i="25" s="1"/>
  <c r="BS51" i="31"/>
  <c r="CB51" i="25" s="1"/>
  <c r="BR51" i="31"/>
  <c r="CA51" i="25" s="1"/>
  <c r="BV51" i="31"/>
  <c r="CE51" i="25" s="1"/>
  <c r="BQ51" i="31"/>
  <c r="BZ51" i="25" s="1"/>
  <c r="BU51" i="31"/>
  <c r="CD51" i="25" s="1"/>
  <c r="CW49" i="31"/>
  <c r="DF49" i="25" s="1"/>
  <c r="BV49" i="31"/>
  <c r="CE49" i="25" s="1"/>
  <c r="BU49" i="31"/>
  <c r="CD49" i="25" s="1"/>
  <c r="BT49" i="31"/>
  <c r="CC49" i="25" s="1"/>
  <c r="BR49" i="31"/>
  <c r="CA49" i="25" s="1"/>
  <c r="BS49" i="31"/>
  <c r="CB49" i="25" s="1"/>
  <c r="BQ49" i="31"/>
  <c r="BZ49" i="25" s="1"/>
  <c r="CW10" i="31"/>
  <c r="DF10" i="25" s="1"/>
  <c r="BV10" i="31"/>
  <c r="CE10" i="25" s="1"/>
  <c r="BU10" i="31"/>
  <c r="CD10" i="25" s="1"/>
  <c r="BT10" i="31"/>
  <c r="CC10" i="25" s="1"/>
  <c r="BS10" i="31"/>
  <c r="CB10" i="25" s="1"/>
  <c r="BQ10" i="31"/>
  <c r="BZ10" i="25" s="1"/>
  <c r="BR10" i="31"/>
  <c r="CA10" i="25" s="1"/>
  <c r="CW35" i="31"/>
  <c r="DF35" i="25" s="1"/>
  <c r="BU35" i="31"/>
  <c r="CD35" i="25" s="1"/>
  <c r="BT35" i="31"/>
  <c r="CC35" i="25" s="1"/>
  <c r="BS35" i="31"/>
  <c r="CB35" i="25" s="1"/>
  <c r="BV35" i="31"/>
  <c r="CE35" i="25" s="1"/>
  <c r="BR35" i="31"/>
  <c r="CA35" i="25" s="1"/>
  <c r="BQ35" i="31"/>
  <c r="BZ35" i="25" s="1"/>
  <c r="CW36" i="31"/>
  <c r="DF36" i="25" s="1"/>
  <c r="BV36" i="31"/>
  <c r="CE36" i="25" s="1"/>
  <c r="BQ36" i="31"/>
  <c r="BZ36" i="25" s="1"/>
  <c r="BU36" i="31"/>
  <c r="CD36" i="25" s="1"/>
  <c r="BT36" i="31"/>
  <c r="CC36" i="25" s="1"/>
  <c r="BS36" i="31"/>
  <c r="CB36" i="25" s="1"/>
  <c r="BR36" i="31"/>
  <c r="CA36" i="25" s="1"/>
  <c r="CW37" i="31"/>
  <c r="DF37" i="25" s="1"/>
  <c r="BQ37" i="31"/>
  <c r="BZ37" i="25" s="1"/>
  <c r="BT37" i="31"/>
  <c r="CC37" i="25" s="1"/>
  <c r="BR37" i="31"/>
  <c r="CA37" i="25" s="1"/>
  <c r="BV37" i="31"/>
  <c r="CE37" i="25" s="1"/>
  <c r="BS37" i="31"/>
  <c r="CB37" i="25" s="1"/>
  <c r="BU37" i="31"/>
  <c r="CD37" i="25" s="1"/>
  <c r="CW34" i="31"/>
  <c r="DF34" i="25" s="1"/>
  <c r="BS34" i="31"/>
  <c r="CB34" i="25" s="1"/>
  <c r="BT34" i="31"/>
  <c r="CC34" i="25" s="1"/>
  <c r="BR34" i="31"/>
  <c r="CA34" i="25" s="1"/>
  <c r="BQ34" i="31"/>
  <c r="BZ34" i="25" s="1"/>
  <c r="BV34" i="31"/>
  <c r="CE34" i="25" s="1"/>
  <c r="BU34" i="31"/>
  <c r="CD34" i="25" s="1"/>
  <c r="CW33" i="31"/>
  <c r="DF33" i="25" s="1"/>
  <c r="BV33" i="31"/>
  <c r="CE33" i="25" s="1"/>
  <c r="BU33" i="31"/>
  <c r="CD33" i="25" s="1"/>
  <c r="BT33" i="31"/>
  <c r="CC33" i="25" s="1"/>
  <c r="BQ33" i="31"/>
  <c r="BZ33" i="25" s="1"/>
  <c r="BS33" i="31"/>
  <c r="CB33" i="25" s="1"/>
  <c r="BR33" i="31"/>
  <c r="CA33" i="25" s="1"/>
  <c r="CW59" i="31"/>
  <c r="DF59" i="25" s="1"/>
  <c r="BS59" i="31"/>
  <c r="CB59" i="25" s="1"/>
  <c r="BR59" i="31"/>
  <c r="CA59" i="25" s="1"/>
  <c r="BQ59" i="31"/>
  <c r="BZ59" i="25" s="1"/>
  <c r="BT59" i="31"/>
  <c r="CC59" i="25" s="1"/>
  <c r="BU59" i="31"/>
  <c r="CD59" i="25" s="1"/>
  <c r="BV59" i="31"/>
  <c r="CE59" i="25" s="1"/>
  <c r="CW29" i="31"/>
  <c r="DF29" i="25" s="1"/>
  <c r="BQ29" i="31"/>
  <c r="BZ29" i="25" s="1"/>
  <c r="BV29" i="31"/>
  <c r="CE29" i="25" s="1"/>
  <c r="BR29" i="31"/>
  <c r="CA29" i="25" s="1"/>
  <c r="BU29" i="31"/>
  <c r="CD29" i="25" s="1"/>
  <c r="BT29" i="31"/>
  <c r="CC29" i="25" s="1"/>
  <c r="BS29" i="31"/>
  <c r="CB29" i="25" s="1"/>
  <c r="CW44" i="31"/>
  <c r="DF44" i="25" s="1"/>
  <c r="BV44" i="31"/>
  <c r="CE44" i="25" s="1"/>
  <c r="BU44" i="31"/>
  <c r="CD44" i="25" s="1"/>
  <c r="BQ44" i="31"/>
  <c r="BZ44" i="25" s="1"/>
  <c r="BT44" i="31"/>
  <c r="CC44" i="25" s="1"/>
  <c r="BS44" i="31"/>
  <c r="CB44" i="25" s="1"/>
  <c r="BR44" i="31"/>
  <c r="CA44" i="25" s="1"/>
  <c r="CW28" i="31"/>
  <c r="DF28" i="25" s="1"/>
  <c r="BU28" i="31"/>
  <c r="CD28" i="25" s="1"/>
  <c r="BQ28" i="31"/>
  <c r="BZ28" i="25" s="1"/>
  <c r="BT28" i="31"/>
  <c r="CC28" i="25" s="1"/>
  <c r="BS28" i="31"/>
  <c r="CB28" i="25" s="1"/>
  <c r="BR28" i="31"/>
  <c r="CA28" i="25" s="1"/>
  <c r="BV28" i="31"/>
  <c r="CE28" i="25" s="1"/>
  <c r="CW58" i="31"/>
  <c r="DF58" i="25" s="1"/>
  <c r="BS58" i="31"/>
  <c r="CB58" i="25" s="1"/>
  <c r="BT58" i="31"/>
  <c r="CC58" i="25" s="1"/>
  <c r="BR58" i="31"/>
  <c r="CA58" i="25" s="1"/>
  <c r="BQ58" i="31"/>
  <c r="BZ58" i="25" s="1"/>
  <c r="BV58" i="31"/>
  <c r="CE58" i="25" s="1"/>
  <c r="BU58" i="31"/>
  <c r="CD58" i="25" s="1"/>
  <c r="CW43" i="31"/>
  <c r="DF43" i="25" s="1"/>
  <c r="BU43" i="31"/>
  <c r="CD43" i="25" s="1"/>
  <c r="BQ43" i="31"/>
  <c r="BZ43" i="25" s="1"/>
  <c r="BT43" i="31"/>
  <c r="CC43" i="25" s="1"/>
  <c r="BS43" i="31"/>
  <c r="CB43" i="25" s="1"/>
  <c r="BR43" i="31"/>
  <c r="CA43" i="25" s="1"/>
  <c r="BV43" i="31"/>
  <c r="CE43" i="25" s="1"/>
  <c r="CW27" i="31"/>
  <c r="DF27" i="25" s="1"/>
  <c r="BQ27" i="31"/>
  <c r="BZ27" i="25" s="1"/>
  <c r="BV27" i="31"/>
  <c r="CE27" i="25" s="1"/>
  <c r="BU27" i="31"/>
  <c r="CD27" i="25" s="1"/>
  <c r="BT27" i="31"/>
  <c r="CC27" i="25" s="1"/>
  <c r="BS27" i="31"/>
  <c r="CB27" i="25" s="1"/>
  <c r="BR27" i="31"/>
  <c r="CA27" i="25" s="1"/>
  <c r="CW57" i="31"/>
  <c r="DF57" i="25" s="1"/>
  <c r="BS57" i="31"/>
  <c r="CB57" i="25" s="1"/>
  <c r="BR57" i="31"/>
  <c r="CA57" i="25" s="1"/>
  <c r="BQ57" i="31"/>
  <c r="BZ57" i="25" s="1"/>
  <c r="BV57" i="31"/>
  <c r="CE57" i="25" s="1"/>
  <c r="BU57" i="31"/>
  <c r="CD57" i="25" s="1"/>
  <c r="BT57" i="31"/>
  <c r="CC57" i="25" s="1"/>
  <c r="CW42" i="31"/>
  <c r="DF42" i="25" s="1"/>
  <c r="BV42" i="31"/>
  <c r="CE42" i="25" s="1"/>
  <c r="BU42" i="31"/>
  <c r="CD42" i="25" s="1"/>
  <c r="BT42" i="31"/>
  <c r="CC42" i="25" s="1"/>
  <c r="CW41" i="31"/>
  <c r="DF41" i="25" s="1"/>
  <c r="BQ41" i="31"/>
  <c r="BZ41" i="25" s="1"/>
  <c r="BV41" i="31"/>
  <c r="CE41" i="25" s="1"/>
  <c r="BU41" i="31"/>
  <c r="CD41" i="25" s="1"/>
  <c r="BT41" i="31"/>
  <c r="CC41" i="25" s="1"/>
  <c r="BS41" i="31"/>
  <c r="CB41" i="25" s="1"/>
  <c r="BR41" i="31"/>
  <c r="CA41" i="25" s="1"/>
  <c r="CW26" i="31"/>
  <c r="DF26" i="25" s="1"/>
  <c r="BU26" i="31"/>
  <c r="CD26" i="25" s="1"/>
  <c r="BR26" i="31"/>
  <c r="CA26" i="25" s="1"/>
  <c r="BT26" i="31"/>
  <c r="CC26" i="25" s="1"/>
  <c r="BQ26" i="31"/>
  <c r="BZ26" i="25" s="1"/>
  <c r="BS26" i="31"/>
  <c r="CB26" i="25" s="1"/>
  <c r="BV26" i="31"/>
  <c r="CE26" i="25" s="1"/>
  <c r="CW56" i="31"/>
  <c r="DF56" i="25" s="1"/>
  <c r="BS56" i="31"/>
  <c r="CB56" i="25" s="1"/>
  <c r="BR56" i="31"/>
  <c r="CA56" i="25" s="1"/>
  <c r="BQ56" i="31"/>
  <c r="BZ56" i="25" s="1"/>
  <c r="BV56" i="31"/>
  <c r="CE56" i="25" s="1"/>
  <c r="BU56" i="31"/>
  <c r="CD56" i="25" s="1"/>
  <c r="BT56" i="31"/>
  <c r="CC56" i="25" s="1"/>
  <c r="CW55" i="31"/>
  <c r="DF55" i="25" s="1"/>
  <c r="BS55" i="31"/>
  <c r="CB55" i="25" s="1"/>
  <c r="BR55" i="31"/>
  <c r="CA55" i="25" s="1"/>
  <c r="BT55" i="31"/>
  <c r="CC55" i="25" s="1"/>
  <c r="BQ55" i="31"/>
  <c r="BZ55" i="25" s="1"/>
  <c r="BV55" i="31"/>
  <c r="CE55" i="25" s="1"/>
  <c r="BU55" i="31"/>
  <c r="CD55" i="25" s="1"/>
  <c r="CW40" i="31"/>
  <c r="DF40" i="25" s="1"/>
  <c r="BV40" i="31"/>
  <c r="CE40" i="25" s="1"/>
  <c r="BU40" i="31"/>
  <c r="CD40" i="25" s="1"/>
  <c r="BS40" i="31"/>
  <c r="CB40" i="25" s="1"/>
  <c r="BT40" i="31"/>
  <c r="CC40" i="25" s="1"/>
  <c r="BR40" i="31"/>
  <c r="CA40" i="25" s="1"/>
  <c r="BQ40" i="31"/>
  <c r="BZ40" i="25" s="1"/>
  <c r="CW54" i="31"/>
  <c r="DF54" i="25" s="1"/>
  <c r="BS54" i="31"/>
  <c r="CB54" i="25" s="1"/>
  <c r="BR54" i="31"/>
  <c r="CA54" i="25" s="1"/>
  <c r="BQ54" i="31"/>
  <c r="BZ54" i="25" s="1"/>
  <c r="BU54" i="31"/>
  <c r="CD54" i="25" s="1"/>
  <c r="BT54" i="31"/>
  <c r="CC54" i="25" s="1"/>
  <c r="BV54" i="31"/>
  <c r="CE54" i="25" s="1"/>
  <c r="CW39" i="31"/>
  <c r="DF39" i="25" s="1"/>
  <c r="BU39" i="31"/>
  <c r="CD39" i="25" s="1"/>
  <c r="BT39" i="31"/>
  <c r="CC39" i="25" s="1"/>
  <c r="BS39" i="31"/>
  <c r="CB39" i="25" s="1"/>
  <c r="BR39" i="31"/>
  <c r="CA39" i="25" s="1"/>
  <c r="BV39" i="31"/>
  <c r="CE39" i="25" s="1"/>
  <c r="BQ39" i="31"/>
  <c r="BZ39" i="25" s="1"/>
  <c r="CW24" i="31"/>
  <c r="DF24" i="25" s="1"/>
  <c r="BU24" i="31"/>
  <c r="CD24" i="25" s="1"/>
  <c r="BV24" i="31"/>
  <c r="CE24" i="25" s="1"/>
  <c r="BT24" i="31"/>
  <c r="CC24" i="25" s="1"/>
  <c r="BS24" i="31"/>
  <c r="CB24" i="25" s="1"/>
  <c r="BR24" i="31"/>
  <c r="CA24" i="25" s="1"/>
  <c r="BQ24" i="31"/>
  <c r="BZ24" i="25" s="1"/>
  <c r="CW53" i="31"/>
  <c r="DF53" i="25" s="1"/>
  <c r="BS53" i="31"/>
  <c r="CB53" i="25" s="1"/>
  <c r="BQ53" i="31"/>
  <c r="BZ53" i="25" s="1"/>
  <c r="BV53" i="31"/>
  <c r="CE53" i="25" s="1"/>
  <c r="BU53" i="31"/>
  <c r="CD53" i="25" s="1"/>
  <c r="BT53" i="31"/>
  <c r="CC53" i="25" s="1"/>
  <c r="BR53" i="31"/>
  <c r="CA53" i="25" s="1"/>
  <c r="CW23" i="31"/>
  <c r="DF23" i="25" s="1"/>
  <c r="BQ23" i="31"/>
  <c r="BZ23" i="25" s="1"/>
  <c r="BV23" i="31"/>
  <c r="CE23" i="25" s="1"/>
  <c r="BS23" i="31"/>
  <c r="CB23" i="25" s="1"/>
  <c r="BU23" i="31"/>
  <c r="CD23" i="25" s="1"/>
  <c r="BR23" i="31"/>
  <c r="CA23" i="25" s="1"/>
  <c r="BT23" i="31"/>
  <c r="CC23" i="25" s="1"/>
  <c r="CW38" i="31"/>
  <c r="DF38" i="25" s="1"/>
  <c r="BS38" i="31"/>
  <c r="CB38" i="25" s="1"/>
  <c r="BR38" i="31"/>
  <c r="CA38" i="25" s="1"/>
  <c r="BT38" i="31"/>
  <c r="CC38" i="25" s="1"/>
  <c r="BQ38" i="31"/>
  <c r="BZ38" i="25" s="1"/>
  <c r="BV38" i="31"/>
  <c r="CE38" i="25" s="1"/>
  <c r="BU38" i="31"/>
  <c r="CD38" i="25" s="1"/>
  <c r="AB12" i="31"/>
  <c r="AK12" i="25" s="1"/>
  <c r="CT12" i="31"/>
  <c r="DC12" i="25" s="1"/>
  <c r="AB72" i="31"/>
  <c r="AK72" i="25" s="1"/>
  <c r="CT72" i="31"/>
  <c r="DC72" i="25" s="1"/>
  <c r="AB50" i="31"/>
  <c r="AK50" i="25" s="1"/>
  <c r="CT50" i="31"/>
  <c r="DC50" i="25" s="1"/>
  <c r="AB74" i="31"/>
  <c r="AK74" i="25" s="1"/>
  <c r="CT74" i="31"/>
  <c r="DC74" i="25" s="1"/>
  <c r="AB65" i="31"/>
  <c r="AK65" i="25" s="1"/>
  <c r="CT65" i="31"/>
  <c r="DC65" i="25" s="1"/>
  <c r="AB56" i="31"/>
  <c r="AK56" i="25" s="1"/>
  <c r="CT56" i="31"/>
  <c r="DC56" i="25" s="1"/>
  <c r="AB38" i="31"/>
  <c r="AK38" i="25" s="1"/>
  <c r="CT38" i="31"/>
  <c r="DC38" i="25" s="1"/>
  <c r="AB5" i="31"/>
  <c r="AK5" i="25" s="1"/>
  <c r="CT5" i="31"/>
  <c r="DC5" i="25" s="1"/>
  <c r="AB55" i="31"/>
  <c r="AK55" i="25" s="1"/>
  <c r="CT55" i="31"/>
  <c r="DC55" i="25" s="1"/>
  <c r="AB36" i="31"/>
  <c r="AK36" i="25" s="1"/>
  <c r="CT36" i="31"/>
  <c r="DC36" i="25" s="1"/>
  <c r="AB4" i="31"/>
  <c r="AK4" i="25" s="1"/>
  <c r="CT4" i="31"/>
  <c r="DC4" i="25" s="1"/>
  <c r="AB27" i="31"/>
  <c r="AK27" i="25" s="1"/>
  <c r="CT27" i="31"/>
  <c r="DC27" i="25" s="1"/>
  <c r="AB8" i="31"/>
  <c r="AK8" i="25" s="1"/>
  <c r="CT8" i="31"/>
  <c r="DC8" i="25" s="1"/>
  <c r="AB37" i="31"/>
  <c r="AK37" i="25" s="1"/>
  <c r="CT37" i="31"/>
  <c r="DC37" i="25" s="1"/>
  <c r="AB52" i="31"/>
  <c r="AK52" i="25" s="1"/>
  <c r="CT52" i="31"/>
  <c r="DC52" i="25" s="1"/>
  <c r="AB63" i="31"/>
  <c r="AK63" i="25" s="1"/>
  <c r="CT63" i="31"/>
  <c r="DC63" i="25" s="1"/>
  <c r="AB24" i="31"/>
  <c r="AK24" i="25" s="1"/>
  <c r="CT24" i="31"/>
  <c r="DC24" i="25" s="1"/>
  <c r="AB68" i="31"/>
  <c r="AK68" i="25" s="1"/>
  <c r="CT68" i="31"/>
  <c r="DC68" i="25" s="1"/>
  <c r="AB11" i="31"/>
  <c r="AK11" i="25" s="1"/>
  <c r="CT11" i="31"/>
  <c r="DC11" i="25" s="1"/>
  <c r="AB59" i="31"/>
  <c r="AK59" i="25" s="1"/>
  <c r="CT59" i="31"/>
  <c r="DC59" i="25" s="1"/>
  <c r="AB57" i="31"/>
  <c r="AK57" i="25" s="1"/>
  <c r="CT57" i="31"/>
  <c r="DC57" i="25" s="1"/>
  <c r="AB9" i="31"/>
  <c r="AK9" i="25" s="1"/>
  <c r="CT9" i="31"/>
  <c r="DC9" i="25" s="1"/>
  <c r="AB34" i="31"/>
  <c r="AK34" i="25" s="1"/>
  <c r="CT34" i="31"/>
  <c r="DC34" i="25" s="1"/>
  <c r="AB44" i="31"/>
  <c r="AK44" i="25" s="1"/>
  <c r="CT44" i="31"/>
  <c r="DC44" i="25" s="1"/>
  <c r="AB7" i="31"/>
  <c r="AK7" i="25" s="1"/>
  <c r="CT7" i="31"/>
  <c r="DC7" i="25" s="1"/>
  <c r="AB10" i="31"/>
  <c r="AK10" i="25" s="1"/>
  <c r="CT10" i="31"/>
  <c r="DC10" i="25" s="1"/>
  <c r="AB33" i="31"/>
  <c r="AK33" i="25" s="1"/>
  <c r="CT33" i="31"/>
  <c r="DC33" i="25" s="1"/>
  <c r="AB64" i="31"/>
  <c r="AK64" i="25" s="1"/>
  <c r="CT64" i="31"/>
  <c r="DC64" i="25" s="1"/>
  <c r="AB23" i="31"/>
  <c r="AK23" i="25" s="1"/>
  <c r="CT23" i="31"/>
  <c r="DC23" i="25" s="1"/>
  <c r="AB43" i="31"/>
  <c r="AK43" i="25" s="1"/>
  <c r="CT43" i="31"/>
  <c r="DC43" i="25" s="1"/>
  <c r="AB48" i="31"/>
  <c r="AK48" i="25" s="1"/>
  <c r="CT48" i="31"/>
  <c r="DC48" i="25" s="1"/>
  <c r="AB13" i="31"/>
  <c r="AK13" i="25" s="1"/>
  <c r="CT13" i="31"/>
  <c r="DC13" i="25" s="1"/>
  <c r="AB39" i="31"/>
  <c r="AK39" i="25" s="1"/>
  <c r="CT39" i="31"/>
  <c r="DC39" i="25" s="1"/>
  <c r="AB35" i="31"/>
  <c r="AK35" i="25" s="1"/>
  <c r="CT35" i="31"/>
  <c r="DC35" i="25" s="1"/>
  <c r="AB54" i="31"/>
  <c r="AK54" i="25" s="1"/>
  <c r="CT54" i="31"/>
  <c r="DC54" i="25" s="1"/>
  <c r="AB71" i="31"/>
  <c r="AK71" i="25" s="1"/>
  <c r="CT71" i="31"/>
  <c r="DC71" i="25" s="1"/>
  <c r="AB51" i="31"/>
  <c r="AK51" i="25" s="1"/>
  <c r="CT51" i="31"/>
  <c r="DC51" i="25" s="1"/>
  <c r="AB66" i="31"/>
  <c r="AK66" i="25" s="1"/>
  <c r="CT66" i="31"/>
  <c r="DC66" i="25" s="1"/>
  <c r="AB53" i="31"/>
  <c r="AK53" i="25" s="1"/>
  <c r="CT53" i="31"/>
  <c r="DC53" i="25" s="1"/>
  <c r="AB28" i="31"/>
  <c r="AK28" i="25" s="1"/>
  <c r="CT28" i="31"/>
  <c r="DC28" i="25" s="1"/>
  <c r="AB41" i="31"/>
  <c r="AK41" i="25" s="1"/>
  <c r="CT41" i="31"/>
  <c r="DC41" i="25" s="1"/>
  <c r="AB3" i="31"/>
  <c r="AK3" i="25" s="1"/>
  <c r="CT3" i="31"/>
  <c r="DC3" i="25" s="1"/>
  <c r="AB58" i="31"/>
  <c r="AK58" i="25" s="1"/>
  <c r="CT58" i="31"/>
  <c r="DC58" i="25" s="1"/>
  <c r="AB40" i="31"/>
  <c r="AK40" i="25" s="1"/>
  <c r="CT40" i="31"/>
  <c r="DC40" i="25" s="1"/>
  <c r="AB6" i="31"/>
  <c r="AK6" i="25" s="1"/>
  <c r="CT6" i="31"/>
  <c r="DC6" i="25" s="1"/>
  <c r="AB42" i="31"/>
  <c r="AK42" i="25" s="1"/>
  <c r="CT42" i="31"/>
  <c r="DC42" i="25" s="1"/>
  <c r="AB69" i="31"/>
  <c r="AK69" i="25" s="1"/>
  <c r="CT69" i="31"/>
  <c r="DC69" i="25" s="1"/>
  <c r="AB14" i="31"/>
  <c r="AK14" i="25" s="1"/>
  <c r="CT14" i="31"/>
  <c r="DC14" i="25" s="1"/>
  <c r="AB73" i="31"/>
  <c r="AK73" i="25" s="1"/>
  <c r="CT73" i="31"/>
  <c r="DC73" i="25" s="1"/>
  <c r="AB29" i="31"/>
  <c r="AK29" i="25" s="1"/>
  <c r="CT29" i="31"/>
  <c r="DC29" i="25" s="1"/>
  <c r="AB67" i="31"/>
  <c r="AK67" i="25" s="1"/>
  <c r="CT67" i="31"/>
  <c r="DC67" i="25" s="1"/>
  <c r="AB49" i="31"/>
  <c r="AK49" i="25" s="1"/>
  <c r="CT49" i="31"/>
  <c r="DC49" i="25" s="1"/>
  <c r="AB26" i="31"/>
  <c r="AK26" i="25" s="1"/>
  <c r="CT26" i="31"/>
  <c r="DC26" i="25" s="1"/>
  <c r="CE4" i="31"/>
  <c r="CN4" i="25" s="1"/>
  <c r="BY53" i="31"/>
  <c r="CH53" i="25" s="1"/>
  <c r="CC50" i="31"/>
  <c r="CL50" i="25" s="1"/>
  <c r="CG65" i="31"/>
  <c r="CP65" i="25" s="1"/>
  <c r="CE36" i="31"/>
  <c r="CN36" i="25" s="1"/>
  <c r="CB63" i="31"/>
  <c r="CK63" i="25" s="1"/>
  <c r="CG24" i="31"/>
  <c r="CP24" i="25" s="1"/>
  <c r="CG48" i="31"/>
  <c r="CP48" i="25" s="1"/>
  <c r="CG11" i="31"/>
  <c r="CP11" i="25" s="1"/>
  <c r="CF12" i="31"/>
  <c r="CO12" i="25" s="1"/>
  <c r="CG27" i="31"/>
  <c r="CP27" i="25" s="1"/>
  <c r="CB41" i="31"/>
  <c r="CK41" i="25" s="1"/>
  <c r="CD3" i="31"/>
  <c r="CM3" i="25" s="1"/>
  <c r="CC23" i="31"/>
  <c r="CL23" i="25" s="1"/>
  <c r="CE57" i="31"/>
  <c r="CB44" i="31"/>
  <c r="CK44" i="25" s="1"/>
  <c r="BX72" i="31"/>
  <c r="CG72" i="25" s="1"/>
  <c r="CF8" i="31"/>
  <c r="CO8" i="25" s="1"/>
  <c r="BY33" i="31"/>
  <c r="CB37" i="31"/>
  <c r="CK37" i="25" s="1"/>
  <c r="CA38" i="31"/>
  <c r="CJ38" i="25" s="1"/>
  <c r="BY55" i="31"/>
  <c r="CH55" i="25" s="1"/>
  <c r="CF59" i="31"/>
  <c r="CO59" i="25" s="1"/>
  <c r="CB39" i="31"/>
  <c r="CK39" i="25" s="1"/>
  <c r="BX54" i="31"/>
  <c r="CG54" i="25" s="1"/>
  <c r="CE71" i="31"/>
  <c r="CN71" i="25" s="1"/>
  <c r="CD66" i="31"/>
  <c r="CM66" i="25" s="1"/>
  <c r="BX10" i="31"/>
  <c r="CG10" i="25" s="1"/>
  <c r="BZ74" i="31"/>
  <c r="CI74" i="25" s="1"/>
  <c r="CC64" i="31"/>
  <c r="CL64" i="25" s="1"/>
  <c r="BY52" i="31"/>
  <c r="CH52" i="25" s="1"/>
  <c r="BZ58" i="31"/>
  <c r="CI58" i="25" s="1"/>
  <c r="CF56" i="31"/>
  <c r="CO56" i="25" s="1"/>
  <c r="BX5" i="31"/>
  <c r="CG5" i="25" s="1"/>
  <c r="BZ40" i="31"/>
  <c r="CI40" i="25" s="1"/>
  <c r="CA6" i="31"/>
  <c r="CJ6" i="25" s="1"/>
  <c r="BZ42" i="31"/>
  <c r="CI42" i="25" s="1"/>
  <c r="BY69" i="31"/>
  <c r="CH69" i="25" s="1"/>
  <c r="CD14" i="31"/>
  <c r="CM14" i="25" s="1"/>
  <c r="BX73" i="31"/>
  <c r="CG73" i="25" s="1"/>
  <c r="CC29" i="31"/>
  <c r="CL29" i="25" s="1"/>
  <c r="CA67" i="31"/>
  <c r="CJ67" i="25" s="1"/>
  <c r="BX49" i="31"/>
  <c r="CG49" i="25" s="1"/>
  <c r="CF26" i="31"/>
  <c r="CO26" i="25" s="1"/>
  <c r="BY58" i="31"/>
  <c r="CH58" i="25" s="1"/>
  <c r="BX36" i="31"/>
  <c r="CG58" i="31"/>
  <c r="CP58" i="25" s="1"/>
  <c r="CB49" i="31"/>
  <c r="CK49" i="25" s="1"/>
  <c r="DS84" i="32"/>
  <c r="CF49" i="31"/>
  <c r="CO49" i="25" s="1"/>
  <c r="CC80" i="28"/>
  <c r="DS85" i="32"/>
  <c r="CA66" i="31"/>
  <c r="CJ66" i="25" s="1"/>
  <c r="CG49" i="31"/>
  <c r="CP49" i="25" s="1"/>
  <c r="BZ49" i="31"/>
  <c r="CI49" i="25" s="1"/>
  <c r="BX43" i="31"/>
  <c r="BZ66" i="31"/>
  <c r="CI66" i="25" s="1"/>
  <c r="CD58" i="31"/>
  <c r="CB36" i="31"/>
  <c r="CK36" i="25" s="1"/>
  <c r="BX53" i="31"/>
  <c r="CG53" i="25" s="1"/>
  <c r="CA58" i="31"/>
  <c r="CJ58" i="25" s="1"/>
  <c r="CD23" i="31"/>
  <c r="CM23" i="25" s="1"/>
  <c r="BX38" i="31"/>
  <c r="DS81" i="32"/>
  <c r="DS87" i="32"/>
  <c r="CC83" i="28"/>
  <c r="CB29" i="31"/>
  <c r="CK29" i="25" s="1"/>
  <c r="CC43" i="31"/>
  <c r="CL43" i="25" s="1"/>
  <c r="CE58" i="31"/>
  <c r="CC58" i="31"/>
  <c r="CL58" i="25" s="1"/>
  <c r="CB58" i="31"/>
  <c r="CK58" i="25" s="1"/>
  <c r="CF58" i="31"/>
  <c r="CO58" i="25" s="1"/>
  <c r="CA42" i="31"/>
  <c r="CJ42" i="25" s="1"/>
  <c r="CF71" i="31"/>
  <c r="CO71" i="25" s="1"/>
  <c r="CE9" i="31"/>
  <c r="CN9" i="25" s="1"/>
  <c r="CB53" i="31"/>
  <c r="CK53" i="25" s="1"/>
  <c r="CC53" i="31"/>
  <c r="CL53" i="25" s="1"/>
  <c r="CF7" i="31"/>
  <c r="CO7" i="25" s="1"/>
  <c r="BX66" i="31"/>
  <c r="CG66" i="25" s="1"/>
  <c r="CB65" i="31"/>
  <c r="CK65" i="25" s="1"/>
  <c r="CE65" i="31"/>
  <c r="CN65" i="25" s="1"/>
  <c r="CD65" i="31"/>
  <c r="CM65" i="25" s="1"/>
  <c r="BX34" i="31"/>
  <c r="CB9" i="31"/>
  <c r="CK9" i="25" s="1"/>
  <c r="CD9" i="31"/>
  <c r="CM9" i="25" s="1"/>
  <c r="CA39" i="31"/>
  <c r="CJ39" i="25" s="1"/>
  <c r="CC67" i="31"/>
  <c r="CL67" i="25" s="1"/>
  <c r="BX37" i="31"/>
  <c r="CE66" i="31"/>
  <c r="CN66" i="25" s="1"/>
  <c r="CC5" i="31"/>
  <c r="CL5" i="25" s="1"/>
  <c r="BY49" i="31"/>
  <c r="CH49" i="25" s="1"/>
  <c r="CC49" i="31"/>
  <c r="CL49" i="25" s="1"/>
  <c r="CD34" i="31"/>
  <c r="CM34" i="25" s="1"/>
  <c r="CE49" i="31"/>
  <c r="CC3" i="31"/>
  <c r="CL3" i="25" s="1"/>
  <c r="BZ14" i="31"/>
  <c r="CI14" i="25" s="1"/>
  <c r="CE14" i="31"/>
  <c r="CN14" i="25" s="1"/>
  <c r="BX14" i="31"/>
  <c r="CG14" i="25" s="1"/>
  <c r="BX29" i="31"/>
  <c r="CG29" i="25" s="1"/>
  <c r="CE74" i="31"/>
  <c r="CN74" i="25" s="1"/>
  <c r="CG14" i="31"/>
  <c r="CP14" i="25" s="1"/>
  <c r="CB74" i="31"/>
  <c r="CK74" i="25" s="1"/>
  <c r="CA28" i="31"/>
  <c r="CJ28" i="25" s="1"/>
  <c r="BY28" i="31"/>
  <c r="CH28" i="25" s="1"/>
  <c r="CG28" i="31"/>
  <c r="CP28" i="25" s="1"/>
  <c r="CE28" i="31"/>
  <c r="CN28" i="25" s="1"/>
  <c r="BZ57" i="31"/>
  <c r="CI57" i="25" s="1"/>
  <c r="CE26" i="31"/>
  <c r="CN26" i="25" s="1"/>
  <c r="CC11" i="31"/>
  <c r="CL11" i="25" s="1"/>
  <c r="CE11" i="31"/>
  <c r="CN11" i="25" s="1"/>
  <c r="BY11" i="31"/>
  <c r="CH11" i="25" s="1"/>
  <c r="CA10" i="31"/>
  <c r="CJ10" i="25" s="1"/>
  <c r="CF10" i="31"/>
  <c r="CO10" i="25" s="1"/>
  <c r="BY10" i="31"/>
  <c r="CH10" i="25" s="1"/>
  <c r="CG10" i="31"/>
  <c r="CP10" i="25" s="1"/>
  <c r="CC10" i="31"/>
  <c r="CL10" i="25" s="1"/>
  <c r="BZ24" i="31"/>
  <c r="CI24" i="25" s="1"/>
  <c r="BX8" i="31"/>
  <c r="CG8" i="25" s="1"/>
  <c r="BX23" i="31"/>
  <c r="CG23" i="25" s="1"/>
  <c r="BZ23" i="31"/>
  <c r="CI23" i="25" s="1"/>
  <c r="BZ5" i="31"/>
  <c r="CI5" i="25" s="1"/>
  <c r="BX64" i="31"/>
  <c r="CG64" i="25" s="1"/>
  <c r="CB54" i="31"/>
  <c r="CK54" i="25" s="1"/>
  <c r="BY23" i="31"/>
  <c r="CH23" i="25" s="1"/>
  <c r="BY29" i="31"/>
  <c r="CH29" i="25" s="1"/>
  <c r="CF72" i="31"/>
  <c r="CO72" i="25" s="1"/>
  <c r="CG66" i="31"/>
  <c r="CP66" i="25" s="1"/>
  <c r="BY37" i="31"/>
  <c r="CC4" i="31"/>
  <c r="CL4" i="25" s="1"/>
  <c r="CG29" i="31"/>
  <c r="CP29" i="25" s="1"/>
  <c r="CA14" i="31"/>
  <c r="CJ14" i="25" s="1"/>
  <c r="CF66" i="31"/>
  <c r="CO66" i="25" s="1"/>
  <c r="BX4" i="31"/>
  <c r="CG4" i="25" s="1"/>
  <c r="BZ72" i="31"/>
  <c r="CI72" i="25" s="1"/>
  <c r="CA8" i="31"/>
  <c r="CJ8" i="25" s="1"/>
  <c r="CE54" i="31"/>
  <c r="BX9" i="31"/>
  <c r="CG9" i="25" s="1"/>
  <c r="BY8" i="31"/>
  <c r="CH8" i="25" s="1"/>
  <c r="CG34" i="31"/>
  <c r="CB8" i="31"/>
  <c r="CK8" i="25" s="1"/>
  <c r="CC9" i="31"/>
  <c r="CL9" i="25" s="1"/>
  <c r="CF54" i="31"/>
  <c r="CO54" i="25" s="1"/>
  <c r="CG8" i="31"/>
  <c r="CP8" i="25" s="1"/>
  <c r="BZ50" i="31"/>
  <c r="CI50" i="25" s="1"/>
  <c r="BY66" i="31"/>
  <c r="CH66" i="25" s="1"/>
  <c r="CE29" i="31"/>
  <c r="CN29" i="25" s="1"/>
  <c r="CF53" i="31"/>
  <c r="CO53" i="25" s="1"/>
  <c r="CA34" i="31"/>
  <c r="CJ34" i="25" s="1"/>
  <c r="CF23" i="31"/>
  <c r="CO23" i="25" s="1"/>
  <c r="BY54" i="31"/>
  <c r="CH54" i="25" s="1"/>
  <c r="CD53" i="31"/>
  <c r="CE12" i="31"/>
  <c r="CN12" i="25" s="1"/>
  <c r="CF9" i="31"/>
  <c r="CO9" i="25" s="1"/>
  <c r="CC34" i="31"/>
  <c r="CL34" i="25" s="1"/>
  <c r="CA53" i="31"/>
  <c r="CJ53" i="25" s="1"/>
  <c r="CF14" i="31"/>
  <c r="CO14" i="25" s="1"/>
  <c r="CF29" i="31"/>
  <c r="CO29" i="25" s="1"/>
  <c r="CD8" i="31"/>
  <c r="CM8" i="25" s="1"/>
  <c r="BX58" i="31"/>
  <c r="CG58" i="25" s="1"/>
  <c r="CC66" i="31"/>
  <c r="CL66" i="25" s="1"/>
  <c r="CF37" i="31"/>
  <c r="CB14" i="31"/>
  <c r="CK14" i="25" s="1"/>
  <c r="CB66" i="31"/>
  <c r="CK66" i="25" s="1"/>
  <c r="CE8" i="31"/>
  <c r="CN8" i="25" s="1"/>
  <c r="CC65" i="31"/>
  <c r="CL65" i="25" s="1"/>
  <c r="BZ8" i="31"/>
  <c r="CI8" i="25" s="1"/>
  <c r="CD59" i="31"/>
  <c r="CA23" i="31"/>
  <c r="CJ23" i="25" s="1"/>
  <c r="BX65" i="31"/>
  <c r="CG65" i="25" s="1"/>
  <c r="CG23" i="31"/>
  <c r="CP23" i="25" s="1"/>
  <c r="CG53" i="31"/>
  <c r="CP53" i="25" s="1"/>
  <c r="CG9" i="31"/>
  <c r="CP9" i="25" s="1"/>
  <c r="BZ29" i="31"/>
  <c r="CI29" i="25" s="1"/>
  <c r="BY9" i="31"/>
  <c r="CH9" i="25" s="1"/>
  <c r="CB23" i="31"/>
  <c r="CK23" i="25" s="1"/>
  <c r="BX28" i="31"/>
  <c r="CG28" i="25" s="1"/>
  <c r="BX26" i="31"/>
  <c r="CG26" i="25" s="1"/>
  <c r="CA9" i="31"/>
  <c r="CJ9" i="25" s="1"/>
  <c r="BZ12" i="31"/>
  <c r="CI12" i="25" s="1"/>
  <c r="BY38" i="31"/>
  <c r="BY24" i="31"/>
  <c r="CH24" i="25" s="1"/>
  <c r="BX42" i="31"/>
  <c r="BZ9" i="31"/>
  <c r="CI9" i="25" s="1"/>
  <c r="CD29" i="31"/>
  <c r="CM29" i="25" s="1"/>
  <c r="BZ65" i="31"/>
  <c r="CI65" i="25" s="1"/>
  <c r="BX11" i="31"/>
  <c r="CG11" i="25" s="1"/>
  <c r="CA7" i="31"/>
  <c r="CJ7" i="25" s="1"/>
  <c r="CE50" i="31"/>
  <c r="CF33" i="31"/>
  <c r="CB28" i="31"/>
  <c r="CK28" i="25" s="1"/>
  <c r="CE33" i="31"/>
  <c r="CN33" i="25" s="1"/>
  <c r="BY12" i="31"/>
  <c r="CH12" i="25" s="1"/>
  <c r="BZ43" i="31"/>
  <c r="CI43" i="25" s="1"/>
  <c r="BZ54" i="31"/>
  <c r="CI54" i="25" s="1"/>
  <c r="CD28" i="31"/>
  <c r="CM28" i="25" s="1"/>
  <c r="CG12" i="31"/>
  <c r="CP12" i="25" s="1"/>
  <c r="BZ11" i="31"/>
  <c r="CI11" i="25" s="1"/>
  <c r="BX63" i="31"/>
  <c r="CG63" i="25" s="1"/>
  <c r="BZ28" i="31"/>
  <c r="CI28" i="25" s="1"/>
  <c r="CD7" i="31"/>
  <c r="CM7" i="25" s="1"/>
  <c r="CC88" i="28"/>
  <c r="BX52" i="31"/>
  <c r="CG52" i="25" s="1"/>
  <c r="CC54" i="31"/>
  <c r="CL54" i="25" s="1"/>
  <c r="CB10" i="31"/>
  <c r="CK10" i="25" s="1"/>
  <c r="CD10" i="31"/>
  <c r="CM10" i="25" s="1"/>
  <c r="CA74" i="31"/>
  <c r="CJ74" i="25" s="1"/>
  <c r="CD35" i="31"/>
  <c r="CM35" i="25" s="1"/>
  <c r="BZ10" i="31"/>
  <c r="CI10" i="25" s="1"/>
  <c r="BX33" i="31"/>
  <c r="BX44" i="31"/>
  <c r="CG7" i="31"/>
  <c r="CP7" i="25" s="1"/>
  <c r="CB4" i="31"/>
  <c r="CK4" i="25" s="1"/>
  <c r="BX7" i="31"/>
  <c r="CG7" i="25" s="1"/>
  <c r="CB33" i="31"/>
  <c r="CK33" i="25" s="1"/>
  <c r="CB7" i="31"/>
  <c r="CK7" i="25" s="1"/>
  <c r="CG33" i="31"/>
  <c r="CG72" i="31"/>
  <c r="CP72" i="25" s="1"/>
  <c r="BX55" i="31"/>
  <c r="CG55" i="25" s="1"/>
  <c r="BY56" i="31"/>
  <c r="CH56" i="25" s="1"/>
  <c r="CC86" i="28"/>
  <c r="CE35" i="31"/>
  <c r="CN35" i="25" s="1"/>
  <c r="CB71" i="31"/>
  <c r="CK71" i="25" s="1"/>
  <c r="CC7" i="31"/>
  <c r="CL7" i="25" s="1"/>
  <c r="CC89" i="28"/>
  <c r="CC71" i="31"/>
  <c r="CL71" i="25" s="1"/>
  <c r="CF43" i="31"/>
  <c r="CB50" i="31"/>
  <c r="CK50" i="25" s="1"/>
  <c r="BZ33" i="31"/>
  <c r="CI33" i="25" s="1"/>
  <c r="CD55" i="31"/>
  <c r="CA43" i="31"/>
  <c r="CJ43" i="25" s="1"/>
  <c r="CF28" i="31"/>
  <c r="CO28" i="25" s="1"/>
  <c r="CE56" i="31"/>
  <c r="CA11" i="31"/>
  <c r="CJ11" i="25" s="1"/>
  <c r="CA72" i="31"/>
  <c r="CJ72" i="25" s="1"/>
  <c r="CD50" i="31"/>
  <c r="CC28" i="31"/>
  <c r="CL28" i="25" s="1"/>
  <c r="BZ7" i="31"/>
  <c r="CI7" i="25" s="1"/>
  <c r="BY7" i="31"/>
  <c r="CH7" i="25" s="1"/>
  <c r="CC8" i="31"/>
  <c r="CL8" i="25" s="1"/>
  <c r="CD72" i="31"/>
  <c r="CM72" i="25" s="1"/>
  <c r="BY64" i="31"/>
  <c r="CH64" i="25" s="1"/>
  <c r="CE10" i="31"/>
  <c r="CN10" i="25" s="1"/>
  <c r="CF55" i="31"/>
  <c r="CO55" i="25" s="1"/>
  <c r="CG63" i="31"/>
  <c r="CP63" i="25" s="1"/>
  <c r="CF52" i="31"/>
  <c r="CO52" i="25" s="1"/>
  <c r="CA33" i="31"/>
  <c r="CJ33" i="25" s="1"/>
  <c r="CC12" i="31"/>
  <c r="CL12" i="25" s="1"/>
  <c r="BY43" i="31"/>
  <c r="CH43" i="25" s="1"/>
  <c r="CA64" i="31"/>
  <c r="CJ64" i="25" s="1"/>
  <c r="CE7" i="31"/>
  <c r="CN7" i="25" s="1"/>
  <c r="CD33" i="31"/>
  <c r="CM33" i="25" s="1"/>
  <c r="CC39" i="31"/>
  <c r="CL39" i="25" s="1"/>
  <c r="CG50" i="31"/>
  <c r="CP50" i="25" s="1"/>
  <c r="CG6" i="31"/>
  <c r="CP6" i="25" s="1"/>
  <c r="CD12" i="31"/>
  <c r="CM12" i="25" s="1"/>
  <c r="BZ52" i="31"/>
  <c r="CI52" i="25" s="1"/>
  <c r="CF63" i="31"/>
  <c r="CO63" i="25" s="1"/>
  <c r="CD54" i="31"/>
  <c r="BZ59" i="31"/>
  <c r="CI59" i="25" s="1"/>
  <c r="CD43" i="31"/>
  <c r="CM43" i="25" s="1"/>
  <c r="DS88" i="32"/>
  <c r="CG52" i="31"/>
  <c r="CP52" i="25" s="1"/>
  <c r="CC14" i="31"/>
  <c r="CL14" i="25" s="1"/>
  <c r="CD11" i="31"/>
  <c r="CM11" i="25" s="1"/>
  <c r="CE43" i="31"/>
  <c r="CN43" i="25" s="1"/>
  <c r="CG54" i="31"/>
  <c r="CP54" i="25" s="1"/>
  <c r="CA49" i="31"/>
  <c r="CJ49" i="25" s="1"/>
  <c r="BY72" i="31"/>
  <c r="CH72" i="25" s="1"/>
  <c r="BY14" i="31"/>
  <c r="CH14" i="25" s="1"/>
  <c r="CA12" i="31"/>
  <c r="CJ12" i="25" s="1"/>
  <c r="CA37" i="31"/>
  <c r="CJ37" i="25" s="1"/>
  <c r="CD26" i="31"/>
  <c r="CM26" i="25" s="1"/>
  <c r="CG55" i="31"/>
  <c r="CP55" i="25" s="1"/>
  <c r="CC72" i="31"/>
  <c r="CL72" i="25" s="1"/>
  <c r="BY26" i="31"/>
  <c r="CH26" i="25" s="1"/>
  <c r="CD49" i="31"/>
  <c r="CB26" i="31"/>
  <c r="CK26" i="25" s="1"/>
  <c r="CE72" i="31"/>
  <c r="CN72" i="25" s="1"/>
  <c r="CF35" i="31"/>
  <c r="CB55" i="31"/>
  <c r="CK55" i="25" s="1"/>
  <c r="BZ6" i="31"/>
  <c r="CI6" i="25" s="1"/>
  <c r="CC35" i="31"/>
  <c r="CL35" i="25" s="1"/>
  <c r="CE52" i="31"/>
  <c r="CA71" i="31"/>
  <c r="CJ71" i="25" s="1"/>
  <c r="CA69" i="31"/>
  <c r="CJ69" i="25" s="1"/>
  <c r="CB11" i="31"/>
  <c r="CK11" i="25" s="1"/>
  <c r="BZ55" i="31"/>
  <c r="CI55" i="25" s="1"/>
  <c r="CA54" i="31"/>
  <c r="CJ54" i="25" s="1"/>
  <c r="BX12" i="31"/>
  <c r="CG12" i="25" s="1"/>
  <c r="CB72" i="31"/>
  <c r="CK72" i="25" s="1"/>
  <c r="CC55" i="31"/>
  <c r="CL55" i="25" s="1"/>
  <c r="CF50" i="31"/>
  <c r="CO50" i="25" s="1"/>
  <c r="CA55" i="31"/>
  <c r="CJ55" i="25" s="1"/>
  <c r="CB43" i="31"/>
  <c r="CK43" i="25" s="1"/>
  <c r="CB12" i="31"/>
  <c r="CK12" i="25" s="1"/>
  <c r="CV48" i="31"/>
  <c r="DE48" i="25" s="1"/>
  <c r="CU48" i="31"/>
  <c r="DD48" i="25" s="1"/>
  <c r="CS48" i="31"/>
  <c r="DB48" i="25" s="1"/>
  <c r="CX48" i="31"/>
  <c r="DG48" i="25" s="1"/>
  <c r="CY48" i="31"/>
  <c r="DH48" i="25" s="1"/>
  <c r="CZ48" i="31"/>
  <c r="DI48" i="25" s="1"/>
  <c r="DA48" i="31"/>
  <c r="DJ48" i="25" s="1"/>
  <c r="CK48" i="31"/>
  <c r="CT48" i="25" s="1"/>
  <c r="CJ48" i="31"/>
  <c r="CS48" i="25" s="1"/>
  <c r="CL48" i="31"/>
  <c r="CU48" i="25" s="1"/>
  <c r="CM48" i="31"/>
  <c r="CV48" i="25" s="1"/>
  <c r="AC48" i="31"/>
  <c r="AL48" i="25" s="1"/>
  <c r="BL48" i="31"/>
  <c r="CK48" i="37" s="1"/>
  <c r="AW48" i="31"/>
  <c r="BJ48" i="31"/>
  <c r="AU48" i="31"/>
  <c r="AD48" i="31"/>
  <c r="O48" i="31"/>
  <c r="X48" i="25" s="1"/>
  <c r="M48" i="31"/>
  <c r="V48" i="25" s="1"/>
  <c r="BM48" i="31"/>
  <c r="CL48" i="37" s="1"/>
  <c r="AY48" i="31"/>
  <c r="AI48" i="31"/>
  <c r="I48" i="31"/>
  <c r="R48" i="25" s="1"/>
  <c r="H48" i="31"/>
  <c r="Q48" i="25" s="1"/>
  <c r="BB48" i="31"/>
  <c r="BE48" i="31"/>
  <c r="Z48" i="31"/>
  <c r="AI48" i="25" s="1"/>
  <c r="AL48" i="31"/>
  <c r="AO48" i="31"/>
  <c r="CP48" i="31"/>
  <c r="CY48" i="25" s="1"/>
  <c r="K48" i="31"/>
  <c r="T48" i="25" s="1"/>
  <c r="J48" i="31"/>
  <c r="S48" i="25" s="1"/>
  <c r="AS48" i="31"/>
  <c r="AR48" i="31"/>
  <c r="AP48" i="31"/>
  <c r="AK48" i="31"/>
  <c r="W48" i="31"/>
  <c r="AF48" i="25" s="1"/>
  <c r="D48" i="31"/>
  <c r="M48" i="25" s="1"/>
  <c r="Y48" i="31"/>
  <c r="AH48" i="25" s="1"/>
  <c r="BH48" i="31"/>
  <c r="BK48" i="31"/>
  <c r="CJ48" i="37" s="1"/>
  <c r="BD48" i="31"/>
  <c r="AJ48" i="31"/>
  <c r="AE48" i="31"/>
  <c r="AN48" i="25" s="1"/>
  <c r="N48" i="31"/>
  <c r="W48" i="25" s="1"/>
  <c r="Q48" i="31"/>
  <c r="Z48" i="25" s="1"/>
  <c r="BP48" i="31"/>
  <c r="CO48" i="37" s="1"/>
  <c r="CN48" i="31"/>
  <c r="CW48" i="25" s="1"/>
  <c r="BI48" i="31"/>
  <c r="L48" i="31"/>
  <c r="U48" i="25" s="1"/>
  <c r="AA48" i="31"/>
  <c r="AJ48" i="25" s="1"/>
  <c r="CQ48" i="31"/>
  <c r="CZ48" i="25" s="1"/>
  <c r="F48" i="31"/>
  <c r="O48" i="25" s="1"/>
  <c r="CI48" i="31"/>
  <c r="CR48" i="25" s="1"/>
  <c r="G48" i="31"/>
  <c r="P48" i="25" s="1"/>
  <c r="AG48" i="31"/>
  <c r="V48" i="31"/>
  <c r="AE48" i="25" s="1"/>
  <c r="P48" i="31"/>
  <c r="Y48" i="25" s="1"/>
  <c r="AT48" i="31"/>
  <c r="AQ48" i="31"/>
  <c r="C48" i="31"/>
  <c r="BA48" i="31"/>
  <c r="AH48" i="31"/>
  <c r="BO48" i="31"/>
  <c r="CN48" i="37" s="1"/>
  <c r="AV48" i="31"/>
  <c r="BG48" i="31"/>
  <c r="AN48" i="31"/>
  <c r="S48" i="31"/>
  <c r="AB48" i="25" s="1"/>
  <c r="BC48" i="31"/>
  <c r="AZ48" i="31"/>
  <c r="T48" i="31"/>
  <c r="AC48" i="25" s="1"/>
  <c r="U48" i="31"/>
  <c r="AD48" i="25" s="1"/>
  <c r="AM48" i="31"/>
  <c r="R48" i="31"/>
  <c r="AA48" i="25" s="1"/>
  <c r="AX48" i="31"/>
  <c r="E48" i="31"/>
  <c r="N48" i="25" s="1"/>
  <c r="BN48" i="31"/>
  <c r="CM48" i="37" s="1"/>
  <c r="BF48" i="31"/>
  <c r="BY48" i="31"/>
  <c r="CH48" i="25" s="1"/>
  <c r="CF48" i="31"/>
  <c r="CO48" i="25" s="1"/>
  <c r="CC48" i="31"/>
  <c r="CL48" i="25" s="1"/>
  <c r="CA48" i="31"/>
  <c r="CJ48" i="25" s="1"/>
  <c r="BX48" i="31"/>
  <c r="CG48" i="25" s="1"/>
  <c r="CD48" i="31"/>
  <c r="CB48" i="31"/>
  <c r="CK48" i="25" s="1"/>
  <c r="CE48" i="31"/>
  <c r="AR68" i="31"/>
  <c r="CZ68" i="31"/>
  <c r="BK68" i="31"/>
  <c r="CJ68" i="37" s="1"/>
  <c r="AQ68" i="31"/>
  <c r="AM68" i="31"/>
  <c r="AD68" i="31"/>
  <c r="AM68" i="25" s="1"/>
  <c r="AO68" i="31"/>
  <c r="BJ68" i="31"/>
  <c r="G68" i="31"/>
  <c r="P68" i="25" s="1"/>
  <c r="DA68" i="31"/>
  <c r="DJ68" i="25" s="1"/>
  <c r="AJ68" i="31"/>
  <c r="T68" i="31"/>
  <c r="AC68" i="25" s="1"/>
  <c r="BL68" i="31"/>
  <c r="CK68" i="37" s="1"/>
  <c r="AA68" i="31"/>
  <c r="AJ68" i="25" s="1"/>
  <c r="CU68" i="31"/>
  <c r="DD68" i="25" s="1"/>
  <c r="AL68" i="31"/>
  <c r="CX68" i="31"/>
  <c r="DG68" i="25" s="1"/>
  <c r="AP68" i="31"/>
  <c r="O68" i="31"/>
  <c r="X68" i="25" s="1"/>
  <c r="CK68" i="31"/>
  <c r="CT68" i="25" s="1"/>
  <c r="AC68" i="31"/>
  <c r="AL68" i="25" s="1"/>
  <c r="AG68" i="31"/>
  <c r="BI68" i="31"/>
  <c r="AY68" i="31"/>
  <c r="J68" i="31"/>
  <c r="S68" i="25" s="1"/>
  <c r="BD68" i="31"/>
  <c r="CJ68" i="31"/>
  <c r="CS68" i="25" s="1"/>
  <c r="BP68" i="31"/>
  <c r="CO68" i="37" s="1"/>
  <c r="BO68" i="31"/>
  <c r="CN68" i="37" s="1"/>
  <c r="C68" i="31"/>
  <c r="AS68" i="31"/>
  <c r="F68" i="31"/>
  <c r="O68" i="25" s="1"/>
  <c r="BE68" i="31"/>
  <c r="CY68" i="31"/>
  <c r="DH68" i="25" s="1"/>
  <c r="V68" i="31"/>
  <c r="AE68" i="25" s="1"/>
  <c r="BF68" i="31"/>
  <c r="I68" i="31"/>
  <c r="R68" i="25" s="1"/>
  <c r="BM68" i="31"/>
  <c r="CL68" i="37" s="1"/>
  <c r="CN68" i="31"/>
  <c r="CW68" i="25" s="1"/>
  <c r="H68" i="31"/>
  <c r="Q68" i="25" s="1"/>
  <c r="P68" i="31"/>
  <c r="Y68" i="25" s="1"/>
  <c r="AE68" i="31"/>
  <c r="AN68" i="25" s="1"/>
  <c r="CP68" i="31"/>
  <c r="CY68" i="25" s="1"/>
  <c r="CQ68" i="31"/>
  <c r="CZ68" i="25" s="1"/>
  <c r="AZ68" i="31"/>
  <c r="BB68" i="31"/>
  <c r="CM68" i="31"/>
  <c r="CV68" i="25" s="1"/>
  <c r="Z68" i="31"/>
  <c r="AI68" i="25" s="1"/>
  <c r="U68" i="31"/>
  <c r="AD68" i="25" s="1"/>
  <c r="Y68" i="31"/>
  <c r="AH68" i="25" s="1"/>
  <c r="Q68" i="31"/>
  <c r="Z68" i="25" s="1"/>
  <c r="M68" i="31"/>
  <c r="V68" i="25" s="1"/>
  <c r="CV68" i="31"/>
  <c r="DE68" i="25" s="1"/>
  <c r="AT68" i="31"/>
  <c r="AU68" i="31"/>
  <c r="CI68" i="31"/>
  <c r="CR68" i="25" s="1"/>
  <c r="BH68" i="31"/>
  <c r="D68" i="31"/>
  <c r="M68" i="25" s="1"/>
  <c r="AX68" i="31"/>
  <c r="BC68" i="31"/>
  <c r="AI68" i="31"/>
  <c r="AH68" i="31"/>
  <c r="AK68" i="31"/>
  <c r="L68" i="31"/>
  <c r="U68" i="25" s="1"/>
  <c r="W68" i="31"/>
  <c r="AF68" i="25" s="1"/>
  <c r="CL68" i="31"/>
  <c r="CU68" i="25" s="1"/>
  <c r="N68" i="31"/>
  <c r="W68" i="25" s="1"/>
  <c r="S68" i="31"/>
  <c r="AB68" i="25" s="1"/>
  <c r="R68" i="31"/>
  <c r="AA68" i="25" s="1"/>
  <c r="BA68" i="31"/>
  <c r="CS68" i="31"/>
  <c r="DB68" i="25" s="1"/>
  <c r="AN68" i="31"/>
  <c r="K68" i="31"/>
  <c r="T68" i="25" s="1"/>
  <c r="E68" i="31"/>
  <c r="N68" i="25" s="1"/>
  <c r="BG68" i="31"/>
  <c r="AV68" i="31"/>
  <c r="BN68" i="31"/>
  <c r="CM68" i="37" s="1"/>
  <c r="AW68" i="31"/>
  <c r="CF68" i="31"/>
  <c r="CO68" i="25" s="1"/>
  <c r="CA68" i="31"/>
  <c r="CJ68" i="25" s="1"/>
  <c r="CE68" i="31"/>
  <c r="CN68" i="25" s="1"/>
  <c r="CB68" i="31"/>
  <c r="CK68" i="25" s="1"/>
  <c r="BZ68" i="31"/>
  <c r="CI68" i="25" s="1"/>
  <c r="CD68" i="31"/>
  <c r="CM68" i="25" s="1"/>
  <c r="CC68" i="31"/>
  <c r="CL68" i="25" s="1"/>
  <c r="BX40" i="31"/>
  <c r="CE41" i="31"/>
  <c r="CN41" i="25" s="1"/>
  <c r="BY27" i="31"/>
  <c r="CH27" i="25" s="1"/>
  <c r="CU13" i="31"/>
  <c r="DD13" i="25" s="1"/>
  <c r="DA13" i="31"/>
  <c r="DJ13" i="25" s="1"/>
  <c r="CZ13" i="31"/>
  <c r="DI13" i="25" s="1"/>
  <c r="CY13" i="31"/>
  <c r="DH13" i="25" s="1"/>
  <c r="CS13" i="31"/>
  <c r="DB13" i="25" s="1"/>
  <c r="CX13" i="31"/>
  <c r="DG13" i="25" s="1"/>
  <c r="CV13" i="31"/>
  <c r="DE13" i="25" s="1"/>
  <c r="P13" i="31"/>
  <c r="Y13" i="25" s="1"/>
  <c r="CQ13" i="31"/>
  <c r="CZ13" i="25" s="1"/>
  <c r="N13" i="31"/>
  <c r="W13" i="25" s="1"/>
  <c r="AA13" i="31"/>
  <c r="AJ13" i="25" s="1"/>
  <c r="AX13" i="31"/>
  <c r="AH13" i="31"/>
  <c r="BL13" i="31"/>
  <c r="CK13" i="37" s="1"/>
  <c r="BI13" i="31"/>
  <c r="AG13" i="31"/>
  <c r="CJ13" i="31"/>
  <c r="CS13" i="25" s="1"/>
  <c r="AD13" i="31"/>
  <c r="AM13" i="25" s="1"/>
  <c r="CM13" i="31"/>
  <c r="CV13" i="25" s="1"/>
  <c r="BM13" i="31"/>
  <c r="CL13" i="37" s="1"/>
  <c r="BP13" i="31"/>
  <c r="CO13" i="37" s="1"/>
  <c r="BG13" i="31"/>
  <c r="H13" i="31"/>
  <c r="Q13" i="25" s="1"/>
  <c r="CP13" i="31"/>
  <c r="CY13" i="25" s="1"/>
  <c r="F13" i="31"/>
  <c r="O13" i="25" s="1"/>
  <c r="V13" i="31"/>
  <c r="AE13" i="25" s="1"/>
  <c r="AI13" i="31"/>
  <c r="BA13" i="31"/>
  <c r="BJ13" i="31"/>
  <c r="BC13" i="31"/>
  <c r="BO13" i="31"/>
  <c r="CN13" i="37" s="1"/>
  <c r="AT13" i="31"/>
  <c r="AW13" i="31"/>
  <c r="S13" i="31"/>
  <c r="AB13" i="25" s="1"/>
  <c r="J13" i="31"/>
  <c r="S13" i="25" s="1"/>
  <c r="O13" i="31"/>
  <c r="X13" i="25" s="1"/>
  <c r="M13" i="31"/>
  <c r="V13" i="25" s="1"/>
  <c r="U13" i="31"/>
  <c r="AD13" i="25" s="1"/>
  <c r="AK13" i="31"/>
  <c r="AY13" i="31"/>
  <c r="BK13" i="31"/>
  <c r="CJ13" i="37" s="1"/>
  <c r="AJ13" i="31"/>
  <c r="AO13" i="31"/>
  <c r="CK13" i="31"/>
  <c r="CT13" i="25" s="1"/>
  <c r="E13" i="31"/>
  <c r="N13" i="25" s="1"/>
  <c r="AZ13" i="31"/>
  <c r="BN13" i="31"/>
  <c r="CM13" i="37" s="1"/>
  <c r="AM13" i="31"/>
  <c r="C13" i="31"/>
  <c r="BE13" i="31"/>
  <c r="AE13" i="31"/>
  <c r="AN13" i="25" s="1"/>
  <c r="AN13" i="31"/>
  <c r="Z13" i="31"/>
  <c r="AI13" i="25" s="1"/>
  <c r="CI13" i="31"/>
  <c r="CR13" i="25" s="1"/>
  <c r="T13" i="31"/>
  <c r="AC13" i="25" s="1"/>
  <c r="AS13" i="31"/>
  <c r="AC13" i="31"/>
  <c r="AL13" i="25" s="1"/>
  <c r="D13" i="31"/>
  <c r="M13" i="25" s="1"/>
  <c r="K13" i="31"/>
  <c r="T13" i="25" s="1"/>
  <c r="Y13" i="31"/>
  <c r="AH13" i="25" s="1"/>
  <c r="L13" i="31"/>
  <c r="U13" i="25" s="1"/>
  <c r="AP13" i="31"/>
  <c r="I13" i="31"/>
  <c r="R13" i="25" s="1"/>
  <c r="BH13" i="31"/>
  <c r="AR13" i="31"/>
  <c r="AQ13" i="31"/>
  <c r="BB13" i="31"/>
  <c r="R13" i="31"/>
  <c r="AA13" i="25" s="1"/>
  <c r="W13" i="31"/>
  <c r="AF13" i="25" s="1"/>
  <c r="CL13" i="31"/>
  <c r="CU13" i="25" s="1"/>
  <c r="AV13" i="31"/>
  <c r="Q13" i="31"/>
  <c r="Z13" i="25" s="1"/>
  <c r="G13" i="31"/>
  <c r="P13" i="25" s="1"/>
  <c r="BF13" i="31"/>
  <c r="BD13" i="31"/>
  <c r="CN13" i="31"/>
  <c r="CW13" i="25" s="1"/>
  <c r="AL13" i="31"/>
  <c r="AU13" i="31"/>
  <c r="CE13" i="31"/>
  <c r="CN13" i="25" s="1"/>
  <c r="BY13" i="31"/>
  <c r="CH13" i="25" s="1"/>
  <c r="CF13" i="31"/>
  <c r="CO13" i="25" s="1"/>
  <c r="CD13" i="31"/>
  <c r="CM13" i="25" s="1"/>
  <c r="BX13" i="31"/>
  <c r="CG13" i="25" s="1"/>
  <c r="CC13" i="31"/>
  <c r="CL13" i="25" s="1"/>
  <c r="BZ13" i="31"/>
  <c r="CI13" i="25" s="1"/>
  <c r="CA13" i="31"/>
  <c r="CJ13" i="25" s="1"/>
  <c r="CA41" i="31"/>
  <c r="CJ41" i="25" s="1"/>
  <c r="AA63" i="31"/>
  <c r="AJ63" i="25" s="1"/>
  <c r="AC63" i="31"/>
  <c r="AL63" i="25" s="1"/>
  <c r="BD63" i="31"/>
  <c r="N63" i="31"/>
  <c r="W63" i="25" s="1"/>
  <c r="T63" i="31"/>
  <c r="AC63" i="25" s="1"/>
  <c r="E63" i="31"/>
  <c r="N63" i="25" s="1"/>
  <c r="CZ63" i="31"/>
  <c r="AO63" i="31"/>
  <c r="BJ63" i="31"/>
  <c r="BI63" i="31"/>
  <c r="C63" i="31"/>
  <c r="BE63" i="31"/>
  <c r="O63" i="31"/>
  <c r="X63" i="25" s="1"/>
  <c r="BL63" i="31"/>
  <c r="CK63" i="37" s="1"/>
  <c r="BB63" i="31"/>
  <c r="BO63" i="31"/>
  <c r="CN63" i="37" s="1"/>
  <c r="AG63" i="31"/>
  <c r="AN63" i="31"/>
  <c r="CL63" i="31"/>
  <c r="CU63" i="25" s="1"/>
  <c r="Z63" i="31"/>
  <c r="AI63" i="25" s="1"/>
  <c r="BP63" i="31"/>
  <c r="CO63" i="37" s="1"/>
  <c r="V63" i="31"/>
  <c r="AE63" i="25" s="1"/>
  <c r="CU63" i="31"/>
  <c r="DD63" i="25" s="1"/>
  <c r="L63" i="31"/>
  <c r="U63" i="25" s="1"/>
  <c r="AK63" i="31"/>
  <c r="H63" i="31"/>
  <c r="Q63" i="25" s="1"/>
  <c r="AZ63" i="31"/>
  <c r="AL63" i="31"/>
  <c r="AI63" i="31"/>
  <c r="AR63" i="31"/>
  <c r="CP63" i="31"/>
  <c r="CY63" i="25" s="1"/>
  <c r="CX63" i="31"/>
  <c r="DG63" i="25" s="1"/>
  <c r="BH63" i="31"/>
  <c r="F63" i="31"/>
  <c r="O63" i="25" s="1"/>
  <c r="U63" i="31"/>
  <c r="AD63" i="25" s="1"/>
  <c r="CQ63" i="31"/>
  <c r="CZ63" i="25" s="1"/>
  <c r="CM63" i="31"/>
  <c r="CV63" i="25" s="1"/>
  <c r="CJ63" i="31"/>
  <c r="CS63" i="25" s="1"/>
  <c r="Y63" i="31"/>
  <c r="AH63" i="25" s="1"/>
  <c r="AE63" i="31"/>
  <c r="AN63" i="25" s="1"/>
  <c r="CN63" i="31"/>
  <c r="CW63" i="25" s="1"/>
  <c r="BG63" i="31"/>
  <c r="M63" i="31"/>
  <c r="V63" i="25" s="1"/>
  <c r="CK63" i="31"/>
  <c r="CT63" i="25" s="1"/>
  <c r="Q63" i="31"/>
  <c r="Z63" i="25" s="1"/>
  <c r="AU63" i="31"/>
  <c r="AJ63" i="31"/>
  <c r="BM63" i="31"/>
  <c r="CL63" i="37" s="1"/>
  <c r="I63" i="31"/>
  <c r="R63" i="25" s="1"/>
  <c r="BN63" i="31"/>
  <c r="CM63" i="37" s="1"/>
  <c r="BK63" i="31"/>
  <c r="CJ63" i="37" s="1"/>
  <c r="BC63" i="31"/>
  <c r="R63" i="31"/>
  <c r="AA63" i="25" s="1"/>
  <c r="AS63" i="31"/>
  <c r="AY63" i="31"/>
  <c r="CY63" i="31"/>
  <c r="DH63" i="25" s="1"/>
  <c r="G63" i="31"/>
  <c r="P63" i="25" s="1"/>
  <c r="BA63" i="31"/>
  <c r="CI63" i="31"/>
  <c r="CR63" i="25" s="1"/>
  <c r="AD63" i="31"/>
  <c r="AM63" i="25" s="1"/>
  <c r="AH63" i="31"/>
  <c r="AW63" i="31"/>
  <c r="AV63" i="31"/>
  <c r="P63" i="31"/>
  <c r="Y63" i="25" s="1"/>
  <c r="AQ63" i="31"/>
  <c r="K63" i="31"/>
  <c r="T63" i="25" s="1"/>
  <c r="CV63" i="31"/>
  <c r="DE63" i="25" s="1"/>
  <c r="D63" i="31"/>
  <c r="M63" i="25" s="1"/>
  <c r="DA63" i="31"/>
  <c r="DJ63" i="25" s="1"/>
  <c r="S63" i="31"/>
  <c r="AB63" i="25" s="1"/>
  <c r="AM63" i="31"/>
  <c r="AX63" i="31"/>
  <c r="BF63" i="31"/>
  <c r="CS63" i="31"/>
  <c r="DB63" i="25" s="1"/>
  <c r="AP63" i="31"/>
  <c r="J63" i="31"/>
  <c r="S63" i="25" s="1"/>
  <c r="AT63" i="31"/>
  <c r="W63" i="31"/>
  <c r="AF63" i="25" s="1"/>
  <c r="CE63" i="31"/>
  <c r="CN63" i="25" s="1"/>
  <c r="CA63" i="31"/>
  <c r="CJ63" i="25" s="1"/>
  <c r="CD63" i="31"/>
  <c r="CM63" i="25" s="1"/>
  <c r="BY63" i="31"/>
  <c r="CH63" i="25" s="1"/>
  <c r="BZ63" i="31"/>
  <c r="CI63" i="25" s="1"/>
  <c r="CC63" i="31"/>
  <c r="CL63" i="25" s="1"/>
  <c r="CA3" i="31"/>
  <c r="CJ3" i="25" s="1"/>
  <c r="CZ39" i="31"/>
  <c r="DI39" i="25" s="1"/>
  <c r="DA39" i="31"/>
  <c r="DJ39" i="25" s="1"/>
  <c r="CX39" i="31"/>
  <c r="DG39" i="25" s="1"/>
  <c r="CY39" i="31"/>
  <c r="DH39" i="25" s="1"/>
  <c r="CV39" i="31"/>
  <c r="DE39" i="25" s="1"/>
  <c r="CS39" i="31"/>
  <c r="DB39" i="25" s="1"/>
  <c r="CU39" i="31"/>
  <c r="DD39" i="25" s="1"/>
  <c r="CK39" i="31"/>
  <c r="CT39" i="25" s="1"/>
  <c r="CM39" i="31"/>
  <c r="CV39" i="25" s="1"/>
  <c r="BN39" i="31"/>
  <c r="CM39" i="37" s="1"/>
  <c r="Z39" i="31"/>
  <c r="AI39" i="25" s="1"/>
  <c r="AY39" i="31"/>
  <c r="Q39" i="31"/>
  <c r="Z39" i="25" s="1"/>
  <c r="AG39" i="31"/>
  <c r="AN39" i="31"/>
  <c r="AM39" i="31"/>
  <c r="J39" i="31"/>
  <c r="S39" i="25" s="1"/>
  <c r="V39" i="31"/>
  <c r="AE39" i="25" s="1"/>
  <c r="CI39" i="31"/>
  <c r="CR39" i="25" s="1"/>
  <c r="BF39" i="31"/>
  <c r="BA39" i="31"/>
  <c r="S39" i="31"/>
  <c r="AB39" i="25" s="1"/>
  <c r="AW39" i="31"/>
  <c r="I39" i="31"/>
  <c r="R39" i="25" s="1"/>
  <c r="U39" i="31"/>
  <c r="AD39" i="25" s="1"/>
  <c r="AE39" i="31"/>
  <c r="AN39" i="25" s="1"/>
  <c r="AL39" i="31"/>
  <c r="CQ39" i="31"/>
  <c r="CZ39" i="25" s="1"/>
  <c r="AJ39" i="31"/>
  <c r="AC39" i="31"/>
  <c r="CL39" i="31"/>
  <c r="CU39" i="25" s="1"/>
  <c r="AA39" i="31"/>
  <c r="AJ39" i="25" s="1"/>
  <c r="K39" i="31"/>
  <c r="T39" i="25" s="1"/>
  <c r="AO39" i="31"/>
  <c r="CP39" i="31"/>
  <c r="CY39" i="25" s="1"/>
  <c r="G39" i="31"/>
  <c r="P39" i="25" s="1"/>
  <c r="R39" i="31"/>
  <c r="AA39" i="25" s="1"/>
  <c r="AD39" i="31"/>
  <c r="AM39" i="25" s="1"/>
  <c r="AX39" i="31"/>
  <c r="BJ39" i="31"/>
  <c r="BB39" i="31"/>
  <c r="BM39" i="31"/>
  <c r="CL39" i="37" s="1"/>
  <c r="Y39" i="31"/>
  <c r="AH39" i="25" s="1"/>
  <c r="AZ39" i="31"/>
  <c r="P39" i="31"/>
  <c r="Y39" i="25" s="1"/>
  <c r="H39" i="31"/>
  <c r="Q39" i="25" s="1"/>
  <c r="AR39" i="31"/>
  <c r="AH39" i="31"/>
  <c r="BH39" i="31"/>
  <c r="BD39" i="31"/>
  <c r="CJ39" i="31"/>
  <c r="CS39" i="25" s="1"/>
  <c r="AK39" i="31"/>
  <c r="BP39" i="31"/>
  <c r="CO39" i="37" s="1"/>
  <c r="AS39" i="31"/>
  <c r="W39" i="31"/>
  <c r="AF39" i="25" s="1"/>
  <c r="O39" i="31"/>
  <c r="X39" i="25" s="1"/>
  <c r="C39" i="31"/>
  <c r="AU39" i="31"/>
  <c r="E39" i="31"/>
  <c r="N39" i="25" s="1"/>
  <c r="D39" i="31"/>
  <c r="M39" i="25" s="1"/>
  <c r="T39" i="31"/>
  <c r="AC39" i="25" s="1"/>
  <c r="BK39" i="31"/>
  <c r="CJ39" i="37" s="1"/>
  <c r="BI39" i="31"/>
  <c r="L39" i="31"/>
  <c r="U39" i="25" s="1"/>
  <c r="AI39" i="31"/>
  <c r="AP39" i="31"/>
  <c r="CN39" i="31"/>
  <c r="CW39" i="25" s="1"/>
  <c r="AT39" i="31"/>
  <c r="BE39" i="31"/>
  <c r="AV39" i="31"/>
  <c r="BO39" i="31"/>
  <c r="CN39" i="37" s="1"/>
  <c r="BG39" i="31"/>
  <c r="BC39" i="31"/>
  <c r="F39" i="31"/>
  <c r="O39" i="25" s="1"/>
  <c r="BL39" i="31"/>
  <c r="CK39" i="37" s="1"/>
  <c r="AQ39" i="31"/>
  <c r="M39" i="31"/>
  <c r="V39" i="25" s="1"/>
  <c r="N39" i="31"/>
  <c r="W39" i="25" s="1"/>
  <c r="CF39" i="31"/>
  <c r="CE39" i="31"/>
  <c r="CN39" i="25" s="1"/>
  <c r="BX39" i="31"/>
  <c r="CD39" i="31"/>
  <c r="CM39" i="25" s="1"/>
  <c r="BZ39" i="31"/>
  <c r="CI39" i="25" s="1"/>
  <c r="CG39" i="31"/>
  <c r="BY39" i="31"/>
  <c r="CF73" i="31"/>
  <c r="CO73" i="25" s="1"/>
  <c r="BZ73" i="31"/>
  <c r="CI73" i="25" s="1"/>
  <c r="CZ44" i="31"/>
  <c r="DI44" i="25" s="1"/>
  <c r="CX44" i="31"/>
  <c r="DG44" i="25" s="1"/>
  <c r="CS44" i="31"/>
  <c r="DB44" i="25" s="1"/>
  <c r="DA44" i="31"/>
  <c r="DJ44" i="25" s="1"/>
  <c r="CU44" i="31"/>
  <c r="DD44" i="25" s="1"/>
  <c r="CV44" i="31"/>
  <c r="DE44" i="25" s="1"/>
  <c r="CY44" i="31"/>
  <c r="DH44" i="25" s="1"/>
  <c r="AV44" i="31"/>
  <c r="H44" i="31"/>
  <c r="Q44" i="25" s="1"/>
  <c r="AU44" i="31"/>
  <c r="G44" i="31"/>
  <c r="P44" i="25" s="1"/>
  <c r="CI44" i="31"/>
  <c r="CR44" i="25" s="1"/>
  <c r="CN44" i="31"/>
  <c r="CW44" i="25" s="1"/>
  <c r="BC44" i="31"/>
  <c r="AC44" i="31"/>
  <c r="BO44" i="31"/>
  <c r="CN44" i="37" s="1"/>
  <c r="AJ44" i="31"/>
  <c r="AG44" i="31"/>
  <c r="BJ44" i="31"/>
  <c r="CM44" i="31"/>
  <c r="CV44" i="25" s="1"/>
  <c r="AQ44" i="31"/>
  <c r="BN44" i="31"/>
  <c r="CM44" i="37" s="1"/>
  <c r="E44" i="31"/>
  <c r="N44" i="25" s="1"/>
  <c r="AN44" i="31"/>
  <c r="AM44" i="31"/>
  <c r="CJ44" i="31"/>
  <c r="CS44" i="25" s="1"/>
  <c r="AL44" i="31"/>
  <c r="AO44" i="31"/>
  <c r="Q44" i="31"/>
  <c r="Z44" i="25" s="1"/>
  <c r="I44" i="31"/>
  <c r="R44" i="25" s="1"/>
  <c r="CQ44" i="31"/>
  <c r="CZ44" i="25" s="1"/>
  <c r="AI44" i="31"/>
  <c r="BE44" i="31"/>
  <c r="BI44" i="31"/>
  <c r="AD44" i="31"/>
  <c r="AM44" i="25" s="1"/>
  <c r="Y44" i="31"/>
  <c r="AH44" i="25" s="1"/>
  <c r="AT44" i="31"/>
  <c r="BB44" i="31"/>
  <c r="CL44" i="31"/>
  <c r="CU44" i="25" s="1"/>
  <c r="CK44" i="31"/>
  <c r="CT44" i="25" s="1"/>
  <c r="BP44" i="31"/>
  <c r="CO44" i="37" s="1"/>
  <c r="AH44" i="31"/>
  <c r="BM44" i="31"/>
  <c r="CL44" i="37" s="1"/>
  <c r="BL44" i="31"/>
  <c r="CK44" i="37" s="1"/>
  <c r="T44" i="31"/>
  <c r="AC44" i="25" s="1"/>
  <c r="BF44" i="31"/>
  <c r="AR44" i="31"/>
  <c r="L44" i="31"/>
  <c r="U44" i="25" s="1"/>
  <c r="CP44" i="31"/>
  <c r="CY44" i="25" s="1"/>
  <c r="BH44" i="31"/>
  <c r="U44" i="31"/>
  <c r="AD44" i="25" s="1"/>
  <c r="Z44" i="31"/>
  <c r="AI44" i="25" s="1"/>
  <c r="AS44" i="31"/>
  <c r="P44" i="31"/>
  <c r="Y44" i="25" s="1"/>
  <c r="C44" i="31"/>
  <c r="M44" i="31"/>
  <c r="V44" i="25" s="1"/>
  <c r="AE44" i="31"/>
  <c r="AN44" i="25" s="1"/>
  <c r="BD44" i="31"/>
  <c r="V44" i="31"/>
  <c r="AE44" i="25" s="1"/>
  <c r="BA44" i="31"/>
  <c r="S44" i="31"/>
  <c r="AB44" i="25" s="1"/>
  <c r="AZ44" i="31"/>
  <c r="R44" i="31"/>
  <c r="AA44" i="25" s="1"/>
  <c r="BG44" i="31"/>
  <c r="AK44" i="31"/>
  <c r="D44" i="31"/>
  <c r="M44" i="25" s="1"/>
  <c r="W44" i="31"/>
  <c r="AF44" i="25" s="1"/>
  <c r="N44" i="31"/>
  <c r="W44" i="25" s="1"/>
  <c r="K44" i="31"/>
  <c r="T44" i="25" s="1"/>
  <c r="AX44" i="31"/>
  <c r="J44" i="31"/>
  <c r="S44" i="25" s="1"/>
  <c r="BK44" i="31"/>
  <c r="CJ44" i="37" s="1"/>
  <c r="AY44" i="31"/>
  <c r="AW44" i="31"/>
  <c r="AA44" i="31"/>
  <c r="AJ44" i="25" s="1"/>
  <c r="O44" i="31"/>
  <c r="X44" i="25" s="1"/>
  <c r="F44" i="31"/>
  <c r="O44" i="25" s="1"/>
  <c r="AP44" i="31"/>
  <c r="CE44" i="31"/>
  <c r="CN44" i="25" s="1"/>
  <c r="CC44" i="31"/>
  <c r="CL44" i="25" s="1"/>
  <c r="CF44" i="31"/>
  <c r="CG44" i="31"/>
  <c r="CA44" i="31"/>
  <c r="CJ44" i="25" s="1"/>
  <c r="BZ44" i="31"/>
  <c r="CI44" i="25" s="1"/>
  <c r="BY44" i="31"/>
  <c r="CD44" i="31"/>
  <c r="CM44" i="25" s="1"/>
  <c r="CX40" i="31"/>
  <c r="DG40" i="25" s="1"/>
  <c r="CY40" i="31"/>
  <c r="DH40" i="25" s="1"/>
  <c r="CV40" i="31"/>
  <c r="DE40" i="25" s="1"/>
  <c r="CZ40" i="31"/>
  <c r="DI40" i="25" s="1"/>
  <c r="DA40" i="31"/>
  <c r="DJ40" i="25" s="1"/>
  <c r="CS40" i="31"/>
  <c r="DB40" i="25" s="1"/>
  <c r="CU40" i="31"/>
  <c r="DD40" i="25" s="1"/>
  <c r="CM40" i="31"/>
  <c r="CV40" i="25" s="1"/>
  <c r="BJ40" i="31"/>
  <c r="AU40" i="31"/>
  <c r="AD40" i="31"/>
  <c r="AM40" i="25" s="1"/>
  <c r="AX40" i="31"/>
  <c r="AR40" i="31"/>
  <c r="BA40" i="31"/>
  <c r="F40" i="31"/>
  <c r="O40" i="25" s="1"/>
  <c r="AZ40" i="31"/>
  <c r="CN40" i="31"/>
  <c r="CW40" i="25" s="1"/>
  <c r="AM40" i="31"/>
  <c r="BD40" i="31"/>
  <c r="AK40" i="31"/>
  <c r="K40" i="31"/>
  <c r="T40" i="25" s="1"/>
  <c r="U40" i="31"/>
  <c r="AD40" i="25" s="1"/>
  <c r="AL40" i="31"/>
  <c r="CK40" i="31"/>
  <c r="CT40" i="25" s="1"/>
  <c r="BK40" i="31"/>
  <c r="CJ40" i="37" s="1"/>
  <c r="BG40" i="31"/>
  <c r="S40" i="31"/>
  <c r="AB40" i="25" s="1"/>
  <c r="D40" i="31"/>
  <c r="M40" i="25" s="1"/>
  <c r="T40" i="31"/>
  <c r="AC40" i="25" s="1"/>
  <c r="CL40" i="31"/>
  <c r="CU40" i="25" s="1"/>
  <c r="AN40" i="31"/>
  <c r="AE40" i="31"/>
  <c r="AN40" i="25" s="1"/>
  <c r="AY40" i="31"/>
  <c r="Q40" i="31"/>
  <c r="Z40" i="25" s="1"/>
  <c r="I40" i="31"/>
  <c r="R40" i="25" s="1"/>
  <c r="H40" i="31"/>
  <c r="Q40" i="25" s="1"/>
  <c r="G40" i="31"/>
  <c r="P40" i="25" s="1"/>
  <c r="E40" i="31"/>
  <c r="N40" i="25" s="1"/>
  <c r="BC40" i="31"/>
  <c r="BE40" i="31"/>
  <c r="AV40" i="31"/>
  <c r="R40" i="31"/>
  <c r="AA40" i="25" s="1"/>
  <c r="O40" i="31"/>
  <c r="X40" i="25" s="1"/>
  <c r="AS40" i="31"/>
  <c r="CQ40" i="31"/>
  <c r="CZ40" i="25" s="1"/>
  <c r="AI40" i="31"/>
  <c r="AW40" i="31"/>
  <c r="V40" i="31"/>
  <c r="AE40" i="25" s="1"/>
  <c r="AQ40" i="31"/>
  <c r="N40" i="31"/>
  <c r="W40" i="25" s="1"/>
  <c r="BP40" i="31"/>
  <c r="CO40" i="37" s="1"/>
  <c r="AO40" i="31"/>
  <c r="Z40" i="31"/>
  <c r="AI40" i="25" s="1"/>
  <c r="M40" i="31"/>
  <c r="V40" i="25" s="1"/>
  <c r="AJ40" i="31"/>
  <c r="AT40" i="31"/>
  <c r="Y40" i="31"/>
  <c r="AH40" i="25" s="1"/>
  <c r="BL40" i="31"/>
  <c r="CK40" i="37" s="1"/>
  <c r="AP40" i="31"/>
  <c r="AG40" i="31"/>
  <c r="CJ40" i="31"/>
  <c r="CS40" i="25" s="1"/>
  <c r="BM40" i="31"/>
  <c r="CL40" i="37" s="1"/>
  <c r="AC40" i="31"/>
  <c r="BB40" i="31"/>
  <c r="CI40" i="31"/>
  <c r="CR40" i="25" s="1"/>
  <c r="AH40" i="31"/>
  <c r="P40" i="31"/>
  <c r="Y40" i="25" s="1"/>
  <c r="J40" i="31"/>
  <c r="S40" i="25" s="1"/>
  <c r="BF40" i="31"/>
  <c r="CP40" i="31"/>
  <c r="CY40" i="25" s="1"/>
  <c r="W40" i="31"/>
  <c r="AF40" i="25" s="1"/>
  <c r="BI40" i="31"/>
  <c r="L40" i="31"/>
  <c r="U40" i="25" s="1"/>
  <c r="BN40" i="31"/>
  <c r="CM40" i="37" s="1"/>
  <c r="BO40" i="31"/>
  <c r="CN40" i="37" s="1"/>
  <c r="BH40" i="31"/>
  <c r="AA40" i="31"/>
  <c r="AJ40" i="25" s="1"/>
  <c r="C40" i="31"/>
  <c r="CE40" i="31"/>
  <c r="CN40" i="25" s="1"/>
  <c r="CA40" i="31"/>
  <c r="CJ40" i="25" s="1"/>
  <c r="CB40" i="31"/>
  <c r="CK40" i="25" s="1"/>
  <c r="CC40" i="31"/>
  <c r="CL40" i="25" s="1"/>
  <c r="CF40" i="31"/>
  <c r="CV27" i="31"/>
  <c r="DE27" i="25" s="1"/>
  <c r="CX27" i="31"/>
  <c r="DG27" i="25" s="1"/>
  <c r="DA27" i="31"/>
  <c r="DJ27" i="25" s="1"/>
  <c r="CZ27" i="31"/>
  <c r="DI27" i="25" s="1"/>
  <c r="CS27" i="31"/>
  <c r="DB27" i="25" s="1"/>
  <c r="CY27" i="31"/>
  <c r="DH27" i="25" s="1"/>
  <c r="CU27" i="31"/>
  <c r="DD27" i="25" s="1"/>
  <c r="CI27" i="31"/>
  <c r="CR27" i="25" s="1"/>
  <c r="AD27" i="31"/>
  <c r="AM27" i="25" s="1"/>
  <c r="E27" i="31"/>
  <c r="N27" i="25" s="1"/>
  <c r="J27" i="31"/>
  <c r="S27" i="25" s="1"/>
  <c r="CK27" i="31"/>
  <c r="CT27" i="25" s="1"/>
  <c r="C27" i="31"/>
  <c r="AY27" i="31"/>
  <c r="BD27" i="31"/>
  <c r="CQ27" i="31"/>
  <c r="CZ27" i="25" s="1"/>
  <c r="V27" i="31"/>
  <c r="AE27" i="25" s="1"/>
  <c r="CM27" i="31"/>
  <c r="CV27" i="25" s="1"/>
  <c r="Q27" i="31"/>
  <c r="Z27" i="25" s="1"/>
  <c r="AE27" i="31"/>
  <c r="AK27" i="31"/>
  <c r="BN27" i="31"/>
  <c r="CM27" i="37" s="1"/>
  <c r="BO27" i="31"/>
  <c r="CN27" i="37" s="1"/>
  <c r="N27" i="31"/>
  <c r="W27" i="25" s="1"/>
  <c r="T27" i="31"/>
  <c r="AC27" i="25" s="1"/>
  <c r="D27" i="31"/>
  <c r="M27" i="25" s="1"/>
  <c r="BL27" i="31"/>
  <c r="CK27" i="37" s="1"/>
  <c r="AN27" i="31"/>
  <c r="AZ27" i="31"/>
  <c r="H27" i="31"/>
  <c r="Q27" i="25" s="1"/>
  <c r="AC27" i="31"/>
  <c r="AL27" i="25" s="1"/>
  <c r="K27" i="31"/>
  <c r="T27" i="25" s="1"/>
  <c r="S27" i="31"/>
  <c r="AB27" i="25" s="1"/>
  <c r="R27" i="31"/>
  <c r="AA27" i="25" s="1"/>
  <c r="BJ27" i="31"/>
  <c r="AT27" i="31"/>
  <c r="AO27" i="31"/>
  <c r="BH27" i="31"/>
  <c r="BM27" i="31"/>
  <c r="CL27" i="37" s="1"/>
  <c r="L27" i="31"/>
  <c r="U27" i="25" s="1"/>
  <c r="AA27" i="31"/>
  <c r="AJ27" i="25" s="1"/>
  <c r="AP27" i="31"/>
  <c r="AS27" i="31"/>
  <c r="BB27" i="31"/>
  <c r="BK27" i="31"/>
  <c r="CJ27" i="37" s="1"/>
  <c r="BG27" i="31"/>
  <c r="AL27" i="31"/>
  <c r="P27" i="31"/>
  <c r="Y27" i="25" s="1"/>
  <c r="Y27" i="31"/>
  <c r="AH27" i="25" s="1"/>
  <c r="Z27" i="31"/>
  <c r="AI27" i="25" s="1"/>
  <c r="AJ27" i="31"/>
  <c r="AX27" i="31"/>
  <c r="AM27" i="31"/>
  <c r="AV27" i="31"/>
  <c r="W27" i="31"/>
  <c r="AF27" i="25" s="1"/>
  <c r="BI27" i="31"/>
  <c r="F27" i="31"/>
  <c r="O27" i="25" s="1"/>
  <c r="BF27" i="31"/>
  <c r="CJ27" i="31"/>
  <c r="CS27" i="25" s="1"/>
  <c r="BC27" i="31"/>
  <c r="AR27" i="31"/>
  <c r="O27" i="31"/>
  <c r="X27" i="25" s="1"/>
  <c r="BA27" i="31"/>
  <c r="AQ27" i="31"/>
  <c r="I27" i="31"/>
  <c r="R27" i="25" s="1"/>
  <c r="CN27" i="31"/>
  <c r="CW27" i="25" s="1"/>
  <c r="CP27" i="31"/>
  <c r="CY27" i="25" s="1"/>
  <c r="AI27" i="31"/>
  <c r="U27" i="31"/>
  <c r="AD27" i="25" s="1"/>
  <c r="G27" i="31"/>
  <c r="P27" i="25" s="1"/>
  <c r="AW27" i="31"/>
  <c r="AH27" i="31"/>
  <c r="AU27" i="31"/>
  <c r="M27" i="31"/>
  <c r="V27" i="25" s="1"/>
  <c r="CL27" i="31"/>
  <c r="CU27" i="25" s="1"/>
  <c r="BE27" i="31"/>
  <c r="BP27" i="31"/>
  <c r="CO27" i="37" s="1"/>
  <c r="AG27" i="31"/>
  <c r="BZ27" i="31"/>
  <c r="CI27" i="25" s="1"/>
  <c r="CA27" i="31"/>
  <c r="CJ27" i="25" s="1"/>
  <c r="CC27" i="31"/>
  <c r="CL27" i="25" s="1"/>
  <c r="CE27" i="31"/>
  <c r="CN27" i="25" s="1"/>
  <c r="CD27" i="31"/>
  <c r="CM27" i="25" s="1"/>
  <c r="CB27" i="31"/>
  <c r="CK27" i="25" s="1"/>
  <c r="CF27" i="31"/>
  <c r="CO27" i="25" s="1"/>
  <c r="BY40" i="31"/>
  <c r="CY57" i="31"/>
  <c r="DH57" i="25" s="1"/>
  <c r="CU57" i="31"/>
  <c r="DD57" i="25" s="1"/>
  <c r="DA57" i="31"/>
  <c r="DJ57" i="25" s="1"/>
  <c r="CV57" i="31"/>
  <c r="DE57" i="25" s="1"/>
  <c r="CS57" i="31"/>
  <c r="DB57" i="25" s="1"/>
  <c r="CX57" i="31"/>
  <c r="DG57" i="25" s="1"/>
  <c r="CZ57" i="31"/>
  <c r="DI57" i="25" s="1"/>
  <c r="CP57" i="31"/>
  <c r="CY57" i="25" s="1"/>
  <c r="CL57" i="31"/>
  <c r="CU57" i="25" s="1"/>
  <c r="CI57" i="31"/>
  <c r="CR57" i="25" s="1"/>
  <c r="Y57" i="31"/>
  <c r="AH57" i="25" s="1"/>
  <c r="BB57" i="31"/>
  <c r="CM57" i="31"/>
  <c r="CV57" i="25" s="1"/>
  <c r="AC57" i="31"/>
  <c r="AL57" i="25" s="1"/>
  <c r="W57" i="31"/>
  <c r="AF57" i="25" s="1"/>
  <c r="J57" i="31"/>
  <c r="S57" i="25" s="1"/>
  <c r="AN57" i="31"/>
  <c r="AO57" i="31"/>
  <c r="BA57" i="31"/>
  <c r="BF57" i="31"/>
  <c r="AG57" i="31"/>
  <c r="CQ57" i="31"/>
  <c r="CZ57" i="25" s="1"/>
  <c r="AD57" i="31"/>
  <c r="U57" i="31"/>
  <c r="AD57" i="25" s="1"/>
  <c r="G57" i="31"/>
  <c r="P57" i="25" s="1"/>
  <c r="Q57" i="31"/>
  <c r="Z57" i="25" s="1"/>
  <c r="I57" i="31"/>
  <c r="R57" i="25" s="1"/>
  <c r="BP57" i="31"/>
  <c r="CO57" i="37" s="1"/>
  <c r="BG57" i="31"/>
  <c r="AY57" i="31"/>
  <c r="P57" i="31"/>
  <c r="Y57" i="25" s="1"/>
  <c r="F57" i="31"/>
  <c r="O57" i="25" s="1"/>
  <c r="CK57" i="31"/>
  <c r="CT57" i="25" s="1"/>
  <c r="C57" i="31"/>
  <c r="O57" i="31"/>
  <c r="X57" i="25" s="1"/>
  <c r="AI57" i="31"/>
  <c r="AX57" i="31"/>
  <c r="M57" i="31"/>
  <c r="V57" i="25" s="1"/>
  <c r="AK57" i="31"/>
  <c r="AV57" i="31"/>
  <c r="AP57" i="31"/>
  <c r="AU57" i="31"/>
  <c r="CN57" i="31"/>
  <c r="CW57" i="25" s="1"/>
  <c r="AT57" i="31"/>
  <c r="AW57" i="31"/>
  <c r="V57" i="31"/>
  <c r="AE57" i="25" s="1"/>
  <c r="BO57" i="31"/>
  <c r="CN57" i="37" s="1"/>
  <c r="E57" i="31"/>
  <c r="N57" i="25" s="1"/>
  <c r="AE57" i="31"/>
  <c r="AN57" i="25" s="1"/>
  <c r="AL57" i="31"/>
  <c r="AZ57" i="31"/>
  <c r="BM57" i="31"/>
  <c r="CL57" i="37" s="1"/>
  <c r="L57" i="31"/>
  <c r="U57" i="25" s="1"/>
  <c r="AM57" i="31"/>
  <c r="Z57" i="31"/>
  <c r="AI57" i="25" s="1"/>
  <c r="H57" i="31"/>
  <c r="Q57" i="25" s="1"/>
  <c r="AA57" i="31"/>
  <c r="AJ57" i="25" s="1"/>
  <c r="K57" i="31"/>
  <c r="T57" i="25" s="1"/>
  <c r="AR57" i="31"/>
  <c r="AJ57" i="31"/>
  <c r="BH57" i="31"/>
  <c r="AH57" i="31"/>
  <c r="BI57" i="31"/>
  <c r="N57" i="31"/>
  <c r="W57" i="25" s="1"/>
  <c r="S57" i="31"/>
  <c r="AB57" i="25" s="1"/>
  <c r="BE57" i="31"/>
  <c r="BJ57" i="31"/>
  <c r="T57" i="31"/>
  <c r="AC57" i="25" s="1"/>
  <c r="CJ57" i="31"/>
  <c r="CS57" i="25" s="1"/>
  <c r="BN57" i="31"/>
  <c r="CM57" i="37" s="1"/>
  <c r="BL57" i="31"/>
  <c r="CK57" i="37" s="1"/>
  <c r="BD57" i="31"/>
  <c r="D57" i="31"/>
  <c r="M57" i="25" s="1"/>
  <c r="R57" i="31"/>
  <c r="AA57" i="25" s="1"/>
  <c r="AS57" i="31"/>
  <c r="BC57" i="31"/>
  <c r="BK57" i="31"/>
  <c r="CJ57" i="37" s="1"/>
  <c r="AQ57" i="31"/>
  <c r="CA57" i="31"/>
  <c r="CJ57" i="25" s="1"/>
  <c r="CC57" i="31"/>
  <c r="CL57" i="25" s="1"/>
  <c r="CD57" i="31"/>
  <c r="CG57" i="31"/>
  <c r="CP57" i="25" s="1"/>
  <c r="BX57" i="31"/>
  <c r="CG57" i="25" s="1"/>
  <c r="CF57" i="31"/>
  <c r="CO57" i="25" s="1"/>
  <c r="CB57" i="31"/>
  <c r="CK57" i="25" s="1"/>
  <c r="CG40" i="31"/>
  <c r="AC69" i="31"/>
  <c r="AL69" i="25" s="1"/>
  <c r="AP69" i="31"/>
  <c r="W69" i="31"/>
  <c r="AF69" i="25" s="1"/>
  <c r="AJ69" i="31"/>
  <c r="M69" i="31"/>
  <c r="V69" i="25" s="1"/>
  <c r="U69" i="31"/>
  <c r="AD69" i="25" s="1"/>
  <c r="O69" i="31"/>
  <c r="X69" i="25" s="1"/>
  <c r="AK69" i="31"/>
  <c r="BK69" i="31"/>
  <c r="CJ69" i="37" s="1"/>
  <c r="CI69" i="31"/>
  <c r="CR69" i="25" s="1"/>
  <c r="Y69" i="31"/>
  <c r="AH69" i="25" s="1"/>
  <c r="BP69" i="31"/>
  <c r="CO69" i="37" s="1"/>
  <c r="P69" i="31"/>
  <c r="Y69" i="25" s="1"/>
  <c r="AI69" i="31"/>
  <c r="BO69" i="31"/>
  <c r="CN69" i="37" s="1"/>
  <c r="BF69" i="31"/>
  <c r="S69" i="31"/>
  <c r="AB69" i="25" s="1"/>
  <c r="AZ69" i="31"/>
  <c r="AE69" i="31"/>
  <c r="AN69" i="25" s="1"/>
  <c r="BB69" i="31"/>
  <c r="AQ69" i="31"/>
  <c r="C69" i="31"/>
  <c r="CL69" i="31"/>
  <c r="CU69" i="25" s="1"/>
  <c r="BN69" i="31"/>
  <c r="CM69" i="37" s="1"/>
  <c r="H69" i="31"/>
  <c r="Q69" i="25" s="1"/>
  <c r="CY69" i="31"/>
  <c r="DH69" i="25" s="1"/>
  <c r="CU69" i="31"/>
  <c r="DD69" i="25" s="1"/>
  <c r="BH69" i="31"/>
  <c r="AS69" i="31"/>
  <c r="BE69" i="31"/>
  <c r="AT69" i="31"/>
  <c r="L69" i="31"/>
  <c r="U69" i="25" s="1"/>
  <c r="AU69" i="31"/>
  <c r="Z69" i="31"/>
  <c r="AI69" i="25" s="1"/>
  <c r="Q69" i="31"/>
  <c r="Z69" i="25" s="1"/>
  <c r="BM69" i="31"/>
  <c r="CL69" i="37" s="1"/>
  <c r="AX69" i="31"/>
  <c r="AD69" i="31"/>
  <c r="AM69" i="25" s="1"/>
  <c r="DA69" i="31"/>
  <c r="DJ69" i="25" s="1"/>
  <c r="K69" i="31"/>
  <c r="T69" i="25" s="1"/>
  <c r="AG69" i="31"/>
  <c r="F69" i="31"/>
  <c r="O69" i="25" s="1"/>
  <c r="CS69" i="31"/>
  <c r="DB69" i="25" s="1"/>
  <c r="CV69" i="31"/>
  <c r="DE69" i="25" s="1"/>
  <c r="J69" i="31"/>
  <c r="S69" i="25" s="1"/>
  <c r="AW69" i="31"/>
  <c r="AR69" i="31"/>
  <c r="AH69" i="31"/>
  <c r="BG69" i="31"/>
  <c r="BL69" i="31"/>
  <c r="CK69" i="37" s="1"/>
  <c r="E69" i="31"/>
  <c r="N69" i="25" s="1"/>
  <c r="CX69" i="31"/>
  <c r="DG69" i="25" s="1"/>
  <c r="I69" i="31"/>
  <c r="R69" i="25" s="1"/>
  <c r="CQ69" i="31"/>
  <c r="CZ69" i="25" s="1"/>
  <c r="CK69" i="31"/>
  <c r="CT69" i="25" s="1"/>
  <c r="R69" i="31"/>
  <c r="AA69" i="25" s="1"/>
  <c r="BD69" i="31"/>
  <c r="CJ69" i="31"/>
  <c r="CS69" i="25" s="1"/>
  <c r="AO69" i="31"/>
  <c r="AM69" i="31"/>
  <c r="BI69" i="31"/>
  <c r="AN69" i="31"/>
  <c r="N69" i="31"/>
  <c r="W69" i="25" s="1"/>
  <c r="CN69" i="31"/>
  <c r="CW69" i="25" s="1"/>
  <c r="AV69" i="31"/>
  <c r="BC69" i="31"/>
  <c r="V69" i="31"/>
  <c r="AE69" i="25" s="1"/>
  <c r="CP69" i="31"/>
  <c r="CY69" i="25" s="1"/>
  <c r="T69" i="31"/>
  <c r="AC69" i="25" s="1"/>
  <c r="BJ69" i="31"/>
  <c r="CM69" i="31"/>
  <c r="CV69" i="25" s="1"/>
  <c r="D69" i="31"/>
  <c r="M69" i="25" s="1"/>
  <c r="G69" i="31"/>
  <c r="P69" i="25" s="1"/>
  <c r="AY69" i="31"/>
  <c r="AA69" i="31"/>
  <c r="AJ69" i="25" s="1"/>
  <c r="AL69" i="31"/>
  <c r="CZ69" i="31"/>
  <c r="BA69" i="31"/>
  <c r="CG69" i="31"/>
  <c r="CP69" i="25" s="1"/>
  <c r="CE69" i="31"/>
  <c r="CN69" i="25" s="1"/>
  <c r="CF69" i="31"/>
  <c r="CO69" i="25" s="1"/>
  <c r="BZ69" i="31"/>
  <c r="CI69" i="25" s="1"/>
  <c r="CD69" i="31"/>
  <c r="CM69" i="25" s="1"/>
  <c r="BX69" i="31"/>
  <c r="CG69" i="25" s="1"/>
  <c r="CB69" i="31"/>
  <c r="CK69" i="25" s="1"/>
  <c r="CG68" i="31"/>
  <c r="CP68" i="25" s="1"/>
  <c r="CU35" i="31"/>
  <c r="DD35" i="25" s="1"/>
  <c r="CY35" i="31"/>
  <c r="DH35" i="25" s="1"/>
  <c r="CX35" i="31"/>
  <c r="DG35" i="25" s="1"/>
  <c r="CZ35" i="31"/>
  <c r="DI35" i="25" s="1"/>
  <c r="DA35" i="31"/>
  <c r="DJ35" i="25" s="1"/>
  <c r="CV35" i="31"/>
  <c r="DE35" i="25" s="1"/>
  <c r="CS35" i="31"/>
  <c r="DB35" i="25" s="1"/>
  <c r="CK35" i="31"/>
  <c r="CT35" i="25" s="1"/>
  <c r="CM35" i="31"/>
  <c r="CV35" i="25" s="1"/>
  <c r="CJ35" i="31"/>
  <c r="CS35" i="25" s="1"/>
  <c r="CN35" i="31"/>
  <c r="CW35" i="25" s="1"/>
  <c r="Z35" i="31"/>
  <c r="AI35" i="25" s="1"/>
  <c r="AZ35" i="31"/>
  <c r="R35" i="31"/>
  <c r="AA35" i="25" s="1"/>
  <c r="AN35" i="31"/>
  <c r="CP35" i="31"/>
  <c r="CY35" i="25" s="1"/>
  <c r="AI35" i="31"/>
  <c r="AO35" i="31"/>
  <c r="I35" i="31"/>
  <c r="R35" i="25" s="1"/>
  <c r="BD35" i="31"/>
  <c r="BE35" i="31"/>
  <c r="S35" i="31"/>
  <c r="AB35" i="25" s="1"/>
  <c r="AP35" i="31"/>
  <c r="BJ35" i="31"/>
  <c r="AU35" i="31"/>
  <c r="BP35" i="31"/>
  <c r="CO35" i="37" s="1"/>
  <c r="E35" i="31"/>
  <c r="N35" i="25" s="1"/>
  <c r="G35" i="31"/>
  <c r="P35" i="25" s="1"/>
  <c r="BA35" i="31"/>
  <c r="K35" i="31"/>
  <c r="T35" i="25" s="1"/>
  <c r="AM35" i="31"/>
  <c r="AY35" i="31"/>
  <c r="AG35" i="31"/>
  <c r="BH35" i="31"/>
  <c r="AT35" i="31"/>
  <c r="C35" i="31"/>
  <c r="AJ35" i="31"/>
  <c r="Q35" i="31"/>
  <c r="Z35" i="25" s="1"/>
  <c r="BO35" i="31"/>
  <c r="CN35" i="37" s="1"/>
  <c r="AA35" i="31"/>
  <c r="AJ35" i="25" s="1"/>
  <c r="BB35" i="31"/>
  <c r="V35" i="31"/>
  <c r="AE35" i="25" s="1"/>
  <c r="CQ35" i="31"/>
  <c r="CZ35" i="25" s="1"/>
  <c r="T35" i="31"/>
  <c r="AC35" i="25" s="1"/>
  <c r="BC35" i="31"/>
  <c r="BM35" i="31"/>
  <c r="CL35" i="37" s="1"/>
  <c r="D35" i="31"/>
  <c r="M35" i="25" s="1"/>
  <c r="L35" i="31"/>
  <c r="U35" i="25" s="1"/>
  <c r="AS35" i="31"/>
  <c r="J35" i="31"/>
  <c r="S35" i="25" s="1"/>
  <c r="AE35" i="31"/>
  <c r="AN35" i="25" s="1"/>
  <c r="AC35" i="31"/>
  <c r="AR35" i="31"/>
  <c r="W35" i="31"/>
  <c r="AF35" i="25" s="1"/>
  <c r="CL35" i="31"/>
  <c r="CU35" i="25" s="1"/>
  <c r="BI35" i="31"/>
  <c r="AW35" i="31"/>
  <c r="BL35" i="31"/>
  <c r="CK35" i="37" s="1"/>
  <c r="P35" i="31"/>
  <c r="Y35" i="25" s="1"/>
  <c r="BK35" i="31"/>
  <c r="CJ35" i="37" s="1"/>
  <c r="AQ35" i="31"/>
  <c r="H35" i="31"/>
  <c r="Q35" i="25" s="1"/>
  <c r="M35" i="31"/>
  <c r="V35" i="25" s="1"/>
  <c r="O35" i="31"/>
  <c r="X35" i="25" s="1"/>
  <c r="AV35" i="31"/>
  <c r="AH35" i="31"/>
  <c r="BF35" i="31"/>
  <c r="CI35" i="31"/>
  <c r="CR35" i="25" s="1"/>
  <c r="AD35" i="31"/>
  <c r="AM35" i="25" s="1"/>
  <c r="U35" i="31"/>
  <c r="AD35" i="25" s="1"/>
  <c r="N35" i="31"/>
  <c r="W35" i="25" s="1"/>
  <c r="Y35" i="31"/>
  <c r="AH35" i="25" s="1"/>
  <c r="F35" i="31"/>
  <c r="O35" i="25" s="1"/>
  <c r="AX35" i="31"/>
  <c r="BN35" i="31"/>
  <c r="CM35" i="37" s="1"/>
  <c r="AL35" i="31"/>
  <c r="BG35" i="31"/>
  <c r="AK35" i="31"/>
  <c r="BY35" i="31"/>
  <c r="BZ35" i="31"/>
  <c r="CI35" i="25" s="1"/>
  <c r="BX35" i="31"/>
  <c r="CB35" i="31"/>
  <c r="CK35" i="25" s="1"/>
  <c r="CG35" i="31"/>
  <c r="CZ5" i="31"/>
  <c r="DI5" i="25" s="1"/>
  <c r="CX5" i="31"/>
  <c r="DG5" i="25" s="1"/>
  <c r="CY5" i="31"/>
  <c r="DH5" i="25" s="1"/>
  <c r="CV5" i="31"/>
  <c r="DE5" i="25" s="1"/>
  <c r="CU5" i="31"/>
  <c r="DD5" i="25" s="1"/>
  <c r="CS5" i="31"/>
  <c r="DB5" i="25" s="1"/>
  <c r="DA5" i="31"/>
  <c r="DJ5" i="25" s="1"/>
  <c r="CM5" i="31"/>
  <c r="CV5" i="25" s="1"/>
  <c r="CN5" i="31"/>
  <c r="CW5" i="25" s="1"/>
  <c r="CL5" i="31"/>
  <c r="CU5" i="25" s="1"/>
  <c r="CJ5" i="31"/>
  <c r="CS5" i="25" s="1"/>
  <c r="CI5" i="31"/>
  <c r="CR5" i="25" s="1"/>
  <c r="S5" i="31"/>
  <c r="AB5" i="25" s="1"/>
  <c r="J5" i="31"/>
  <c r="S5" i="25" s="1"/>
  <c r="BN5" i="31"/>
  <c r="CM5" i="37" s="1"/>
  <c r="CP5" i="31"/>
  <c r="CY5" i="25" s="1"/>
  <c r="G5" i="31"/>
  <c r="P5" i="25" s="1"/>
  <c r="AP5" i="31"/>
  <c r="BH5" i="31"/>
  <c r="AG5" i="31"/>
  <c r="BB5" i="31"/>
  <c r="H5" i="31"/>
  <c r="Q5" i="25" s="1"/>
  <c r="Y5" i="31"/>
  <c r="AH5" i="25" s="1"/>
  <c r="D5" i="31"/>
  <c r="M5" i="25" s="1"/>
  <c r="BA5" i="31"/>
  <c r="AJ5" i="31"/>
  <c r="BI5" i="31"/>
  <c r="AC5" i="31"/>
  <c r="AL5" i="25" s="1"/>
  <c r="BD5" i="31"/>
  <c r="BO5" i="31"/>
  <c r="CN5" i="37" s="1"/>
  <c r="BK5" i="31"/>
  <c r="CJ5" i="37" s="1"/>
  <c r="O5" i="31"/>
  <c r="X5" i="25" s="1"/>
  <c r="W5" i="31"/>
  <c r="AF5" i="25" s="1"/>
  <c r="AL5" i="31"/>
  <c r="BM5" i="31"/>
  <c r="CL5" i="37" s="1"/>
  <c r="K5" i="31"/>
  <c r="T5" i="25" s="1"/>
  <c r="AS5" i="31"/>
  <c r="AR5" i="31"/>
  <c r="AD5" i="31"/>
  <c r="AM5" i="25" s="1"/>
  <c r="L5" i="31"/>
  <c r="U5" i="25" s="1"/>
  <c r="AO5" i="31"/>
  <c r="AA5" i="31"/>
  <c r="AJ5" i="25" s="1"/>
  <c r="BE5" i="31"/>
  <c r="M5" i="31"/>
  <c r="V5" i="25" s="1"/>
  <c r="AU5" i="31"/>
  <c r="I5" i="31"/>
  <c r="R5" i="25" s="1"/>
  <c r="AV5" i="31"/>
  <c r="CK5" i="31"/>
  <c r="CT5" i="25" s="1"/>
  <c r="C5" i="31"/>
  <c r="AH5" i="31"/>
  <c r="U5" i="31"/>
  <c r="AD5" i="25" s="1"/>
  <c r="AE5" i="31"/>
  <c r="AN5" i="25" s="1"/>
  <c r="Z5" i="31"/>
  <c r="AI5" i="25" s="1"/>
  <c r="BJ5" i="31"/>
  <c r="BL5" i="31"/>
  <c r="CK5" i="37" s="1"/>
  <c r="R5" i="31"/>
  <c r="AA5" i="25" s="1"/>
  <c r="AX5" i="31"/>
  <c r="AN5" i="31"/>
  <c r="E5" i="31"/>
  <c r="N5" i="25" s="1"/>
  <c r="Q5" i="31"/>
  <c r="Z5" i="25" s="1"/>
  <c r="BG5" i="31"/>
  <c r="AZ5" i="31"/>
  <c r="P5" i="31"/>
  <c r="Y5" i="25" s="1"/>
  <c r="T5" i="31"/>
  <c r="AC5" i="25" s="1"/>
  <c r="AW5" i="31"/>
  <c r="AT5" i="31"/>
  <c r="AK5" i="31"/>
  <c r="BC5" i="31"/>
  <c r="N5" i="31"/>
  <c r="W5" i="25" s="1"/>
  <c r="AM5" i="31"/>
  <c r="AY5" i="31"/>
  <c r="V5" i="31"/>
  <c r="AE5" i="25" s="1"/>
  <c r="AI5" i="31"/>
  <c r="BF5" i="31"/>
  <c r="F5" i="31"/>
  <c r="O5" i="25" s="1"/>
  <c r="BP5" i="31"/>
  <c r="CO5" i="37" s="1"/>
  <c r="AQ5" i="31"/>
  <c r="CQ5" i="31"/>
  <c r="CZ5" i="25" s="1"/>
  <c r="BY5" i="31"/>
  <c r="CH5" i="25" s="1"/>
  <c r="CF5" i="31"/>
  <c r="CO5" i="25" s="1"/>
  <c r="CD5" i="31"/>
  <c r="CM5" i="25" s="1"/>
  <c r="CA5" i="31"/>
  <c r="CJ5" i="25" s="1"/>
  <c r="CE5" i="31"/>
  <c r="CN5" i="25" s="1"/>
  <c r="CB5" i="31"/>
  <c r="CK5" i="25" s="1"/>
  <c r="CG5" i="31"/>
  <c r="CP5" i="25" s="1"/>
  <c r="BY68" i="31"/>
  <c r="CH68" i="25" s="1"/>
  <c r="CC69" i="31"/>
  <c r="CL69" i="25" s="1"/>
  <c r="BX27" i="31"/>
  <c r="CG27" i="25" s="1"/>
  <c r="BX68" i="31"/>
  <c r="CG68" i="25" s="1"/>
  <c r="BB73" i="31"/>
  <c r="CK73" i="31"/>
  <c r="CT73" i="25" s="1"/>
  <c r="CM73" i="31"/>
  <c r="CV73" i="25" s="1"/>
  <c r="AU73" i="31"/>
  <c r="BD73" i="31"/>
  <c r="I73" i="31"/>
  <c r="R73" i="25" s="1"/>
  <c r="AK73" i="31"/>
  <c r="AN73" i="31"/>
  <c r="CJ73" i="31"/>
  <c r="CS73" i="25" s="1"/>
  <c r="BG73" i="31"/>
  <c r="CZ73" i="31"/>
  <c r="AM73" i="31"/>
  <c r="BF73" i="31"/>
  <c r="AD73" i="31"/>
  <c r="AM73" i="25" s="1"/>
  <c r="AP73" i="31"/>
  <c r="CX73" i="31"/>
  <c r="DG73" i="25" s="1"/>
  <c r="D73" i="31"/>
  <c r="M73" i="25" s="1"/>
  <c r="W73" i="31"/>
  <c r="AF73" i="25" s="1"/>
  <c r="BH73" i="31"/>
  <c r="BN73" i="31"/>
  <c r="CM73" i="37" s="1"/>
  <c r="BO73" i="31"/>
  <c r="CN73" i="37" s="1"/>
  <c r="AS73" i="31"/>
  <c r="Z73" i="31"/>
  <c r="AI73" i="25" s="1"/>
  <c r="CP73" i="31"/>
  <c r="CY73" i="25" s="1"/>
  <c r="BJ73" i="31"/>
  <c r="P73" i="31"/>
  <c r="Y73" i="25" s="1"/>
  <c r="BA73" i="31"/>
  <c r="N73" i="31"/>
  <c r="W73" i="25" s="1"/>
  <c r="CU73" i="31"/>
  <c r="DD73" i="25" s="1"/>
  <c r="V73" i="31"/>
  <c r="AE73" i="25" s="1"/>
  <c r="L73" i="31"/>
  <c r="U73" i="25" s="1"/>
  <c r="S73" i="31"/>
  <c r="AB73" i="25" s="1"/>
  <c r="CS73" i="31"/>
  <c r="DB73" i="25" s="1"/>
  <c r="O73" i="31"/>
  <c r="X73" i="25" s="1"/>
  <c r="AG73" i="31"/>
  <c r="AQ73" i="31"/>
  <c r="AZ73" i="31"/>
  <c r="AJ73" i="31"/>
  <c r="BM73" i="31"/>
  <c r="CL73" i="37" s="1"/>
  <c r="R73" i="31"/>
  <c r="AA73" i="25" s="1"/>
  <c r="CQ73" i="31"/>
  <c r="CZ73" i="25" s="1"/>
  <c r="AC73" i="31"/>
  <c r="AL73" i="25" s="1"/>
  <c r="AA73" i="31"/>
  <c r="AJ73" i="25" s="1"/>
  <c r="E73" i="31"/>
  <c r="N73" i="25" s="1"/>
  <c r="BK73" i="31"/>
  <c r="CJ73" i="37" s="1"/>
  <c r="H73" i="31"/>
  <c r="Q73" i="25" s="1"/>
  <c r="BP73" i="31"/>
  <c r="CO73" i="37" s="1"/>
  <c r="CY73" i="31"/>
  <c r="DH73" i="25" s="1"/>
  <c r="BL73" i="31"/>
  <c r="CK73" i="37" s="1"/>
  <c r="Y73" i="31"/>
  <c r="AH73" i="25" s="1"/>
  <c r="T73" i="31"/>
  <c r="AC73" i="25" s="1"/>
  <c r="BI73" i="31"/>
  <c r="AY73" i="31"/>
  <c r="G73" i="31"/>
  <c r="P73" i="25" s="1"/>
  <c r="CN73" i="31"/>
  <c r="CW73" i="25" s="1"/>
  <c r="AX73" i="31"/>
  <c r="BC73" i="31"/>
  <c r="BE73" i="31"/>
  <c r="AO73" i="31"/>
  <c r="CI73" i="31"/>
  <c r="CR73" i="25" s="1"/>
  <c r="AR73" i="31"/>
  <c r="U73" i="31"/>
  <c r="AD73" i="25" s="1"/>
  <c r="AI73" i="31"/>
  <c r="C73" i="31"/>
  <c r="K73" i="31"/>
  <c r="T73" i="25" s="1"/>
  <c r="M73" i="31"/>
  <c r="V73" i="25" s="1"/>
  <c r="AV73" i="31"/>
  <c r="J73" i="31"/>
  <c r="S73" i="25" s="1"/>
  <c r="CL73" i="31"/>
  <c r="CU73" i="25" s="1"/>
  <c r="AE73" i="31"/>
  <c r="AN73" i="25" s="1"/>
  <c r="CV73" i="31"/>
  <c r="DE73" i="25" s="1"/>
  <c r="DA73" i="31"/>
  <c r="DJ73" i="25" s="1"/>
  <c r="AL73" i="31"/>
  <c r="F73" i="31"/>
  <c r="O73" i="25" s="1"/>
  <c r="AH73" i="31"/>
  <c r="Q73" i="31"/>
  <c r="Z73" i="25" s="1"/>
  <c r="AW73" i="31"/>
  <c r="AT73" i="31"/>
  <c r="CA73" i="31"/>
  <c r="CJ73" i="25" s="1"/>
  <c r="CE73" i="31"/>
  <c r="CN73" i="25" s="1"/>
  <c r="CC73" i="31"/>
  <c r="CL73" i="25" s="1"/>
  <c r="CD73" i="31"/>
  <c r="CM73" i="25" s="1"/>
  <c r="BY73" i="31"/>
  <c r="CH73" i="25" s="1"/>
  <c r="CG73" i="31"/>
  <c r="CP73" i="25" s="1"/>
  <c r="CB73" i="31"/>
  <c r="CK73" i="25" s="1"/>
  <c r="DA38" i="31"/>
  <c r="DJ38" i="25" s="1"/>
  <c r="CS38" i="31"/>
  <c r="DB38" i="25" s="1"/>
  <c r="CZ38" i="31"/>
  <c r="DI38" i="25" s="1"/>
  <c r="CX38" i="31"/>
  <c r="DG38" i="25" s="1"/>
  <c r="CV38" i="31"/>
  <c r="DE38" i="25" s="1"/>
  <c r="CU38" i="31"/>
  <c r="DD38" i="25" s="1"/>
  <c r="CY38" i="31"/>
  <c r="DH38" i="25" s="1"/>
  <c r="BL38" i="31"/>
  <c r="CK38" i="37" s="1"/>
  <c r="Y38" i="31"/>
  <c r="AH38" i="25" s="1"/>
  <c r="AV38" i="31"/>
  <c r="H38" i="31"/>
  <c r="Q38" i="25" s="1"/>
  <c r="BC38" i="31"/>
  <c r="BB38" i="31"/>
  <c r="AM38" i="31"/>
  <c r="AQ38" i="31"/>
  <c r="AA38" i="31"/>
  <c r="AJ38" i="25" s="1"/>
  <c r="CI38" i="31"/>
  <c r="CR38" i="25" s="1"/>
  <c r="CN38" i="31"/>
  <c r="CW38" i="25" s="1"/>
  <c r="AW38" i="31"/>
  <c r="I38" i="31"/>
  <c r="R38" i="25" s="1"/>
  <c r="BH38" i="31"/>
  <c r="AE38" i="31"/>
  <c r="AN38" i="25" s="1"/>
  <c r="K38" i="31"/>
  <c r="T38" i="25" s="1"/>
  <c r="C38" i="31"/>
  <c r="AC38" i="31"/>
  <c r="CM38" i="31"/>
  <c r="CV38" i="25" s="1"/>
  <c r="R38" i="31"/>
  <c r="AA38" i="25" s="1"/>
  <c r="AK38" i="31"/>
  <c r="N38" i="31"/>
  <c r="W38" i="25" s="1"/>
  <c r="BF38" i="31"/>
  <c r="O38" i="31"/>
  <c r="X38" i="25" s="1"/>
  <c r="L38" i="31"/>
  <c r="U38" i="25" s="1"/>
  <c r="W38" i="31"/>
  <c r="AF38" i="25" s="1"/>
  <c r="CK38" i="31"/>
  <c r="CT38" i="25" s="1"/>
  <c r="AJ38" i="31"/>
  <c r="AT38" i="31"/>
  <c r="BI38" i="31"/>
  <c r="BO38" i="31"/>
  <c r="CN38" i="37" s="1"/>
  <c r="BA38" i="31"/>
  <c r="CL38" i="31"/>
  <c r="CU38" i="25" s="1"/>
  <c r="J38" i="31"/>
  <c r="S38" i="25" s="1"/>
  <c r="U38" i="31"/>
  <c r="AD38" i="25" s="1"/>
  <c r="AU38" i="31"/>
  <c r="AG38" i="31"/>
  <c r="AH38" i="31"/>
  <c r="AR38" i="31"/>
  <c r="AP38" i="31"/>
  <c r="F38" i="31"/>
  <c r="O38" i="25" s="1"/>
  <c r="Q38" i="31"/>
  <c r="Z38" i="25" s="1"/>
  <c r="BG38" i="31"/>
  <c r="AZ38" i="31"/>
  <c r="AY38" i="31"/>
  <c r="AN38" i="31"/>
  <c r="AD38" i="31"/>
  <c r="AM38" i="25" s="1"/>
  <c r="Z38" i="31"/>
  <c r="AI38" i="25" s="1"/>
  <c r="BE38" i="31"/>
  <c r="P38" i="31"/>
  <c r="Y38" i="25" s="1"/>
  <c r="AX38" i="31"/>
  <c r="AO38" i="31"/>
  <c r="V38" i="31"/>
  <c r="AE38" i="25" s="1"/>
  <c r="T38" i="31"/>
  <c r="AC38" i="25" s="1"/>
  <c r="G38" i="31"/>
  <c r="P38" i="25" s="1"/>
  <c r="BN38" i="31"/>
  <c r="CM38" i="37" s="1"/>
  <c r="CJ38" i="31"/>
  <c r="CS38" i="25" s="1"/>
  <c r="CP38" i="31"/>
  <c r="CY38" i="25" s="1"/>
  <c r="AI38" i="31"/>
  <c r="BJ38" i="31"/>
  <c r="BM38" i="31"/>
  <c r="CL38" i="37" s="1"/>
  <c r="BP38" i="31"/>
  <c r="CO38" i="37" s="1"/>
  <c r="BD38" i="31"/>
  <c r="M38" i="31"/>
  <c r="V38" i="25" s="1"/>
  <c r="AL38" i="31"/>
  <c r="E38" i="31"/>
  <c r="N38" i="25" s="1"/>
  <c r="CQ38" i="31"/>
  <c r="CZ38" i="25" s="1"/>
  <c r="D38" i="31"/>
  <c r="M38" i="25" s="1"/>
  <c r="S38" i="31"/>
  <c r="AB38" i="25" s="1"/>
  <c r="AS38" i="31"/>
  <c r="BK38" i="31"/>
  <c r="CJ38" i="37" s="1"/>
  <c r="CE38" i="31"/>
  <c r="CN38" i="25" s="1"/>
  <c r="CC38" i="31"/>
  <c r="CL38" i="25" s="1"/>
  <c r="CB38" i="31"/>
  <c r="CK38" i="25" s="1"/>
  <c r="CD38" i="31"/>
  <c r="CM38" i="25" s="1"/>
  <c r="CG38" i="31"/>
  <c r="CF38" i="31"/>
  <c r="BZ38" i="31"/>
  <c r="CI38" i="25" s="1"/>
  <c r="CZ3" i="31"/>
  <c r="DI3" i="25" s="1"/>
  <c r="CS3" i="31"/>
  <c r="DB3" i="25" s="1"/>
  <c r="CY3" i="31"/>
  <c r="DH3" i="25" s="1"/>
  <c r="CU3" i="31"/>
  <c r="DD3" i="25" s="1"/>
  <c r="CV3" i="31"/>
  <c r="DE3" i="25" s="1"/>
  <c r="CX3" i="31"/>
  <c r="DG3" i="25" s="1"/>
  <c r="DA3" i="31"/>
  <c r="DJ3" i="25" s="1"/>
  <c r="CN3" i="31"/>
  <c r="CW3" i="25" s="1"/>
  <c r="CJ3" i="31"/>
  <c r="CS3" i="25" s="1"/>
  <c r="AD3" i="31"/>
  <c r="AM3" i="25" s="1"/>
  <c r="BE3" i="31"/>
  <c r="CI3" i="31"/>
  <c r="CR3" i="25" s="1"/>
  <c r="BH3" i="31"/>
  <c r="BO3" i="31"/>
  <c r="CN3" i="37" s="1"/>
  <c r="AQ3" i="31"/>
  <c r="J3" i="31"/>
  <c r="S3" i="25" s="1"/>
  <c r="Q3" i="31"/>
  <c r="Z3" i="25" s="1"/>
  <c r="E3" i="31"/>
  <c r="N3" i="25" s="1"/>
  <c r="CK3" i="31"/>
  <c r="CT3" i="25" s="1"/>
  <c r="BD3" i="31"/>
  <c r="BG3" i="31"/>
  <c r="AC3" i="31"/>
  <c r="AL3" i="25" s="1"/>
  <c r="AZ3" i="31"/>
  <c r="AK3" i="31"/>
  <c r="CP3" i="31"/>
  <c r="CY3" i="25" s="1"/>
  <c r="AI3" i="31"/>
  <c r="N3" i="31"/>
  <c r="W3" i="25" s="1"/>
  <c r="L3" i="31"/>
  <c r="U3" i="25" s="1"/>
  <c r="CL3" i="31"/>
  <c r="CU3" i="25" s="1"/>
  <c r="CM3" i="31"/>
  <c r="CV3" i="25" s="1"/>
  <c r="BP3" i="31"/>
  <c r="CO3" i="37" s="1"/>
  <c r="BC3" i="31"/>
  <c r="BB3" i="31"/>
  <c r="AP3" i="31"/>
  <c r="AY3" i="31"/>
  <c r="R3" i="31"/>
  <c r="AA3" i="25" s="1"/>
  <c r="V3" i="31"/>
  <c r="AE3" i="25" s="1"/>
  <c r="AO3" i="31"/>
  <c r="U3" i="31"/>
  <c r="AD3" i="25" s="1"/>
  <c r="T3" i="31"/>
  <c r="AC3" i="25" s="1"/>
  <c r="I3" i="31"/>
  <c r="R3" i="25" s="1"/>
  <c r="AJ3" i="31"/>
  <c r="D3" i="31"/>
  <c r="M3" i="25" s="1"/>
  <c r="AR3" i="31"/>
  <c r="AW3" i="31"/>
  <c r="AV3" i="31"/>
  <c r="W3" i="31"/>
  <c r="AF3" i="25" s="1"/>
  <c r="H3" i="31"/>
  <c r="Q3" i="25" s="1"/>
  <c r="AT3" i="31"/>
  <c r="AS3" i="31"/>
  <c r="AL3" i="31"/>
  <c r="Z3" i="31"/>
  <c r="AI3" i="25" s="1"/>
  <c r="F3" i="31"/>
  <c r="O3" i="25" s="1"/>
  <c r="AG3" i="31"/>
  <c r="AM3" i="31"/>
  <c r="AN3" i="31"/>
  <c r="AU3" i="31"/>
  <c r="AA3" i="31"/>
  <c r="AJ3" i="25" s="1"/>
  <c r="K3" i="31"/>
  <c r="T3" i="25" s="1"/>
  <c r="AH3" i="31"/>
  <c r="BA3" i="31"/>
  <c r="CQ3" i="31"/>
  <c r="CZ3" i="25" s="1"/>
  <c r="G3" i="31"/>
  <c r="P3" i="25" s="1"/>
  <c r="S3" i="31"/>
  <c r="AB3" i="25" s="1"/>
  <c r="BL3" i="31"/>
  <c r="CK3" i="37" s="1"/>
  <c r="BJ3" i="31"/>
  <c r="O3" i="31"/>
  <c r="X3" i="25" s="1"/>
  <c r="BN3" i="31"/>
  <c r="CM3" i="37" s="1"/>
  <c r="AX3" i="31"/>
  <c r="C3" i="31"/>
  <c r="BF3" i="31"/>
  <c r="BK3" i="31"/>
  <c r="CJ3" i="37" s="1"/>
  <c r="BI3" i="31"/>
  <c r="P3" i="31"/>
  <c r="Y3" i="25" s="1"/>
  <c r="AE3" i="31"/>
  <c r="AN3" i="25" s="1"/>
  <c r="M3" i="31"/>
  <c r="V3" i="25" s="1"/>
  <c r="Y3" i="31"/>
  <c r="AH3" i="25" s="1"/>
  <c r="BM3" i="31"/>
  <c r="CL3" i="37" s="1"/>
  <c r="BY3" i="31"/>
  <c r="CH3" i="25" s="1"/>
  <c r="CB3" i="31"/>
  <c r="CK3" i="25" s="1"/>
  <c r="CE3" i="31"/>
  <c r="CN3" i="25" s="1"/>
  <c r="BX3" i="31"/>
  <c r="CG3" i="25" s="1"/>
  <c r="BZ3" i="31"/>
  <c r="CI3" i="25" s="1"/>
  <c r="CG3" i="31"/>
  <c r="CP3" i="25" s="1"/>
  <c r="CF3" i="31"/>
  <c r="CO3" i="25" s="1"/>
  <c r="CY42" i="31"/>
  <c r="DH42" i="25" s="1"/>
  <c r="CX42" i="31"/>
  <c r="DG42" i="25" s="1"/>
  <c r="CU42" i="31"/>
  <c r="DD42" i="25" s="1"/>
  <c r="DA42" i="31"/>
  <c r="DJ42" i="25" s="1"/>
  <c r="CZ42" i="31"/>
  <c r="DI42" i="25" s="1"/>
  <c r="CV42" i="31"/>
  <c r="DE42" i="25" s="1"/>
  <c r="CS42" i="31"/>
  <c r="DB42" i="25" s="1"/>
  <c r="AN42" i="31"/>
  <c r="CM42" i="31"/>
  <c r="CV42" i="25" s="1"/>
  <c r="BP42" i="31"/>
  <c r="CO42" i="37" s="1"/>
  <c r="AH42" i="31"/>
  <c r="CI42" i="31"/>
  <c r="CR42" i="25" s="1"/>
  <c r="BF42" i="31"/>
  <c r="AL42" i="31"/>
  <c r="CN42" i="31"/>
  <c r="CW42" i="25" s="1"/>
  <c r="CP42" i="31"/>
  <c r="CY42" i="25" s="1"/>
  <c r="AI42" i="31"/>
  <c r="BH42" i="31"/>
  <c r="BM42" i="31"/>
  <c r="CL42" i="37" s="1"/>
  <c r="CQ42" i="31"/>
  <c r="CZ42" i="25" s="1"/>
  <c r="AJ42" i="31"/>
  <c r="BI42" i="31"/>
  <c r="AD42" i="31"/>
  <c r="AM42" i="25" s="1"/>
  <c r="BE42" i="31"/>
  <c r="AR42" i="31"/>
  <c r="O42" i="31"/>
  <c r="X42" i="25" s="1"/>
  <c r="AT42" i="31"/>
  <c r="F42" i="31"/>
  <c r="O42" i="25" s="1"/>
  <c r="K42" i="31"/>
  <c r="T42" i="25" s="1"/>
  <c r="T42" i="31"/>
  <c r="AC42" i="25" s="1"/>
  <c r="L42" i="31"/>
  <c r="U42" i="25" s="1"/>
  <c r="Q42" i="31"/>
  <c r="Z42" i="25" s="1"/>
  <c r="Y42" i="31"/>
  <c r="AH42" i="25" s="1"/>
  <c r="E42" i="31"/>
  <c r="N42" i="25" s="1"/>
  <c r="AE42" i="31"/>
  <c r="AN42" i="25" s="1"/>
  <c r="V42" i="31"/>
  <c r="AE42" i="25" s="1"/>
  <c r="Z42" i="31"/>
  <c r="AI42" i="25" s="1"/>
  <c r="AP42" i="31"/>
  <c r="AG42" i="31"/>
  <c r="BG42" i="31"/>
  <c r="BN42" i="31"/>
  <c r="CM42" i="37" s="1"/>
  <c r="CL42" i="31"/>
  <c r="CU42" i="25" s="1"/>
  <c r="BB42" i="31"/>
  <c r="BL42" i="31"/>
  <c r="CK42" i="37" s="1"/>
  <c r="W42" i="31"/>
  <c r="AF42" i="25" s="1"/>
  <c r="N42" i="31"/>
  <c r="W42" i="25" s="1"/>
  <c r="S42" i="31"/>
  <c r="AB42" i="25" s="1"/>
  <c r="J42" i="31"/>
  <c r="S42" i="25" s="1"/>
  <c r="BC42" i="31"/>
  <c r="H42" i="31"/>
  <c r="Q42" i="25" s="1"/>
  <c r="BJ42" i="31"/>
  <c r="P42" i="31"/>
  <c r="Y42" i="25" s="1"/>
  <c r="G42" i="31"/>
  <c r="P42" i="25" s="1"/>
  <c r="CK42" i="31"/>
  <c r="CT42" i="25" s="1"/>
  <c r="C42" i="31"/>
  <c r="AA42" i="31"/>
  <c r="AJ42" i="25" s="1"/>
  <c r="CJ42" i="31"/>
  <c r="CS42" i="25" s="1"/>
  <c r="AC42" i="31"/>
  <c r="BK42" i="31"/>
  <c r="CJ42" i="37" s="1"/>
  <c r="AS42" i="31"/>
  <c r="BD42" i="31"/>
  <c r="AW42" i="31"/>
  <c r="BA42" i="31"/>
  <c r="AZ42" i="31"/>
  <c r="AY42" i="31"/>
  <c r="U42" i="31"/>
  <c r="AD42" i="25" s="1"/>
  <c r="AU42" i="31"/>
  <c r="AQ42" i="31"/>
  <c r="R42" i="31"/>
  <c r="AA42" i="25" s="1"/>
  <c r="AO42" i="31"/>
  <c r="AX42" i="31"/>
  <c r="AV42" i="31"/>
  <c r="AM42" i="31"/>
  <c r="D42" i="31"/>
  <c r="M42" i="25" s="1"/>
  <c r="BO42" i="31"/>
  <c r="CN42" i="37" s="1"/>
  <c r="AK42" i="31"/>
  <c r="I42" i="31"/>
  <c r="R42" i="25" s="1"/>
  <c r="M42" i="31"/>
  <c r="V42" i="25" s="1"/>
  <c r="CF42" i="31"/>
  <c r="BY42" i="31"/>
  <c r="CD42" i="31"/>
  <c r="CM42" i="25" s="1"/>
  <c r="CE42" i="31"/>
  <c r="CN42" i="25" s="1"/>
  <c r="CC42" i="31"/>
  <c r="CL42" i="25" s="1"/>
  <c r="CB42" i="31"/>
  <c r="CK42" i="25" s="1"/>
  <c r="CD40" i="31"/>
  <c r="CM40" i="25" s="1"/>
  <c r="C67" i="31"/>
  <c r="BM67" i="31"/>
  <c r="CL67" i="37" s="1"/>
  <c r="DA67" i="31"/>
  <c r="DJ67" i="25" s="1"/>
  <c r="AC67" i="31"/>
  <c r="AL67" i="25" s="1"/>
  <c r="P67" i="31"/>
  <c r="Y67" i="25" s="1"/>
  <c r="M67" i="31"/>
  <c r="V67" i="25" s="1"/>
  <c r="BJ67" i="31"/>
  <c r="AA67" i="31"/>
  <c r="AJ67" i="25" s="1"/>
  <c r="BG67" i="31"/>
  <c r="AP67" i="31"/>
  <c r="AO67" i="31"/>
  <c r="AQ67" i="31"/>
  <c r="AD67" i="31"/>
  <c r="AM67" i="25" s="1"/>
  <c r="L67" i="31"/>
  <c r="U67" i="25" s="1"/>
  <c r="CU67" i="31"/>
  <c r="DD67" i="25" s="1"/>
  <c r="CJ67" i="31"/>
  <c r="CS67" i="25" s="1"/>
  <c r="BE67" i="31"/>
  <c r="BH67" i="31"/>
  <c r="W67" i="31"/>
  <c r="AF67" i="25" s="1"/>
  <c r="BK67" i="31"/>
  <c r="CJ67" i="37" s="1"/>
  <c r="BC67" i="31"/>
  <c r="CQ67" i="31"/>
  <c r="CZ67" i="25" s="1"/>
  <c r="BB67" i="31"/>
  <c r="Z67" i="31"/>
  <c r="AI67" i="25" s="1"/>
  <c r="AV67" i="31"/>
  <c r="CV67" i="31"/>
  <c r="DE67" i="25" s="1"/>
  <c r="G67" i="31"/>
  <c r="P67" i="25" s="1"/>
  <c r="BL67" i="31"/>
  <c r="CK67" i="37" s="1"/>
  <c r="AS67" i="31"/>
  <c r="T67" i="31"/>
  <c r="AC67" i="25" s="1"/>
  <c r="CL67" i="31"/>
  <c r="CU67" i="25" s="1"/>
  <c r="H67" i="31"/>
  <c r="Q67" i="25" s="1"/>
  <c r="S67" i="31"/>
  <c r="AB67" i="25" s="1"/>
  <c r="E67" i="31"/>
  <c r="N67" i="25" s="1"/>
  <c r="BO67" i="31"/>
  <c r="CN67" i="37" s="1"/>
  <c r="CS67" i="31"/>
  <c r="DB67" i="25" s="1"/>
  <c r="O67" i="31"/>
  <c r="X67" i="25" s="1"/>
  <c r="BF67" i="31"/>
  <c r="AR67" i="31"/>
  <c r="AG67" i="31"/>
  <c r="AI67" i="31"/>
  <c r="AZ67" i="31"/>
  <c r="AE67" i="31"/>
  <c r="AN67" i="25" s="1"/>
  <c r="CX67" i="31"/>
  <c r="DG67" i="25" s="1"/>
  <c r="AT67" i="31"/>
  <c r="CN67" i="31"/>
  <c r="CW67" i="25" s="1"/>
  <c r="BI67" i="31"/>
  <c r="AN67" i="31"/>
  <c r="AX67" i="31"/>
  <c r="CI67" i="31"/>
  <c r="CR67" i="25" s="1"/>
  <c r="J67" i="31"/>
  <c r="S67" i="25" s="1"/>
  <c r="AJ67" i="31"/>
  <c r="BD67" i="31"/>
  <c r="BN67" i="31"/>
  <c r="CM67" i="37" s="1"/>
  <c r="CP67" i="31"/>
  <c r="CY67" i="25" s="1"/>
  <c r="CM67" i="31"/>
  <c r="CV67" i="25" s="1"/>
  <c r="U67" i="31"/>
  <c r="AD67" i="25" s="1"/>
  <c r="Y67" i="31"/>
  <c r="AH67" i="25" s="1"/>
  <c r="AY67" i="31"/>
  <c r="AU67" i="31"/>
  <c r="AH67" i="31"/>
  <c r="V67" i="31"/>
  <c r="AE67" i="25" s="1"/>
  <c r="F67" i="31"/>
  <c r="O67" i="25" s="1"/>
  <c r="CZ67" i="31"/>
  <c r="CK67" i="31"/>
  <c r="CT67" i="25" s="1"/>
  <c r="I67" i="31"/>
  <c r="R67" i="25" s="1"/>
  <c r="N67" i="31"/>
  <c r="W67" i="25" s="1"/>
  <c r="AL67" i="31"/>
  <c r="AK67" i="31"/>
  <c r="R67" i="31"/>
  <c r="AA67" i="25" s="1"/>
  <c r="BA67" i="31"/>
  <c r="AM67" i="31"/>
  <c r="D67" i="31"/>
  <c r="M67" i="25" s="1"/>
  <c r="CY67" i="31"/>
  <c r="DH67" i="25" s="1"/>
  <c r="K67" i="31"/>
  <c r="T67" i="25" s="1"/>
  <c r="BP67" i="31"/>
  <c r="CO67" i="37" s="1"/>
  <c r="Q67" i="31"/>
  <c r="Z67" i="25" s="1"/>
  <c r="AW67" i="31"/>
  <c r="CB67" i="31"/>
  <c r="CK67" i="25" s="1"/>
  <c r="CD67" i="31"/>
  <c r="CM67" i="25" s="1"/>
  <c r="CG67" i="31"/>
  <c r="CP67" i="25" s="1"/>
  <c r="CF67" i="31"/>
  <c r="CO67" i="25" s="1"/>
  <c r="BX67" i="31"/>
  <c r="CG67" i="25" s="1"/>
  <c r="BY67" i="31"/>
  <c r="CH67" i="25" s="1"/>
  <c r="CE67" i="31"/>
  <c r="CN67" i="25" s="1"/>
  <c r="BZ67" i="31"/>
  <c r="CI67" i="25" s="1"/>
  <c r="CZ41" i="31"/>
  <c r="DI41" i="25" s="1"/>
  <c r="DA41" i="31"/>
  <c r="DJ41" i="25" s="1"/>
  <c r="CX41" i="31"/>
  <c r="DG41" i="25" s="1"/>
  <c r="CV41" i="31"/>
  <c r="DE41" i="25" s="1"/>
  <c r="CS41" i="31"/>
  <c r="DB41" i="25" s="1"/>
  <c r="CY41" i="31"/>
  <c r="DH41" i="25" s="1"/>
  <c r="CU41" i="31"/>
  <c r="DD41" i="25" s="1"/>
  <c r="CM41" i="31"/>
  <c r="CV41" i="25" s="1"/>
  <c r="BE41" i="31"/>
  <c r="AZ41" i="31"/>
  <c r="R41" i="31"/>
  <c r="AA41" i="25" s="1"/>
  <c r="AO41" i="31"/>
  <c r="BO41" i="31"/>
  <c r="CN41" i="37" s="1"/>
  <c r="F41" i="31"/>
  <c r="O41" i="25" s="1"/>
  <c r="P41" i="31"/>
  <c r="Y41" i="25" s="1"/>
  <c r="AU41" i="31"/>
  <c r="L41" i="31"/>
  <c r="U41" i="25" s="1"/>
  <c r="D41" i="31"/>
  <c r="M41" i="25" s="1"/>
  <c r="U41" i="31"/>
  <c r="AD41" i="25" s="1"/>
  <c r="CJ41" i="31"/>
  <c r="CS41" i="25" s="1"/>
  <c r="Z41" i="31"/>
  <c r="AI41" i="25" s="1"/>
  <c r="AX41" i="31"/>
  <c r="J41" i="31"/>
  <c r="S41" i="25" s="1"/>
  <c r="BN41" i="31"/>
  <c r="CM41" i="37" s="1"/>
  <c r="E41" i="31"/>
  <c r="N41" i="25" s="1"/>
  <c r="M41" i="31"/>
  <c r="V41" i="25" s="1"/>
  <c r="AJ41" i="31"/>
  <c r="BI41" i="31"/>
  <c r="AA41" i="31"/>
  <c r="AJ41" i="25" s="1"/>
  <c r="BA41" i="31"/>
  <c r="S41" i="31"/>
  <c r="AB41" i="25" s="1"/>
  <c r="AP41" i="31"/>
  <c r="AK41" i="31"/>
  <c r="BB41" i="31"/>
  <c r="BH41" i="31"/>
  <c r="H41" i="31"/>
  <c r="Q41" i="25" s="1"/>
  <c r="AC41" i="31"/>
  <c r="BC41" i="31"/>
  <c r="BP41" i="31"/>
  <c r="CO41" i="37" s="1"/>
  <c r="BG41" i="31"/>
  <c r="BL41" i="31"/>
  <c r="CK41" i="37" s="1"/>
  <c r="Y41" i="31"/>
  <c r="AH41" i="25" s="1"/>
  <c r="AG41" i="31"/>
  <c r="AM41" i="31"/>
  <c r="AV41" i="31"/>
  <c r="AN41" i="31"/>
  <c r="V41" i="31"/>
  <c r="AE41" i="25" s="1"/>
  <c r="AR41" i="31"/>
  <c r="AQ41" i="31"/>
  <c r="AL41" i="31"/>
  <c r="AS41" i="31"/>
  <c r="BD41" i="31"/>
  <c r="CL41" i="31"/>
  <c r="CU41" i="25" s="1"/>
  <c r="AT41" i="31"/>
  <c r="CN41" i="31"/>
  <c r="CW41" i="25" s="1"/>
  <c r="BK41" i="31"/>
  <c r="CJ41" i="37" s="1"/>
  <c r="CK41" i="31"/>
  <c r="CT41" i="25" s="1"/>
  <c r="AY41" i="31"/>
  <c r="T41" i="31"/>
  <c r="AC41" i="25" s="1"/>
  <c r="AH41" i="31"/>
  <c r="G41" i="31"/>
  <c r="P41" i="25" s="1"/>
  <c r="AE41" i="31"/>
  <c r="AN41" i="25" s="1"/>
  <c r="CQ41" i="31"/>
  <c r="CZ41" i="25" s="1"/>
  <c r="AI41" i="31"/>
  <c r="AW41" i="31"/>
  <c r="CI41" i="31"/>
  <c r="CR41" i="25" s="1"/>
  <c r="BF41" i="31"/>
  <c r="W41" i="31"/>
  <c r="AF41" i="25" s="1"/>
  <c r="BM41" i="31"/>
  <c r="CL41" i="37" s="1"/>
  <c r="BJ41" i="31"/>
  <c r="AD41" i="31"/>
  <c r="AM41" i="25" s="1"/>
  <c r="O41" i="31"/>
  <c r="X41" i="25" s="1"/>
  <c r="K41" i="31"/>
  <c r="T41" i="25" s="1"/>
  <c r="Q41" i="31"/>
  <c r="Z41" i="25" s="1"/>
  <c r="I41" i="31"/>
  <c r="R41" i="25" s="1"/>
  <c r="N41" i="31"/>
  <c r="W41" i="25" s="1"/>
  <c r="CP41" i="31"/>
  <c r="CY41" i="25" s="1"/>
  <c r="C41" i="31"/>
  <c r="CD41" i="31"/>
  <c r="CM41" i="25" s="1"/>
  <c r="BX41" i="31"/>
  <c r="BY41" i="31"/>
  <c r="BZ41" i="31"/>
  <c r="CI41" i="25" s="1"/>
  <c r="CF41" i="31"/>
  <c r="CC41" i="31"/>
  <c r="CL41" i="25" s="1"/>
  <c r="CG41" i="31"/>
  <c r="CX51" i="31"/>
  <c r="DG51" i="25" s="1"/>
  <c r="CU51" i="31"/>
  <c r="DD51" i="25" s="1"/>
  <c r="CY51" i="31"/>
  <c r="DH51" i="25" s="1"/>
  <c r="CV51" i="31"/>
  <c r="DE51" i="25" s="1"/>
  <c r="CS51" i="31"/>
  <c r="DB51" i="25" s="1"/>
  <c r="DA51" i="31"/>
  <c r="DJ51" i="25" s="1"/>
  <c r="CZ51" i="31"/>
  <c r="DI51" i="25" s="1"/>
  <c r="CL51" i="31"/>
  <c r="CU51" i="25" s="1"/>
  <c r="CJ51" i="31"/>
  <c r="CS51" i="25" s="1"/>
  <c r="CK51" i="31"/>
  <c r="CT51" i="25" s="1"/>
  <c r="CN51" i="31"/>
  <c r="CW51" i="25" s="1"/>
  <c r="AA51" i="31"/>
  <c r="AJ51" i="25" s="1"/>
  <c r="K51" i="31"/>
  <c r="T51" i="25" s="1"/>
  <c r="AP51" i="31"/>
  <c r="AK51" i="31"/>
  <c r="AV51" i="31"/>
  <c r="BD51" i="31"/>
  <c r="BG51" i="31"/>
  <c r="P51" i="31"/>
  <c r="Y51" i="25" s="1"/>
  <c r="BP51" i="31"/>
  <c r="CO51" i="37" s="1"/>
  <c r="CP51" i="31"/>
  <c r="CY51" i="25" s="1"/>
  <c r="D51" i="31"/>
  <c r="M51" i="25" s="1"/>
  <c r="R51" i="31"/>
  <c r="AA51" i="25" s="1"/>
  <c r="M51" i="31"/>
  <c r="V51" i="25" s="1"/>
  <c r="AR51" i="31"/>
  <c r="BM51" i="31"/>
  <c r="CL51" i="37" s="1"/>
  <c r="AZ51" i="31"/>
  <c r="J51" i="31"/>
  <c r="S51" i="25" s="1"/>
  <c r="V51" i="31"/>
  <c r="AE51" i="25" s="1"/>
  <c r="U51" i="31"/>
  <c r="AD51" i="25" s="1"/>
  <c r="AI51" i="31"/>
  <c r="T51" i="31"/>
  <c r="AC51" i="25" s="1"/>
  <c r="Z51" i="31"/>
  <c r="AI51" i="25" s="1"/>
  <c r="AL51" i="31"/>
  <c r="AW51" i="31"/>
  <c r="AN51" i="31"/>
  <c r="AS51" i="31"/>
  <c r="AG51" i="31"/>
  <c r="AM51" i="31"/>
  <c r="Y51" i="31"/>
  <c r="AH51" i="25" s="1"/>
  <c r="CM51" i="31"/>
  <c r="CV51" i="25" s="1"/>
  <c r="BA51" i="31"/>
  <c r="BK51" i="31"/>
  <c r="CJ51" i="37" s="1"/>
  <c r="F51" i="31"/>
  <c r="O51" i="25" s="1"/>
  <c r="CI51" i="31"/>
  <c r="CR51" i="25" s="1"/>
  <c r="BN51" i="31"/>
  <c r="CM51" i="37" s="1"/>
  <c r="L51" i="31"/>
  <c r="U51" i="25" s="1"/>
  <c r="S51" i="31"/>
  <c r="AB51" i="25" s="1"/>
  <c r="AO51" i="31"/>
  <c r="H51" i="31"/>
  <c r="Q51" i="25" s="1"/>
  <c r="BH51" i="31"/>
  <c r="BO51" i="31"/>
  <c r="CN51" i="37" s="1"/>
  <c r="BB51" i="31"/>
  <c r="Q51" i="31"/>
  <c r="Z51" i="25" s="1"/>
  <c r="BF51" i="31"/>
  <c r="BE51" i="31"/>
  <c r="C51" i="31"/>
  <c r="AT51" i="31"/>
  <c r="E51" i="31"/>
  <c r="N51" i="25" s="1"/>
  <c r="N51" i="31"/>
  <c r="W51" i="25" s="1"/>
  <c r="AE51" i="31"/>
  <c r="AN51" i="25" s="1"/>
  <c r="BL51" i="31"/>
  <c r="CK51" i="37" s="1"/>
  <c r="BI51" i="31"/>
  <c r="AC51" i="31"/>
  <c r="AL51" i="25" s="1"/>
  <c r="G51" i="31"/>
  <c r="P51" i="25" s="1"/>
  <c r="AQ51" i="31"/>
  <c r="AJ51" i="31"/>
  <c r="CQ51" i="31"/>
  <c r="CZ51" i="25" s="1"/>
  <c r="AD51" i="31"/>
  <c r="AY51" i="31"/>
  <c r="I51" i="31"/>
  <c r="R51" i="25" s="1"/>
  <c r="BC51" i="31"/>
  <c r="BJ51" i="31"/>
  <c r="AH51" i="31"/>
  <c r="W51" i="31"/>
  <c r="AF51" i="25" s="1"/>
  <c r="AU51" i="31"/>
  <c r="O51" i="31"/>
  <c r="X51" i="25" s="1"/>
  <c r="AX51" i="31"/>
  <c r="CD51" i="31"/>
  <c r="CG51" i="31"/>
  <c r="CP51" i="25" s="1"/>
  <c r="BZ51" i="31"/>
  <c r="CI51" i="25" s="1"/>
  <c r="CB51" i="31"/>
  <c r="CK51" i="25" s="1"/>
  <c r="BX51" i="31"/>
  <c r="CG51" i="25" s="1"/>
  <c r="CA51" i="31"/>
  <c r="CJ51" i="25" s="1"/>
  <c r="CF51" i="31"/>
  <c r="CO51" i="25" s="1"/>
  <c r="CC51" i="31"/>
  <c r="CL51" i="25" s="1"/>
  <c r="BY51" i="31"/>
  <c r="CH51" i="25" s="1"/>
  <c r="BY57" i="31"/>
  <c r="CH57" i="25" s="1"/>
  <c r="CA35" i="31"/>
  <c r="CJ35" i="25" s="1"/>
  <c r="CG42" i="31"/>
  <c r="CG13" i="31"/>
  <c r="CP13" i="25" s="1"/>
  <c r="CE51" i="31"/>
  <c r="BZ48" i="31"/>
  <c r="CI48" i="25" s="1"/>
  <c r="CB13" i="31"/>
  <c r="CK13" i="25" s="1"/>
  <c r="CY36" i="31"/>
  <c r="DH36" i="25" s="1"/>
  <c r="CZ36" i="31"/>
  <c r="DI36" i="25" s="1"/>
  <c r="CU36" i="31"/>
  <c r="DD36" i="25" s="1"/>
  <c r="CS36" i="31"/>
  <c r="DB36" i="25" s="1"/>
  <c r="CX36" i="31"/>
  <c r="DG36" i="25" s="1"/>
  <c r="CV36" i="31"/>
  <c r="DE36" i="25" s="1"/>
  <c r="DA36" i="31"/>
  <c r="DJ36" i="25" s="1"/>
  <c r="CN36" i="31"/>
  <c r="CW36" i="25" s="1"/>
  <c r="CJ36" i="31"/>
  <c r="CS36" i="25" s="1"/>
  <c r="CK36" i="31"/>
  <c r="CT36" i="25" s="1"/>
  <c r="AA36" i="31"/>
  <c r="AJ36" i="25" s="1"/>
  <c r="K36" i="31"/>
  <c r="T36" i="25" s="1"/>
  <c r="AP36" i="31"/>
  <c r="AK36" i="31"/>
  <c r="AV36" i="31"/>
  <c r="BD36" i="31"/>
  <c r="BG36" i="31"/>
  <c r="P36" i="31"/>
  <c r="Y36" i="25" s="1"/>
  <c r="AM36" i="31"/>
  <c r="CM36" i="31"/>
  <c r="CV36" i="25" s="1"/>
  <c r="BA36" i="31"/>
  <c r="C36" i="31"/>
  <c r="AL36" i="31"/>
  <c r="Q36" i="31"/>
  <c r="Z36" i="25" s="1"/>
  <c r="CQ36" i="31"/>
  <c r="CZ36" i="25" s="1"/>
  <c r="AJ36" i="31"/>
  <c r="CP36" i="31"/>
  <c r="CY36" i="25" s="1"/>
  <c r="AI36" i="31"/>
  <c r="CL36" i="31"/>
  <c r="CU36" i="25" s="1"/>
  <c r="BN36" i="31"/>
  <c r="CM36" i="37" s="1"/>
  <c r="AQ36" i="31"/>
  <c r="AY36" i="31"/>
  <c r="I36" i="31"/>
  <c r="R36" i="25" s="1"/>
  <c r="BH36" i="31"/>
  <c r="BC36" i="31"/>
  <c r="AG36" i="31"/>
  <c r="N36" i="31"/>
  <c r="W36" i="25" s="1"/>
  <c r="CI36" i="31"/>
  <c r="CR36" i="25" s="1"/>
  <c r="BK36" i="31"/>
  <c r="CJ36" i="37" s="1"/>
  <c r="BJ36" i="31"/>
  <c r="F36" i="31"/>
  <c r="O36" i="25" s="1"/>
  <c r="AD36" i="31"/>
  <c r="AM36" i="25" s="1"/>
  <c r="G36" i="31"/>
  <c r="P36" i="25" s="1"/>
  <c r="BF36" i="31"/>
  <c r="Z36" i="31"/>
  <c r="AI36" i="25" s="1"/>
  <c r="AZ36" i="31"/>
  <c r="M36" i="31"/>
  <c r="V36" i="25" s="1"/>
  <c r="O36" i="31"/>
  <c r="X36" i="25" s="1"/>
  <c r="AX36" i="31"/>
  <c r="W36" i="31"/>
  <c r="AF36" i="25" s="1"/>
  <c r="AH36" i="31"/>
  <c r="L36" i="31"/>
  <c r="U36" i="25" s="1"/>
  <c r="AO36" i="31"/>
  <c r="AT36" i="31"/>
  <c r="T36" i="31"/>
  <c r="AC36" i="25" s="1"/>
  <c r="AW36" i="31"/>
  <c r="AS36" i="31"/>
  <c r="AE36" i="31"/>
  <c r="AN36" i="25" s="1"/>
  <c r="D36" i="31"/>
  <c r="M36" i="25" s="1"/>
  <c r="BP36" i="31"/>
  <c r="CO36" i="37" s="1"/>
  <c r="BM36" i="31"/>
  <c r="CL36" i="37" s="1"/>
  <c r="J36" i="31"/>
  <c r="S36" i="25" s="1"/>
  <c r="BE36" i="31"/>
  <c r="V36" i="31"/>
  <c r="AE36" i="25" s="1"/>
  <c r="U36" i="31"/>
  <c r="AD36" i="25" s="1"/>
  <c r="S36" i="31"/>
  <c r="AB36" i="25" s="1"/>
  <c r="Y36" i="31"/>
  <c r="AH36" i="25" s="1"/>
  <c r="E36" i="31"/>
  <c r="N36" i="25" s="1"/>
  <c r="BL36" i="31"/>
  <c r="CK36" i="37" s="1"/>
  <c r="H36" i="31"/>
  <c r="Q36" i="25" s="1"/>
  <c r="AN36" i="31"/>
  <c r="AC36" i="31"/>
  <c r="BO36" i="31"/>
  <c r="CN36" i="37" s="1"/>
  <c r="BI36" i="31"/>
  <c r="AR36" i="31"/>
  <c r="R36" i="31"/>
  <c r="AA36" i="25" s="1"/>
  <c r="AU36" i="31"/>
  <c r="BB36" i="31"/>
  <c r="BY36" i="31"/>
  <c r="CF36" i="31"/>
  <c r="CC36" i="31"/>
  <c r="CL36" i="25" s="1"/>
  <c r="CA36" i="31"/>
  <c r="CJ36" i="25" s="1"/>
  <c r="CD36" i="31"/>
  <c r="CM36" i="25" s="1"/>
  <c r="BZ36" i="31"/>
  <c r="CI36" i="25" s="1"/>
  <c r="CG36" i="31"/>
  <c r="DA6" i="31"/>
  <c r="DJ6" i="25" s="1"/>
  <c r="CU6" i="31"/>
  <c r="DD6" i="25" s="1"/>
  <c r="CZ6" i="31"/>
  <c r="DI6" i="25" s="1"/>
  <c r="CS6" i="31"/>
  <c r="DB6" i="25" s="1"/>
  <c r="CV6" i="31"/>
  <c r="DE6" i="25" s="1"/>
  <c r="CY6" i="31"/>
  <c r="DH6" i="25" s="1"/>
  <c r="CX6" i="31"/>
  <c r="DG6" i="25" s="1"/>
  <c r="CK6" i="31"/>
  <c r="CT6" i="25" s="1"/>
  <c r="CJ6" i="31"/>
  <c r="CS6" i="25" s="1"/>
  <c r="AX6" i="31"/>
  <c r="H6" i="31"/>
  <c r="Q6" i="25" s="1"/>
  <c r="AK6" i="31"/>
  <c r="AJ6" i="31"/>
  <c r="AM6" i="31"/>
  <c r="CQ6" i="31"/>
  <c r="CZ6" i="25" s="1"/>
  <c r="S6" i="31"/>
  <c r="AB6" i="25" s="1"/>
  <c r="R6" i="31"/>
  <c r="AA6" i="25" s="1"/>
  <c r="BD6" i="31"/>
  <c r="CI6" i="31"/>
  <c r="CR6" i="25" s="1"/>
  <c r="BE6" i="31"/>
  <c r="W6" i="31"/>
  <c r="AF6" i="25" s="1"/>
  <c r="AV6" i="31"/>
  <c r="BF6" i="31"/>
  <c r="BH6" i="31"/>
  <c r="AG6" i="31"/>
  <c r="Z6" i="31"/>
  <c r="AI6" i="25" s="1"/>
  <c r="T6" i="31"/>
  <c r="AC6" i="25" s="1"/>
  <c r="CN6" i="31"/>
  <c r="CW6" i="25" s="1"/>
  <c r="BA6" i="31"/>
  <c r="Q6" i="31"/>
  <c r="Z6" i="25" s="1"/>
  <c r="AL6" i="31"/>
  <c r="AY6" i="31"/>
  <c r="O6" i="31"/>
  <c r="X6" i="25" s="1"/>
  <c r="AN6" i="31"/>
  <c r="BP6" i="31"/>
  <c r="CO6" i="37" s="1"/>
  <c r="U6" i="31"/>
  <c r="AD6" i="25" s="1"/>
  <c r="AR6" i="31"/>
  <c r="D6" i="31"/>
  <c r="M6" i="25" s="1"/>
  <c r="AI6" i="31"/>
  <c r="BM6" i="31"/>
  <c r="CL6" i="37" s="1"/>
  <c r="AD6" i="31"/>
  <c r="AM6" i="25" s="1"/>
  <c r="AU6" i="31"/>
  <c r="G6" i="31"/>
  <c r="P6" i="25" s="1"/>
  <c r="M6" i="31"/>
  <c r="V6" i="25" s="1"/>
  <c r="CM6" i="31"/>
  <c r="CV6" i="25" s="1"/>
  <c r="Y6" i="31"/>
  <c r="AH6" i="25" s="1"/>
  <c r="AH6" i="31"/>
  <c r="L6" i="31"/>
  <c r="U6" i="25" s="1"/>
  <c r="AA6" i="31"/>
  <c r="AJ6" i="25" s="1"/>
  <c r="BL6" i="31"/>
  <c r="CK6" i="37" s="1"/>
  <c r="BI6" i="31"/>
  <c r="AC6" i="31"/>
  <c r="AL6" i="25" s="1"/>
  <c r="I6" i="31"/>
  <c r="R6" i="25" s="1"/>
  <c r="AE6" i="31"/>
  <c r="AN6" i="25" s="1"/>
  <c r="K6" i="31"/>
  <c r="T6" i="25" s="1"/>
  <c r="J6" i="31"/>
  <c r="S6" i="25" s="1"/>
  <c r="E6" i="31"/>
  <c r="N6" i="25" s="1"/>
  <c r="BN6" i="31"/>
  <c r="CM6" i="37" s="1"/>
  <c r="BC6" i="31"/>
  <c r="P6" i="31"/>
  <c r="Y6" i="25" s="1"/>
  <c r="BK6" i="31"/>
  <c r="CJ6" i="37" s="1"/>
  <c r="AT6" i="31"/>
  <c r="BG6" i="31"/>
  <c r="AO6" i="31"/>
  <c r="AW6" i="31"/>
  <c r="AS6" i="31"/>
  <c r="CL6" i="31"/>
  <c r="CU6" i="25" s="1"/>
  <c r="AQ6" i="31"/>
  <c r="F6" i="31"/>
  <c r="O6" i="25" s="1"/>
  <c r="BJ6" i="31"/>
  <c r="BB6" i="31"/>
  <c r="C6" i="31"/>
  <c r="AP6" i="31"/>
  <c r="AZ6" i="31"/>
  <c r="V6" i="31"/>
  <c r="AE6" i="25" s="1"/>
  <c r="N6" i="31"/>
  <c r="W6" i="25" s="1"/>
  <c r="CP6" i="31"/>
  <c r="CY6" i="25" s="1"/>
  <c r="BO6" i="31"/>
  <c r="CN6" i="37" s="1"/>
  <c r="CC84" i="28"/>
  <c r="CE59" i="31"/>
  <c r="CB6" i="31"/>
  <c r="CK6" i="25" s="1"/>
  <c r="CC6" i="31"/>
  <c r="CL6" i="25" s="1"/>
  <c r="CA91" i="28"/>
  <c r="DQ89" i="32"/>
  <c r="CC79" i="28"/>
  <c r="AH64" i="31"/>
  <c r="CS64" i="31"/>
  <c r="DB64" i="25" s="1"/>
  <c r="BO64" i="31"/>
  <c r="CN64" i="37" s="1"/>
  <c r="L64" i="31"/>
  <c r="U64" i="25" s="1"/>
  <c r="BA64" i="31"/>
  <c r="AY64" i="31"/>
  <c r="BE64" i="31"/>
  <c r="AL64" i="31"/>
  <c r="BB64" i="31"/>
  <c r="AE64" i="31"/>
  <c r="AN64" i="25" s="1"/>
  <c r="CJ64" i="31"/>
  <c r="CS64" i="25" s="1"/>
  <c r="T64" i="31"/>
  <c r="AC64" i="25" s="1"/>
  <c r="BK64" i="31"/>
  <c r="CJ64" i="37" s="1"/>
  <c r="BL64" i="31"/>
  <c r="CK64" i="37" s="1"/>
  <c r="BG64" i="31"/>
  <c r="CL64" i="31"/>
  <c r="CU64" i="25" s="1"/>
  <c r="CP64" i="31"/>
  <c r="CY64" i="25" s="1"/>
  <c r="BP64" i="31"/>
  <c r="CO64" i="37" s="1"/>
  <c r="CY64" i="31"/>
  <c r="DH64" i="25" s="1"/>
  <c r="AW64" i="31"/>
  <c r="AD64" i="31"/>
  <c r="AM64" i="25" s="1"/>
  <c r="I64" i="31"/>
  <c r="R64" i="25" s="1"/>
  <c r="BF64" i="31"/>
  <c r="N64" i="31"/>
  <c r="W64" i="25" s="1"/>
  <c r="AJ64" i="31"/>
  <c r="U64" i="31"/>
  <c r="AD64" i="25" s="1"/>
  <c r="BH64" i="31"/>
  <c r="CX64" i="31"/>
  <c r="DG64" i="25" s="1"/>
  <c r="CV64" i="31"/>
  <c r="DE64" i="25" s="1"/>
  <c r="AZ64" i="31"/>
  <c r="R64" i="31"/>
  <c r="AA64" i="25" s="1"/>
  <c r="AN64" i="31"/>
  <c r="C64" i="31"/>
  <c r="CQ64" i="31"/>
  <c r="CZ64" i="25" s="1"/>
  <c r="CU64" i="31"/>
  <c r="DD64" i="25" s="1"/>
  <c r="F64" i="31"/>
  <c r="O64" i="25" s="1"/>
  <c r="CN64" i="31"/>
  <c r="CW64" i="25" s="1"/>
  <c r="CK64" i="31"/>
  <c r="CT64" i="25" s="1"/>
  <c r="BM64" i="31"/>
  <c r="CL64" i="37" s="1"/>
  <c r="AP64" i="31"/>
  <c r="E64" i="31"/>
  <c r="N64" i="25" s="1"/>
  <c r="O64" i="31"/>
  <c r="X64" i="25" s="1"/>
  <c r="P64" i="31"/>
  <c r="Y64" i="25" s="1"/>
  <c r="AG64" i="31"/>
  <c r="Y64" i="31"/>
  <c r="AH64" i="25" s="1"/>
  <c r="AX64" i="31"/>
  <c r="BJ64" i="31"/>
  <c r="Z64" i="31"/>
  <c r="AI64" i="25" s="1"/>
  <c r="AM64" i="31"/>
  <c r="AT64" i="31"/>
  <c r="AV64" i="31"/>
  <c r="CI64" i="31"/>
  <c r="CR64" i="25" s="1"/>
  <c r="M64" i="31"/>
  <c r="V64" i="25" s="1"/>
  <c r="DA64" i="31"/>
  <c r="DJ64" i="25" s="1"/>
  <c r="H64" i="31"/>
  <c r="Q64" i="25" s="1"/>
  <c r="AQ64" i="31"/>
  <c r="BI64" i="31"/>
  <c r="G64" i="31"/>
  <c r="P64" i="25" s="1"/>
  <c r="AO64" i="31"/>
  <c r="Q64" i="31"/>
  <c r="Z64" i="25" s="1"/>
  <c r="BC64" i="31"/>
  <c r="AC64" i="31"/>
  <c r="AL64" i="25" s="1"/>
  <c r="D64" i="31"/>
  <c r="M64" i="25" s="1"/>
  <c r="S64" i="31"/>
  <c r="AB64" i="25" s="1"/>
  <c r="BD64" i="31"/>
  <c r="CM64" i="31"/>
  <c r="CV64" i="25" s="1"/>
  <c r="CZ64" i="31"/>
  <c r="K64" i="31"/>
  <c r="T64" i="25" s="1"/>
  <c r="V64" i="31"/>
  <c r="AE64" i="25" s="1"/>
  <c r="AK64" i="31"/>
  <c r="AA64" i="31"/>
  <c r="AJ64" i="25" s="1"/>
  <c r="AI64" i="31"/>
  <c r="AR64" i="31"/>
  <c r="BN64" i="31"/>
  <c r="CM64" i="37" s="1"/>
  <c r="AU64" i="31"/>
  <c r="W64" i="31"/>
  <c r="AF64" i="25" s="1"/>
  <c r="J64" i="31"/>
  <c r="S64" i="25" s="1"/>
  <c r="AS64" i="31"/>
  <c r="CC82" i="28"/>
  <c r="CF4" i="31"/>
  <c r="CO4" i="25" s="1"/>
  <c r="BX50" i="31"/>
  <c r="CG50" i="25" s="1"/>
  <c r="CD37" i="31"/>
  <c r="CM37" i="25" s="1"/>
  <c r="CA59" i="31"/>
  <c r="CJ59" i="25" s="1"/>
  <c r="CA50" i="31"/>
  <c r="CJ50" i="25" s="1"/>
  <c r="CC24" i="31"/>
  <c r="CL24" i="25" s="1"/>
  <c r="DS78" i="32"/>
  <c r="CA4" i="31"/>
  <c r="CJ4" i="25" s="1"/>
  <c r="CD64" i="31"/>
  <c r="CM64" i="25" s="1"/>
  <c r="CG4" i="31"/>
  <c r="CP4" i="25" s="1"/>
  <c r="CA65" i="31"/>
  <c r="CJ65" i="25" s="1"/>
  <c r="CB59" i="31"/>
  <c r="CK59" i="25" s="1"/>
  <c r="BY34" i="31"/>
  <c r="BZ34" i="31"/>
  <c r="CI34" i="25" s="1"/>
  <c r="CX11" i="31"/>
  <c r="DG11" i="25" s="1"/>
  <c r="CU11" i="31"/>
  <c r="DD11" i="25" s="1"/>
  <c r="CS11" i="31"/>
  <c r="DB11" i="25" s="1"/>
  <c r="CZ11" i="31"/>
  <c r="DI11" i="25" s="1"/>
  <c r="CY11" i="31"/>
  <c r="DH11" i="25" s="1"/>
  <c r="CV11" i="31"/>
  <c r="DE11" i="25" s="1"/>
  <c r="DA11" i="31"/>
  <c r="DJ11" i="25" s="1"/>
  <c r="CI11" i="31"/>
  <c r="CR11" i="25" s="1"/>
  <c r="BH11" i="31"/>
  <c r="BC11" i="31"/>
  <c r="U11" i="31"/>
  <c r="AD11" i="25" s="1"/>
  <c r="AX11" i="31"/>
  <c r="J11" i="31"/>
  <c r="S11" i="25" s="1"/>
  <c r="Q11" i="31"/>
  <c r="Z11" i="25" s="1"/>
  <c r="BK11" i="31"/>
  <c r="CJ11" i="37" s="1"/>
  <c r="AK11" i="31"/>
  <c r="AJ11" i="31"/>
  <c r="L11" i="31"/>
  <c r="U11" i="25" s="1"/>
  <c r="AN11" i="31"/>
  <c r="AD11" i="31"/>
  <c r="AM11" i="25" s="1"/>
  <c r="M11" i="31"/>
  <c r="V11" i="25" s="1"/>
  <c r="AP11" i="31"/>
  <c r="BM11" i="31"/>
  <c r="CL11" i="37" s="1"/>
  <c r="D11" i="31"/>
  <c r="M11" i="25" s="1"/>
  <c r="W11" i="31"/>
  <c r="AF11" i="25" s="1"/>
  <c r="BA11" i="31"/>
  <c r="CN11" i="31"/>
  <c r="CW11" i="25" s="1"/>
  <c r="BD11" i="31"/>
  <c r="V11" i="31"/>
  <c r="AE11" i="25" s="1"/>
  <c r="AS11" i="31"/>
  <c r="E11" i="31"/>
  <c r="N11" i="25" s="1"/>
  <c r="P11" i="31"/>
  <c r="Y11" i="25" s="1"/>
  <c r="Z11" i="31"/>
  <c r="AI11" i="25" s="1"/>
  <c r="AV11" i="31"/>
  <c r="H11" i="31"/>
  <c r="Q11" i="25" s="1"/>
  <c r="CL11" i="31"/>
  <c r="CU11" i="25" s="1"/>
  <c r="BO11" i="31"/>
  <c r="CN11" i="37" s="1"/>
  <c r="AG11" i="31"/>
  <c r="AO11" i="31"/>
  <c r="BE11" i="31"/>
  <c r="AI11" i="31"/>
  <c r="BN11" i="31"/>
  <c r="CM11" i="37" s="1"/>
  <c r="CM11" i="31"/>
  <c r="CV11" i="25" s="1"/>
  <c r="AT11" i="31"/>
  <c r="BF11" i="31"/>
  <c r="AU11" i="31"/>
  <c r="N11" i="31"/>
  <c r="W11" i="25" s="1"/>
  <c r="BL11" i="31"/>
  <c r="CK11" i="37" s="1"/>
  <c r="C11" i="31"/>
  <c r="I11" i="31"/>
  <c r="R11" i="25" s="1"/>
  <c r="F11" i="31"/>
  <c r="O11" i="25" s="1"/>
  <c r="AE11" i="31"/>
  <c r="AN11" i="25" s="1"/>
  <c r="BB11" i="31"/>
  <c r="AL11" i="31"/>
  <c r="AM11" i="31"/>
  <c r="G11" i="31"/>
  <c r="P11" i="25" s="1"/>
  <c r="AA11" i="31"/>
  <c r="AJ11" i="25" s="1"/>
  <c r="T11" i="31"/>
  <c r="AC11" i="25" s="1"/>
  <c r="CP11" i="31"/>
  <c r="CY11" i="25" s="1"/>
  <c r="BJ11" i="31"/>
  <c r="Y11" i="31"/>
  <c r="AH11" i="25" s="1"/>
  <c r="AC11" i="31"/>
  <c r="AL11" i="25" s="1"/>
  <c r="AH11" i="31"/>
  <c r="R11" i="31"/>
  <c r="AA11" i="25" s="1"/>
  <c r="S11" i="31"/>
  <c r="AB11" i="25" s="1"/>
  <c r="CQ11" i="31"/>
  <c r="CZ11" i="25" s="1"/>
  <c r="CJ11" i="31"/>
  <c r="CS11" i="25" s="1"/>
  <c r="BI11" i="31"/>
  <c r="AW11" i="31"/>
  <c r="BG11" i="31"/>
  <c r="AY11" i="31"/>
  <c r="K11" i="31"/>
  <c r="T11" i="25" s="1"/>
  <c r="AR11" i="31"/>
  <c r="O11" i="31"/>
  <c r="X11" i="25" s="1"/>
  <c r="CK11" i="31"/>
  <c r="CT11" i="25" s="1"/>
  <c r="BP11" i="31"/>
  <c r="CO11" i="37" s="1"/>
  <c r="AZ11" i="31"/>
  <c r="AQ11" i="31"/>
  <c r="BZ37" i="31"/>
  <c r="CI37" i="25" s="1"/>
  <c r="CZ56" i="31"/>
  <c r="DI56" i="25" s="1"/>
  <c r="CV56" i="31"/>
  <c r="DE56" i="25" s="1"/>
  <c r="CX56" i="31"/>
  <c r="DG56" i="25" s="1"/>
  <c r="CS56" i="31"/>
  <c r="DB56" i="25" s="1"/>
  <c r="CY56" i="31"/>
  <c r="DH56" i="25" s="1"/>
  <c r="DA56" i="31"/>
  <c r="DJ56" i="25" s="1"/>
  <c r="CU56" i="31"/>
  <c r="DD56" i="25" s="1"/>
  <c r="BE56" i="31"/>
  <c r="AW56" i="31"/>
  <c r="I56" i="31"/>
  <c r="R56" i="25" s="1"/>
  <c r="V56" i="31"/>
  <c r="AE56" i="25" s="1"/>
  <c r="N56" i="31"/>
  <c r="W56" i="25" s="1"/>
  <c r="CQ56" i="31"/>
  <c r="CZ56" i="25" s="1"/>
  <c r="AD56" i="31"/>
  <c r="CK56" i="31"/>
  <c r="CT56" i="25" s="1"/>
  <c r="Z56" i="31"/>
  <c r="AI56" i="25" s="1"/>
  <c r="AZ56" i="31"/>
  <c r="R56" i="31"/>
  <c r="AA56" i="25" s="1"/>
  <c r="AO56" i="31"/>
  <c r="CP56" i="31"/>
  <c r="CY56" i="25" s="1"/>
  <c r="H56" i="31"/>
  <c r="Q56" i="25" s="1"/>
  <c r="U56" i="31"/>
  <c r="AD56" i="25" s="1"/>
  <c r="AC56" i="31"/>
  <c r="AL56" i="25" s="1"/>
  <c r="E56" i="31"/>
  <c r="N56" i="25" s="1"/>
  <c r="W56" i="31"/>
  <c r="AF56" i="25" s="1"/>
  <c r="F56" i="31"/>
  <c r="O56" i="25" s="1"/>
  <c r="CI56" i="31"/>
  <c r="CR56" i="25" s="1"/>
  <c r="BA56" i="31"/>
  <c r="S56" i="31"/>
  <c r="AB56" i="25" s="1"/>
  <c r="AX56" i="31"/>
  <c r="J56" i="31"/>
  <c r="S56" i="25" s="1"/>
  <c r="BF56" i="31"/>
  <c r="BP56" i="31"/>
  <c r="CO56" i="37" s="1"/>
  <c r="G56" i="31"/>
  <c r="P56" i="25" s="1"/>
  <c r="O56" i="31"/>
  <c r="X56" i="25" s="1"/>
  <c r="BH56" i="31"/>
  <c r="BO56" i="31"/>
  <c r="CN56" i="37" s="1"/>
  <c r="BG56" i="31"/>
  <c r="CN56" i="31"/>
  <c r="CW56" i="25" s="1"/>
  <c r="AL56" i="31"/>
  <c r="AU56" i="31"/>
  <c r="BI56" i="31"/>
  <c r="M56" i="31"/>
  <c r="V56" i="25" s="1"/>
  <c r="L56" i="31"/>
  <c r="U56" i="25" s="1"/>
  <c r="AQ56" i="31"/>
  <c r="BC56" i="31"/>
  <c r="BN56" i="31"/>
  <c r="CM56" i="37" s="1"/>
  <c r="AS56" i="31"/>
  <c r="AV56" i="31"/>
  <c r="AR56" i="31"/>
  <c r="AM56" i="31"/>
  <c r="K56" i="31"/>
  <c r="T56" i="25" s="1"/>
  <c r="BK56" i="31"/>
  <c r="CJ56" i="37" s="1"/>
  <c r="AI56" i="31"/>
  <c r="T56" i="31"/>
  <c r="AC56" i="25" s="1"/>
  <c r="CM56" i="31"/>
  <c r="CV56" i="25" s="1"/>
  <c r="BL56" i="31"/>
  <c r="CK56" i="37" s="1"/>
  <c r="AY56" i="31"/>
  <c r="AN56" i="31"/>
  <c r="AJ56" i="31"/>
  <c r="C56" i="31"/>
  <c r="Q56" i="31"/>
  <c r="Z56" i="25" s="1"/>
  <c r="AG56" i="31"/>
  <c r="P56" i="31"/>
  <c r="Y56" i="25" s="1"/>
  <c r="BM56" i="31"/>
  <c r="CL56" i="37" s="1"/>
  <c r="CL56" i="31"/>
  <c r="CU56" i="25" s="1"/>
  <c r="BD56" i="31"/>
  <c r="AA56" i="31"/>
  <c r="AJ56" i="25" s="1"/>
  <c r="BJ56" i="31"/>
  <c r="CJ56" i="31"/>
  <c r="CS56" i="25" s="1"/>
  <c r="AP56" i="31"/>
  <c r="BB56" i="31"/>
  <c r="AH56" i="31"/>
  <c r="AT56" i="31"/>
  <c r="AK56" i="31"/>
  <c r="Y56" i="31"/>
  <c r="AH56" i="25" s="1"/>
  <c r="D56" i="31"/>
  <c r="M56" i="25" s="1"/>
  <c r="AE56" i="31"/>
  <c r="AN56" i="25" s="1"/>
  <c r="DA59" i="31"/>
  <c r="DJ59" i="25" s="1"/>
  <c r="CV59" i="31"/>
  <c r="DE59" i="25" s="1"/>
  <c r="CS59" i="31"/>
  <c r="DB59" i="25" s="1"/>
  <c r="CY59" i="31"/>
  <c r="DH59" i="25" s="1"/>
  <c r="CZ59" i="31"/>
  <c r="DI59" i="25" s="1"/>
  <c r="CX59" i="31"/>
  <c r="DG59" i="25" s="1"/>
  <c r="CU59" i="31"/>
  <c r="DD59" i="25" s="1"/>
  <c r="BM59" i="31"/>
  <c r="CL59" i="37" s="1"/>
  <c r="AW59" i="31"/>
  <c r="R59" i="31"/>
  <c r="AA59" i="25" s="1"/>
  <c r="I59" i="31"/>
  <c r="R59" i="25" s="1"/>
  <c r="AV59" i="31"/>
  <c r="CP59" i="31"/>
  <c r="CY59" i="25" s="1"/>
  <c r="AI59" i="31"/>
  <c r="U59" i="31"/>
  <c r="AD59" i="25" s="1"/>
  <c r="D59" i="31"/>
  <c r="M59" i="25" s="1"/>
  <c r="BE59" i="31"/>
  <c r="AZ59" i="31"/>
  <c r="J59" i="31"/>
  <c r="S59" i="25" s="1"/>
  <c r="AN59" i="31"/>
  <c r="BI59" i="31"/>
  <c r="BC59" i="31"/>
  <c r="M59" i="31"/>
  <c r="V59" i="25" s="1"/>
  <c r="AR59" i="31"/>
  <c r="BD59" i="31"/>
  <c r="AC59" i="31"/>
  <c r="AL59" i="25" s="1"/>
  <c r="S59" i="31"/>
  <c r="AB59" i="25" s="1"/>
  <c r="AX59" i="31"/>
  <c r="CI59" i="31"/>
  <c r="CR59" i="25" s="1"/>
  <c r="W59" i="31"/>
  <c r="AF59" i="25" s="1"/>
  <c r="E59" i="31"/>
  <c r="N59" i="25" s="1"/>
  <c r="V59" i="31"/>
  <c r="AE59" i="25" s="1"/>
  <c r="Z59" i="31"/>
  <c r="AI59" i="25" s="1"/>
  <c r="AQ59" i="31"/>
  <c r="CJ59" i="31"/>
  <c r="CS59" i="25" s="1"/>
  <c r="AL59" i="31"/>
  <c r="AO59" i="31"/>
  <c r="P59" i="31"/>
  <c r="Y59" i="25" s="1"/>
  <c r="AU59" i="31"/>
  <c r="CN59" i="31"/>
  <c r="CW59" i="25" s="1"/>
  <c r="BF59" i="31"/>
  <c r="AH59" i="31"/>
  <c r="F59" i="31"/>
  <c r="O59" i="25" s="1"/>
  <c r="Y59" i="31"/>
  <c r="AH59" i="25" s="1"/>
  <c r="K59" i="31"/>
  <c r="T59" i="25" s="1"/>
  <c r="AP59" i="31"/>
  <c r="CQ59" i="31"/>
  <c r="CZ59" i="25" s="1"/>
  <c r="AS59" i="31"/>
  <c r="Q59" i="31"/>
  <c r="Z59" i="25" s="1"/>
  <c r="O59" i="31"/>
  <c r="X59" i="25" s="1"/>
  <c r="AE59" i="31"/>
  <c r="AN59" i="25" s="1"/>
  <c r="C59" i="31"/>
  <c r="BJ59" i="31"/>
  <c r="AT59" i="31"/>
  <c r="AA59" i="31"/>
  <c r="AJ59" i="25" s="1"/>
  <c r="BA59" i="31"/>
  <c r="AJ59" i="31"/>
  <c r="N59" i="31"/>
  <c r="W59" i="25" s="1"/>
  <c r="BK59" i="31"/>
  <c r="CJ59" i="37" s="1"/>
  <c r="AM59" i="31"/>
  <c r="AG59" i="31"/>
  <c r="T59" i="31"/>
  <c r="AC59" i="25" s="1"/>
  <c r="CL59" i="31"/>
  <c r="CU59" i="25" s="1"/>
  <c r="L59" i="31"/>
  <c r="U59" i="25" s="1"/>
  <c r="CM59" i="31"/>
  <c r="CV59" i="25" s="1"/>
  <c r="CK59" i="31"/>
  <c r="CT59" i="25" s="1"/>
  <c r="AY59" i="31"/>
  <c r="G59" i="31"/>
  <c r="P59" i="25" s="1"/>
  <c r="BN59" i="31"/>
  <c r="CM59" i="37" s="1"/>
  <c r="BP59" i="31"/>
  <c r="CO59" i="37" s="1"/>
  <c r="AD59" i="31"/>
  <c r="BL59" i="31"/>
  <c r="CK59" i="37" s="1"/>
  <c r="AK59" i="31"/>
  <c r="H59" i="31"/>
  <c r="Q59" i="25" s="1"/>
  <c r="BO59" i="31"/>
  <c r="CN59" i="37" s="1"/>
  <c r="BH59" i="31"/>
  <c r="BG59" i="31"/>
  <c r="BB59" i="31"/>
  <c r="CV24" i="31"/>
  <c r="DE24" i="25" s="1"/>
  <c r="CX24" i="31"/>
  <c r="DG24" i="25" s="1"/>
  <c r="CU24" i="31"/>
  <c r="DD24" i="25" s="1"/>
  <c r="CZ24" i="31"/>
  <c r="DI24" i="25" s="1"/>
  <c r="CS24" i="31"/>
  <c r="DB24" i="25" s="1"/>
  <c r="CY24" i="31"/>
  <c r="DH24" i="25" s="1"/>
  <c r="DA24" i="31"/>
  <c r="DJ24" i="25" s="1"/>
  <c r="BF24" i="31"/>
  <c r="O24" i="31"/>
  <c r="X24" i="25" s="1"/>
  <c r="AC24" i="31"/>
  <c r="AL24" i="25" s="1"/>
  <c r="K24" i="31"/>
  <c r="T24" i="25" s="1"/>
  <c r="AV24" i="31"/>
  <c r="D24" i="31"/>
  <c r="M24" i="25" s="1"/>
  <c r="BB24" i="31"/>
  <c r="BM24" i="31"/>
  <c r="CL24" i="37" s="1"/>
  <c r="AU24" i="31"/>
  <c r="G24" i="31"/>
  <c r="P24" i="25" s="1"/>
  <c r="AH24" i="31"/>
  <c r="BC24" i="31"/>
  <c r="U24" i="31"/>
  <c r="AD24" i="25" s="1"/>
  <c r="AQ24" i="31"/>
  <c r="C24" i="31"/>
  <c r="AL24" i="31"/>
  <c r="AK24" i="31"/>
  <c r="P24" i="31"/>
  <c r="Y24" i="25" s="1"/>
  <c r="CM24" i="31"/>
  <c r="CV24" i="25" s="1"/>
  <c r="CN24" i="31"/>
  <c r="CW24" i="25" s="1"/>
  <c r="BE24" i="31"/>
  <c r="AM24" i="31"/>
  <c r="BJ24" i="31"/>
  <c r="M24" i="31"/>
  <c r="V24" i="25" s="1"/>
  <c r="CP24" i="31"/>
  <c r="CY24" i="25" s="1"/>
  <c r="AA24" i="31"/>
  <c r="AJ24" i="25" s="1"/>
  <c r="BP24" i="31"/>
  <c r="CO24" i="37" s="1"/>
  <c r="Q24" i="31"/>
  <c r="Z24" i="25" s="1"/>
  <c r="CJ24" i="31"/>
  <c r="CS24" i="25" s="1"/>
  <c r="BL24" i="31"/>
  <c r="CK24" i="37" s="1"/>
  <c r="N24" i="31"/>
  <c r="W24" i="25" s="1"/>
  <c r="BK24" i="31"/>
  <c r="CJ24" i="37" s="1"/>
  <c r="BD24" i="31"/>
  <c r="AX24" i="31"/>
  <c r="AO24" i="31"/>
  <c r="AD24" i="31"/>
  <c r="AM24" i="25" s="1"/>
  <c r="CQ24" i="31"/>
  <c r="CZ24" i="25" s="1"/>
  <c r="V24" i="31"/>
  <c r="AE24" i="25" s="1"/>
  <c r="BG24" i="31"/>
  <c r="H24" i="31"/>
  <c r="Q24" i="25" s="1"/>
  <c r="AN24" i="31"/>
  <c r="L24" i="31"/>
  <c r="U24" i="25" s="1"/>
  <c r="CL24" i="31"/>
  <c r="CU24" i="25" s="1"/>
  <c r="AE24" i="31"/>
  <c r="BI24" i="31"/>
  <c r="BA24" i="31"/>
  <c r="AP24" i="31"/>
  <c r="AJ24" i="31"/>
  <c r="T24" i="31"/>
  <c r="AC24" i="25" s="1"/>
  <c r="I24" i="31"/>
  <c r="R24" i="25" s="1"/>
  <c r="AT24" i="31"/>
  <c r="J24" i="31"/>
  <c r="S24" i="25" s="1"/>
  <c r="AY24" i="31"/>
  <c r="CI24" i="31"/>
  <c r="CR24" i="25" s="1"/>
  <c r="AS24" i="31"/>
  <c r="AG24" i="31"/>
  <c r="CK24" i="31"/>
  <c r="CT24" i="25" s="1"/>
  <c r="AR24" i="31"/>
  <c r="BH24" i="31"/>
  <c r="S24" i="31"/>
  <c r="AB24" i="25" s="1"/>
  <c r="BN24" i="31"/>
  <c r="CM24" i="37" s="1"/>
  <c r="F24" i="31"/>
  <c r="O24" i="25" s="1"/>
  <c r="Z24" i="31"/>
  <c r="AI24" i="25" s="1"/>
  <c r="Y24" i="31"/>
  <c r="AH24" i="25" s="1"/>
  <c r="AZ24" i="31"/>
  <c r="BO24" i="31"/>
  <c r="CN24" i="37" s="1"/>
  <c r="E24" i="31"/>
  <c r="N24" i="25" s="1"/>
  <c r="AW24" i="31"/>
  <c r="AI24" i="31"/>
  <c r="W24" i="31"/>
  <c r="AF24" i="25" s="1"/>
  <c r="R24" i="31"/>
  <c r="AA24" i="25" s="1"/>
  <c r="BG71" i="31"/>
  <c r="CS71" i="31"/>
  <c r="DB71" i="25" s="1"/>
  <c r="BX71" i="31"/>
  <c r="CG71" i="25" s="1"/>
  <c r="CL71" i="31"/>
  <c r="CU71" i="25" s="1"/>
  <c r="Q71" i="31"/>
  <c r="Z71" i="25" s="1"/>
  <c r="G71" i="31"/>
  <c r="P71" i="25" s="1"/>
  <c r="Y71" i="31"/>
  <c r="AH71" i="25" s="1"/>
  <c r="AL71" i="31"/>
  <c r="AV71" i="31"/>
  <c r="DA71" i="31"/>
  <c r="DJ71" i="25" s="1"/>
  <c r="BF71" i="31"/>
  <c r="AT71" i="31"/>
  <c r="R71" i="31"/>
  <c r="AA71" i="25" s="1"/>
  <c r="U71" i="31"/>
  <c r="AD71" i="25" s="1"/>
  <c r="AX71" i="31"/>
  <c r="O71" i="31"/>
  <c r="X71" i="25" s="1"/>
  <c r="AQ71" i="31"/>
  <c r="N71" i="31"/>
  <c r="W71" i="25" s="1"/>
  <c r="E71" i="31"/>
  <c r="N71" i="25" s="1"/>
  <c r="BN71" i="31"/>
  <c r="CM71" i="37" s="1"/>
  <c r="J71" i="31"/>
  <c r="S71" i="25" s="1"/>
  <c r="AS71" i="31"/>
  <c r="AO71" i="31"/>
  <c r="AY71" i="31"/>
  <c r="BI71" i="31"/>
  <c r="T71" i="31"/>
  <c r="AC71" i="25" s="1"/>
  <c r="AK71" i="31"/>
  <c r="AM71" i="31"/>
  <c r="CP71" i="31"/>
  <c r="CY71" i="25" s="1"/>
  <c r="H71" i="31"/>
  <c r="Q71" i="25" s="1"/>
  <c r="CU71" i="31"/>
  <c r="DD71" i="25" s="1"/>
  <c r="V71" i="31"/>
  <c r="AE71" i="25" s="1"/>
  <c r="CX71" i="31"/>
  <c r="DG71" i="25" s="1"/>
  <c r="CM71" i="31"/>
  <c r="CV71" i="25" s="1"/>
  <c r="AI71" i="31"/>
  <c r="BJ71" i="31"/>
  <c r="AJ71" i="31"/>
  <c r="AC71" i="31"/>
  <c r="AL71" i="25" s="1"/>
  <c r="L71" i="31"/>
  <c r="U71" i="25" s="1"/>
  <c r="W71" i="31"/>
  <c r="AF71" i="25" s="1"/>
  <c r="BE71" i="31"/>
  <c r="BP71" i="31"/>
  <c r="CO71" i="37" s="1"/>
  <c r="CQ71" i="31"/>
  <c r="CZ71" i="25" s="1"/>
  <c r="BH71" i="31"/>
  <c r="CY71" i="31"/>
  <c r="DH71" i="25" s="1"/>
  <c r="P71" i="31"/>
  <c r="Y71" i="25" s="1"/>
  <c r="AE71" i="31"/>
  <c r="AN71" i="25" s="1"/>
  <c r="D71" i="31"/>
  <c r="M71" i="25" s="1"/>
  <c r="BM71" i="31"/>
  <c r="CL71" i="37" s="1"/>
  <c r="BK71" i="31"/>
  <c r="CJ71" i="37" s="1"/>
  <c r="AP71" i="31"/>
  <c r="AU71" i="31"/>
  <c r="M71" i="31"/>
  <c r="V71" i="25" s="1"/>
  <c r="CJ71" i="31"/>
  <c r="CS71" i="25" s="1"/>
  <c r="AD71" i="31"/>
  <c r="AM71" i="25" s="1"/>
  <c r="AA71" i="31"/>
  <c r="AJ71" i="25" s="1"/>
  <c r="CV71" i="31"/>
  <c r="DE71" i="25" s="1"/>
  <c r="BL71" i="31"/>
  <c r="CK71" i="37" s="1"/>
  <c r="BO71" i="31"/>
  <c r="CN71" i="37" s="1"/>
  <c r="CI71" i="31"/>
  <c r="CR71" i="25" s="1"/>
  <c r="AH71" i="31"/>
  <c r="BC71" i="31"/>
  <c r="BB71" i="31"/>
  <c r="Z71" i="31"/>
  <c r="AI71" i="25" s="1"/>
  <c r="S71" i="31"/>
  <c r="AB71" i="25" s="1"/>
  <c r="AR71" i="31"/>
  <c r="CN71" i="31"/>
  <c r="CW71" i="25" s="1"/>
  <c r="AG71" i="31"/>
  <c r="AW71" i="31"/>
  <c r="CZ71" i="31"/>
  <c r="C71" i="31"/>
  <c r="BD71" i="31"/>
  <c r="I71" i="31"/>
  <c r="R71" i="25" s="1"/>
  <c r="AN71" i="31"/>
  <c r="CK71" i="31"/>
  <c r="CT71" i="25" s="1"/>
  <c r="AZ71" i="31"/>
  <c r="K71" i="31"/>
  <c r="T71" i="25" s="1"/>
  <c r="F71" i="31"/>
  <c r="O71" i="25" s="1"/>
  <c r="BA71" i="31"/>
  <c r="BJ74" i="31"/>
  <c r="Y74" i="31"/>
  <c r="AH74" i="25" s="1"/>
  <c r="AO74" i="31"/>
  <c r="BI74" i="31"/>
  <c r="AN74" i="31"/>
  <c r="CZ74" i="31"/>
  <c r="AM74" i="31"/>
  <c r="CP74" i="31"/>
  <c r="CY74" i="25" s="1"/>
  <c r="V74" i="31"/>
  <c r="AE74" i="25" s="1"/>
  <c r="AT74" i="31"/>
  <c r="BG74" i="31"/>
  <c r="DA74" i="31"/>
  <c r="DJ74" i="25" s="1"/>
  <c r="Q74" i="31"/>
  <c r="Z74" i="25" s="1"/>
  <c r="AG74" i="31"/>
  <c r="E74" i="31"/>
  <c r="N74" i="25" s="1"/>
  <c r="CJ74" i="31"/>
  <c r="CS74" i="25" s="1"/>
  <c r="AR74" i="31"/>
  <c r="BC74" i="31"/>
  <c r="AJ74" i="31"/>
  <c r="C74" i="31"/>
  <c r="CL74" i="31"/>
  <c r="CU74" i="25" s="1"/>
  <c r="BF74" i="31"/>
  <c r="AP74" i="31"/>
  <c r="AA74" i="31"/>
  <c r="AJ74" i="25" s="1"/>
  <c r="N74" i="31"/>
  <c r="W74" i="25" s="1"/>
  <c r="BB74" i="31"/>
  <c r="Z74" i="31"/>
  <c r="AI74" i="25" s="1"/>
  <c r="R74" i="31"/>
  <c r="AA74" i="25" s="1"/>
  <c r="CS74" i="31"/>
  <c r="DB74" i="25" s="1"/>
  <c r="D74" i="31"/>
  <c r="M74" i="25" s="1"/>
  <c r="CM74" i="31"/>
  <c r="CV74" i="25" s="1"/>
  <c r="CQ74" i="31"/>
  <c r="CZ74" i="25" s="1"/>
  <c r="G74" i="31"/>
  <c r="P74" i="25" s="1"/>
  <c r="BL74" i="31"/>
  <c r="CK74" i="37" s="1"/>
  <c r="BH74" i="31"/>
  <c r="CX74" i="31"/>
  <c r="DG74" i="25" s="1"/>
  <c r="CV74" i="31"/>
  <c r="DE74" i="25" s="1"/>
  <c r="BD74" i="31"/>
  <c r="H74" i="31"/>
  <c r="Q74" i="25" s="1"/>
  <c r="U74" i="31"/>
  <c r="AD74" i="25" s="1"/>
  <c r="BK74" i="31"/>
  <c r="CJ74" i="37" s="1"/>
  <c r="L74" i="31"/>
  <c r="U74" i="25" s="1"/>
  <c r="AC74" i="31"/>
  <c r="AL74" i="25" s="1"/>
  <c r="M74" i="31"/>
  <c r="V74" i="25" s="1"/>
  <c r="AS74" i="31"/>
  <c r="AD74" i="31"/>
  <c r="AM74" i="25" s="1"/>
  <c r="CY74" i="31"/>
  <c r="DH74" i="25" s="1"/>
  <c r="AL74" i="31"/>
  <c r="T74" i="31"/>
  <c r="AC74" i="25" s="1"/>
  <c r="BP74" i="31"/>
  <c r="CO74" i="37" s="1"/>
  <c r="P74" i="31"/>
  <c r="Y74" i="25" s="1"/>
  <c r="AH74" i="31"/>
  <c r="AK74" i="31"/>
  <c r="AU74" i="31"/>
  <c r="AW74" i="31"/>
  <c r="K74" i="31"/>
  <c r="T74" i="25" s="1"/>
  <c r="AE74" i="31"/>
  <c r="AN74" i="25" s="1"/>
  <c r="CK74" i="31"/>
  <c r="CT74" i="25" s="1"/>
  <c r="I74" i="31"/>
  <c r="R74" i="25" s="1"/>
  <c r="BO74" i="31"/>
  <c r="CN74" i="37" s="1"/>
  <c r="W74" i="31"/>
  <c r="AF74" i="25" s="1"/>
  <c r="BM74" i="31"/>
  <c r="CL74" i="37" s="1"/>
  <c r="CI74" i="31"/>
  <c r="CR74" i="25" s="1"/>
  <c r="CN74" i="31"/>
  <c r="CW74" i="25" s="1"/>
  <c r="BN74" i="31"/>
  <c r="CM74" i="37" s="1"/>
  <c r="J74" i="31"/>
  <c r="S74" i="25" s="1"/>
  <c r="BA74" i="31"/>
  <c r="AI74" i="31"/>
  <c r="CU74" i="31"/>
  <c r="DD74" i="25" s="1"/>
  <c r="AX74" i="31"/>
  <c r="BE74" i="31"/>
  <c r="AY74" i="31"/>
  <c r="S74" i="31"/>
  <c r="AB74" i="25" s="1"/>
  <c r="AZ74" i="31"/>
  <c r="AQ74" i="31"/>
  <c r="O74" i="31"/>
  <c r="X74" i="25" s="1"/>
  <c r="AV74" i="31"/>
  <c r="F74" i="31"/>
  <c r="O74" i="25" s="1"/>
  <c r="BZ56" i="31"/>
  <c r="CI56" i="25" s="1"/>
  <c r="CG59" i="31"/>
  <c r="CP59" i="25" s="1"/>
  <c r="CE34" i="31"/>
  <c r="CN34" i="25" s="1"/>
  <c r="CE37" i="31"/>
  <c r="CN37" i="25" s="1"/>
  <c r="DS86" i="32"/>
  <c r="DA50" i="31"/>
  <c r="DJ50" i="25" s="1"/>
  <c r="CY50" i="31"/>
  <c r="DH50" i="25" s="1"/>
  <c r="CX50" i="31"/>
  <c r="DG50" i="25" s="1"/>
  <c r="CV50" i="31"/>
  <c r="DE50" i="25" s="1"/>
  <c r="CU50" i="31"/>
  <c r="DD50" i="25" s="1"/>
  <c r="CS50" i="31"/>
  <c r="DB50" i="25" s="1"/>
  <c r="CZ50" i="31"/>
  <c r="DI50" i="25" s="1"/>
  <c r="CK50" i="31"/>
  <c r="CT50" i="25" s="1"/>
  <c r="CM50" i="31"/>
  <c r="CV50" i="25" s="1"/>
  <c r="CJ50" i="31"/>
  <c r="CS50" i="25" s="1"/>
  <c r="Z50" i="31"/>
  <c r="AI50" i="25" s="1"/>
  <c r="AZ50" i="31"/>
  <c r="R50" i="31"/>
  <c r="AA50" i="25" s="1"/>
  <c r="AN50" i="31"/>
  <c r="CP50" i="31"/>
  <c r="CY50" i="25" s="1"/>
  <c r="AI50" i="31"/>
  <c r="AY50" i="31"/>
  <c r="BN50" i="31"/>
  <c r="CM50" i="37" s="1"/>
  <c r="Y50" i="31"/>
  <c r="AH50" i="25" s="1"/>
  <c r="BF50" i="31"/>
  <c r="BL50" i="31"/>
  <c r="CK50" i="37" s="1"/>
  <c r="AV50" i="31"/>
  <c r="BI50" i="31"/>
  <c r="AE50" i="31"/>
  <c r="AN50" i="25" s="1"/>
  <c r="AD50" i="31"/>
  <c r="BK50" i="31"/>
  <c r="CJ50" i="37" s="1"/>
  <c r="L50" i="31"/>
  <c r="U50" i="25" s="1"/>
  <c r="AS50" i="31"/>
  <c r="BH50" i="31"/>
  <c r="W50" i="31"/>
  <c r="AF50" i="25" s="1"/>
  <c r="Q50" i="31"/>
  <c r="Z50" i="25" s="1"/>
  <c r="N50" i="31"/>
  <c r="W50" i="25" s="1"/>
  <c r="AW50" i="31"/>
  <c r="AR50" i="31"/>
  <c r="CN50" i="31"/>
  <c r="CW50" i="25" s="1"/>
  <c r="BJ50" i="31"/>
  <c r="P50" i="31"/>
  <c r="Y50" i="25" s="1"/>
  <c r="O50" i="31"/>
  <c r="X50" i="25" s="1"/>
  <c r="BP50" i="31"/>
  <c r="CO50" i="37" s="1"/>
  <c r="AC50" i="31"/>
  <c r="AL50" i="25" s="1"/>
  <c r="BG50" i="31"/>
  <c r="AT50" i="31"/>
  <c r="AH50" i="31"/>
  <c r="E50" i="31"/>
  <c r="N50" i="25" s="1"/>
  <c r="AJ50" i="31"/>
  <c r="BO50" i="31"/>
  <c r="CN50" i="37" s="1"/>
  <c r="AQ50" i="31"/>
  <c r="AX50" i="31"/>
  <c r="H50" i="31"/>
  <c r="Q50" i="25" s="1"/>
  <c r="G50" i="31"/>
  <c r="P50" i="25" s="1"/>
  <c r="M50" i="31"/>
  <c r="V50" i="25" s="1"/>
  <c r="BD50" i="31"/>
  <c r="T50" i="31"/>
  <c r="AC50" i="25" s="1"/>
  <c r="S50" i="31"/>
  <c r="AB50" i="25" s="1"/>
  <c r="AO50" i="31"/>
  <c r="BB50" i="31"/>
  <c r="AP50" i="31"/>
  <c r="I50" i="31"/>
  <c r="R50" i="25" s="1"/>
  <c r="AL50" i="31"/>
  <c r="AU50" i="31"/>
  <c r="U50" i="31"/>
  <c r="AD50" i="25" s="1"/>
  <c r="CL50" i="31"/>
  <c r="CU50" i="25" s="1"/>
  <c r="BM50" i="31"/>
  <c r="CL50" i="37" s="1"/>
  <c r="CQ50" i="31"/>
  <c r="CZ50" i="25" s="1"/>
  <c r="BA50" i="31"/>
  <c r="BE50" i="31"/>
  <c r="F50" i="31"/>
  <c r="O50" i="25" s="1"/>
  <c r="D50" i="31"/>
  <c r="M50" i="25" s="1"/>
  <c r="K50" i="31"/>
  <c r="T50" i="25" s="1"/>
  <c r="BC50" i="31"/>
  <c r="C50" i="31"/>
  <c r="AM50" i="31"/>
  <c r="AG50" i="31"/>
  <c r="V50" i="31"/>
  <c r="AE50" i="25" s="1"/>
  <c r="AK50" i="31"/>
  <c r="J50" i="31"/>
  <c r="S50" i="25" s="1"/>
  <c r="CI50" i="31"/>
  <c r="CR50" i="25" s="1"/>
  <c r="AA50" i="31"/>
  <c r="AJ50" i="25" s="1"/>
  <c r="DS77" i="32"/>
  <c r="CX52" i="31"/>
  <c r="DG52" i="25" s="1"/>
  <c r="CY52" i="31"/>
  <c r="DH52" i="25" s="1"/>
  <c r="CU52" i="31"/>
  <c r="DD52" i="25" s="1"/>
  <c r="CS52" i="31"/>
  <c r="DB52" i="25" s="1"/>
  <c r="CZ52" i="31"/>
  <c r="DI52" i="25" s="1"/>
  <c r="CV52" i="31"/>
  <c r="DE52" i="25" s="1"/>
  <c r="DA52" i="31"/>
  <c r="DJ52" i="25" s="1"/>
  <c r="BI52" i="31"/>
  <c r="BD52" i="31"/>
  <c r="V52" i="31"/>
  <c r="AE52" i="25" s="1"/>
  <c r="AS52" i="31"/>
  <c r="E52" i="31"/>
  <c r="N52" i="25" s="1"/>
  <c r="AY52" i="31"/>
  <c r="AN52" i="31"/>
  <c r="AA52" i="31"/>
  <c r="AJ52" i="25" s="1"/>
  <c r="BB52" i="31"/>
  <c r="CI52" i="31"/>
  <c r="CR52" i="25" s="1"/>
  <c r="W52" i="31"/>
  <c r="AF52" i="25" s="1"/>
  <c r="AT52" i="31"/>
  <c r="F52" i="31"/>
  <c r="O52" i="25" s="1"/>
  <c r="BE52" i="31"/>
  <c r="AP52" i="31"/>
  <c r="AK52" i="31"/>
  <c r="J52" i="31"/>
  <c r="S52" i="25" s="1"/>
  <c r="T52" i="31"/>
  <c r="AC52" i="25" s="1"/>
  <c r="BK52" i="31"/>
  <c r="CJ52" i="37" s="1"/>
  <c r="CN52" i="31"/>
  <c r="CW52" i="25" s="1"/>
  <c r="CP52" i="31"/>
  <c r="CY52" i="25" s="1"/>
  <c r="O52" i="31"/>
  <c r="X52" i="25" s="1"/>
  <c r="AH52" i="31"/>
  <c r="K52" i="31"/>
  <c r="T52" i="25" s="1"/>
  <c r="P52" i="31"/>
  <c r="Y52" i="25" s="1"/>
  <c r="Y52" i="31"/>
  <c r="AH52" i="25" s="1"/>
  <c r="I52" i="31"/>
  <c r="R52" i="25" s="1"/>
  <c r="CL52" i="31"/>
  <c r="CU52" i="25" s="1"/>
  <c r="AM52" i="31"/>
  <c r="BM52" i="31"/>
  <c r="CL52" i="37" s="1"/>
  <c r="C52" i="31"/>
  <c r="AX52" i="31"/>
  <c r="BN52" i="31"/>
  <c r="CM52" i="37" s="1"/>
  <c r="BC52" i="31"/>
  <c r="BA52" i="31"/>
  <c r="Q52" i="31"/>
  <c r="Z52" i="25" s="1"/>
  <c r="Z52" i="31"/>
  <c r="AI52" i="25" s="1"/>
  <c r="CQ52" i="31"/>
  <c r="CZ52" i="25" s="1"/>
  <c r="H52" i="31"/>
  <c r="Q52" i="25" s="1"/>
  <c r="N52" i="31"/>
  <c r="W52" i="25" s="1"/>
  <c r="AJ52" i="31"/>
  <c r="BO52" i="31"/>
  <c r="CN52" i="37" s="1"/>
  <c r="BL52" i="31"/>
  <c r="CK52" i="37" s="1"/>
  <c r="CM52" i="31"/>
  <c r="CV52" i="25" s="1"/>
  <c r="AU52" i="31"/>
  <c r="AC52" i="31"/>
  <c r="AL52" i="25" s="1"/>
  <c r="S52" i="31"/>
  <c r="AB52" i="25" s="1"/>
  <c r="AV52" i="31"/>
  <c r="AR52" i="31"/>
  <c r="AE52" i="31"/>
  <c r="AN52" i="25" s="1"/>
  <c r="AL52" i="31"/>
  <c r="CK52" i="31"/>
  <c r="CT52" i="25" s="1"/>
  <c r="G52" i="31"/>
  <c r="P52" i="25" s="1"/>
  <c r="CJ52" i="31"/>
  <c r="CS52" i="25" s="1"/>
  <c r="AI52" i="31"/>
  <c r="AD52" i="31"/>
  <c r="U52" i="31"/>
  <c r="AD52" i="25" s="1"/>
  <c r="AZ52" i="31"/>
  <c r="D52" i="31"/>
  <c r="M52" i="25" s="1"/>
  <c r="L52" i="31"/>
  <c r="U52" i="25" s="1"/>
  <c r="M52" i="31"/>
  <c r="V52" i="25" s="1"/>
  <c r="BJ52" i="31"/>
  <c r="BG52" i="31"/>
  <c r="AO52" i="31"/>
  <c r="AG52" i="31"/>
  <c r="AQ52" i="31"/>
  <c r="R52" i="31"/>
  <c r="AA52" i="25" s="1"/>
  <c r="BF52" i="31"/>
  <c r="BH52" i="31"/>
  <c r="AW52" i="31"/>
  <c r="BP52" i="31"/>
  <c r="CO52" i="37" s="1"/>
  <c r="CF64" i="31"/>
  <c r="CO64" i="25" s="1"/>
  <c r="CF34" i="31"/>
  <c r="CG64" i="31"/>
  <c r="CP64" i="25" s="1"/>
  <c r="DA53" i="31"/>
  <c r="DJ53" i="25" s="1"/>
  <c r="CY53" i="31"/>
  <c r="DH53" i="25" s="1"/>
  <c r="CX53" i="31"/>
  <c r="DG53" i="25" s="1"/>
  <c r="CZ53" i="31"/>
  <c r="DI53" i="25" s="1"/>
  <c r="CS53" i="31"/>
  <c r="DB53" i="25" s="1"/>
  <c r="CU53" i="31"/>
  <c r="DD53" i="25" s="1"/>
  <c r="CV53" i="31"/>
  <c r="DE53" i="25" s="1"/>
  <c r="CN53" i="31"/>
  <c r="CW53" i="25" s="1"/>
  <c r="BL53" i="31"/>
  <c r="CK53" i="37" s="1"/>
  <c r="Y53" i="31"/>
  <c r="AH53" i="25" s="1"/>
  <c r="AV53" i="31"/>
  <c r="H53" i="31"/>
  <c r="Q53" i="25" s="1"/>
  <c r="BC53" i="31"/>
  <c r="AR53" i="31"/>
  <c r="AM53" i="31"/>
  <c r="AA53" i="31"/>
  <c r="AJ53" i="25" s="1"/>
  <c r="BI53" i="31"/>
  <c r="CL53" i="31"/>
  <c r="CU53" i="25" s="1"/>
  <c r="AY53" i="31"/>
  <c r="Q53" i="31"/>
  <c r="Z53" i="25" s="1"/>
  <c r="AN53" i="31"/>
  <c r="BP53" i="31"/>
  <c r="CO53" i="37" s="1"/>
  <c r="AH53" i="31"/>
  <c r="AS53" i="31"/>
  <c r="AI53" i="31"/>
  <c r="Z53" i="31"/>
  <c r="AI53" i="25" s="1"/>
  <c r="CM53" i="31"/>
  <c r="CV53" i="25" s="1"/>
  <c r="AW53" i="31"/>
  <c r="I53" i="31"/>
  <c r="R53" i="25" s="1"/>
  <c r="BH53" i="31"/>
  <c r="AE53" i="31"/>
  <c r="AN53" i="25" s="1"/>
  <c r="K53" i="31"/>
  <c r="T53" i="25" s="1"/>
  <c r="M53" i="31"/>
  <c r="V53" i="25" s="1"/>
  <c r="CK53" i="31"/>
  <c r="CT53" i="25" s="1"/>
  <c r="CI53" i="31"/>
  <c r="CR53" i="25" s="1"/>
  <c r="AL53" i="31"/>
  <c r="AK53" i="31"/>
  <c r="AJ53" i="31"/>
  <c r="AT53" i="31"/>
  <c r="U53" i="31"/>
  <c r="AD53" i="25" s="1"/>
  <c r="W53" i="31"/>
  <c r="AF53" i="25" s="1"/>
  <c r="BO53" i="31"/>
  <c r="CN53" i="37" s="1"/>
  <c r="G53" i="31"/>
  <c r="P53" i="25" s="1"/>
  <c r="BK53" i="31"/>
  <c r="CJ53" i="37" s="1"/>
  <c r="BD53" i="31"/>
  <c r="O53" i="31"/>
  <c r="X53" i="25" s="1"/>
  <c r="BN53" i="31"/>
  <c r="CM53" i="37" s="1"/>
  <c r="AZ53" i="31"/>
  <c r="E53" i="31"/>
  <c r="N53" i="25" s="1"/>
  <c r="BM53" i="31"/>
  <c r="CL53" i="37" s="1"/>
  <c r="BA53" i="31"/>
  <c r="AO53" i="31"/>
  <c r="F53" i="31"/>
  <c r="O53" i="25" s="1"/>
  <c r="AC53" i="31"/>
  <c r="AL53" i="25" s="1"/>
  <c r="T53" i="31"/>
  <c r="AC53" i="25" s="1"/>
  <c r="BG53" i="31"/>
  <c r="CJ53" i="31"/>
  <c r="CS53" i="25" s="1"/>
  <c r="AX53" i="31"/>
  <c r="P53" i="31"/>
  <c r="Y53" i="25" s="1"/>
  <c r="BF53" i="31"/>
  <c r="AG53" i="31"/>
  <c r="AP53" i="31"/>
  <c r="BB53" i="31"/>
  <c r="CQ53" i="31"/>
  <c r="CZ53" i="25" s="1"/>
  <c r="BJ53" i="31"/>
  <c r="S53" i="31"/>
  <c r="AB53" i="25" s="1"/>
  <c r="C53" i="31"/>
  <c r="AD53" i="31"/>
  <c r="AQ53" i="31"/>
  <c r="V53" i="31"/>
  <c r="AE53" i="25" s="1"/>
  <c r="L53" i="31"/>
  <c r="U53" i="25" s="1"/>
  <c r="N53" i="31"/>
  <c r="W53" i="25" s="1"/>
  <c r="D53" i="31"/>
  <c r="M53" i="25" s="1"/>
  <c r="CP53" i="31"/>
  <c r="CY53" i="25" s="1"/>
  <c r="R53" i="31"/>
  <c r="AA53" i="25" s="1"/>
  <c r="J53" i="31"/>
  <c r="S53" i="25" s="1"/>
  <c r="AU53" i="31"/>
  <c r="BE53" i="31"/>
  <c r="CF74" i="31"/>
  <c r="CO74" i="25" s="1"/>
  <c r="CZ33" i="31"/>
  <c r="DI33" i="25" s="1"/>
  <c r="CU33" i="31"/>
  <c r="DD33" i="25" s="1"/>
  <c r="CY33" i="31"/>
  <c r="DH33" i="25" s="1"/>
  <c r="CV33" i="31"/>
  <c r="DE33" i="25" s="1"/>
  <c r="CS33" i="31"/>
  <c r="DB33" i="25" s="1"/>
  <c r="DA33" i="31"/>
  <c r="DJ33" i="25" s="1"/>
  <c r="CX33" i="31"/>
  <c r="DG33" i="25" s="1"/>
  <c r="CI33" i="31"/>
  <c r="CR33" i="25" s="1"/>
  <c r="CL33" i="31"/>
  <c r="CU33" i="25" s="1"/>
  <c r="BN33" i="31"/>
  <c r="CM33" i="37" s="1"/>
  <c r="AZ33" i="31"/>
  <c r="BK33" i="31"/>
  <c r="CJ33" i="37" s="1"/>
  <c r="AN33" i="31"/>
  <c r="AD33" i="31"/>
  <c r="AM33" i="25" s="1"/>
  <c r="AE33" i="31"/>
  <c r="AN33" i="25" s="1"/>
  <c r="R33" i="31"/>
  <c r="AA33" i="25" s="1"/>
  <c r="O33" i="31"/>
  <c r="X33" i="25" s="1"/>
  <c r="AR33" i="31"/>
  <c r="CQ33" i="31"/>
  <c r="CZ33" i="25" s="1"/>
  <c r="AI33" i="31"/>
  <c r="J33" i="31"/>
  <c r="S33" i="25" s="1"/>
  <c r="P33" i="31"/>
  <c r="Y33" i="25" s="1"/>
  <c r="AQ33" i="31"/>
  <c r="AX33" i="31"/>
  <c r="BJ33" i="31"/>
  <c r="CP33" i="31"/>
  <c r="CY33" i="25" s="1"/>
  <c r="AH33" i="31"/>
  <c r="F33" i="31"/>
  <c r="O33" i="25" s="1"/>
  <c r="S33" i="31"/>
  <c r="AB33" i="25" s="1"/>
  <c r="CN33" i="31"/>
  <c r="CW33" i="25" s="1"/>
  <c r="AG33" i="31"/>
  <c r="BM33" i="31"/>
  <c r="CL33" i="37" s="1"/>
  <c r="BL33" i="31"/>
  <c r="CK33" i="37" s="1"/>
  <c r="AY33" i="31"/>
  <c r="AM33" i="31"/>
  <c r="M33" i="31"/>
  <c r="V33" i="25" s="1"/>
  <c r="G33" i="31"/>
  <c r="P33" i="25" s="1"/>
  <c r="AP33" i="31"/>
  <c r="BP33" i="31"/>
  <c r="CO33" i="37" s="1"/>
  <c r="C33" i="31"/>
  <c r="BH33" i="31"/>
  <c r="W33" i="31"/>
  <c r="AF33" i="25" s="1"/>
  <c r="CM33" i="31"/>
  <c r="CV33" i="25" s="1"/>
  <c r="BG33" i="31"/>
  <c r="AL33" i="31"/>
  <c r="BI33" i="31"/>
  <c r="BE33" i="31"/>
  <c r="AW33" i="31"/>
  <c r="AV33" i="31"/>
  <c r="AC33" i="31"/>
  <c r="V33" i="31"/>
  <c r="AE33" i="25" s="1"/>
  <c r="L33" i="31"/>
  <c r="U33" i="25" s="1"/>
  <c r="AO33" i="31"/>
  <c r="AA33" i="31"/>
  <c r="AJ33" i="25" s="1"/>
  <c r="BA33" i="31"/>
  <c r="AJ33" i="31"/>
  <c r="N33" i="31"/>
  <c r="W33" i="25" s="1"/>
  <c r="BB33" i="31"/>
  <c r="AK33" i="31"/>
  <c r="H33" i="31"/>
  <c r="Q33" i="25" s="1"/>
  <c r="BF33" i="31"/>
  <c r="E33" i="31"/>
  <c r="N33" i="25" s="1"/>
  <c r="BO33" i="31"/>
  <c r="CN33" i="37" s="1"/>
  <c r="Z33" i="31"/>
  <c r="AI33" i="25" s="1"/>
  <c r="BD33" i="31"/>
  <c r="I33" i="31"/>
  <c r="R33" i="25" s="1"/>
  <c r="CK33" i="31"/>
  <c r="CT33" i="25" s="1"/>
  <c r="AU33" i="31"/>
  <c r="K33" i="31"/>
  <c r="T33" i="25" s="1"/>
  <c r="AT33" i="31"/>
  <c r="AS33" i="31"/>
  <c r="U33" i="31"/>
  <c r="AD33" i="25" s="1"/>
  <c r="Y33" i="31"/>
  <c r="AH33" i="25" s="1"/>
  <c r="D33" i="31"/>
  <c r="M33" i="25" s="1"/>
  <c r="Q33" i="31"/>
  <c r="Z33" i="25" s="1"/>
  <c r="BC33" i="31"/>
  <c r="T33" i="31"/>
  <c r="AC33" i="25" s="1"/>
  <c r="CJ33" i="31"/>
  <c r="CS33" i="25" s="1"/>
  <c r="CX29" i="31"/>
  <c r="DG29" i="25" s="1"/>
  <c r="CY29" i="31"/>
  <c r="DH29" i="25" s="1"/>
  <c r="CU29" i="31"/>
  <c r="DD29" i="25" s="1"/>
  <c r="CV29" i="31"/>
  <c r="DE29" i="25" s="1"/>
  <c r="CZ29" i="31"/>
  <c r="DI29" i="25" s="1"/>
  <c r="DA29" i="31"/>
  <c r="DJ29" i="25" s="1"/>
  <c r="CS29" i="31"/>
  <c r="DB29" i="25" s="1"/>
  <c r="S29" i="31"/>
  <c r="AB29" i="25" s="1"/>
  <c r="I29" i="31"/>
  <c r="R29" i="25" s="1"/>
  <c r="AP29" i="31"/>
  <c r="CI29" i="31"/>
  <c r="CR29" i="25" s="1"/>
  <c r="G29" i="31"/>
  <c r="P29" i="25" s="1"/>
  <c r="AN29" i="31"/>
  <c r="BI29" i="31"/>
  <c r="E29" i="31"/>
  <c r="N29" i="25" s="1"/>
  <c r="N29" i="31"/>
  <c r="W29" i="25" s="1"/>
  <c r="BA29" i="31"/>
  <c r="K29" i="31"/>
  <c r="T29" i="25" s="1"/>
  <c r="CJ29" i="31"/>
  <c r="CS29" i="25" s="1"/>
  <c r="W29" i="31"/>
  <c r="AF29" i="25" s="1"/>
  <c r="AS29" i="31"/>
  <c r="CL29" i="31"/>
  <c r="CU29" i="25" s="1"/>
  <c r="BD29" i="31"/>
  <c r="AT29" i="31"/>
  <c r="AC29" i="31"/>
  <c r="AL29" i="25" s="1"/>
  <c r="C29" i="31"/>
  <c r="AL29" i="31"/>
  <c r="CQ29" i="31"/>
  <c r="CZ29" i="25" s="1"/>
  <c r="AJ29" i="31"/>
  <c r="O29" i="31"/>
  <c r="X29" i="25" s="1"/>
  <c r="BN29" i="31"/>
  <c r="CM29" i="37" s="1"/>
  <c r="AE29" i="31"/>
  <c r="CK29" i="31"/>
  <c r="CT29" i="25" s="1"/>
  <c r="AW29" i="31"/>
  <c r="R29" i="31"/>
  <c r="AA29" i="25" s="1"/>
  <c r="AK29" i="31"/>
  <c r="H29" i="31"/>
  <c r="Q29" i="25" s="1"/>
  <c r="AM29" i="31"/>
  <c r="BG29" i="31"/>
  <c r="BB29" i="31"/>
  <c r="L29" i="31"/>
  <c r="U29" i="25" s="1"/>
  <c r="F29" i="31"/>
  <c r="O29" i="25" s="1"/>
  <c r="AA29" i="31"/>
  <c r="AJ29" i="25" s="1"/>
  <c r="BK29" i="31"/>
  <c r="CJ29" i="37" s="1"/>
  <c r="BJ29" i="31"/>
  <c r="BP29" i="31"/>
  <c r="CO29" i="37" s="1"/>
  <c r="M29" i="31"/>
  <c r="V29" i="25" s="1"/>
  <c r="AY29" i="31"/>
  <c r="BF29" i="31"/>
  <c r="AU29" i="31"/>
  <c r="AG29" i="31"/>
  <c r="T29" i="31"/>
  <c r="AC29" i="25" s="1"/>
  <c r="AH29" i="31"/>
  <c r="AI29" i="31"/>
  <c r="AD29" i="31"/>
  <c r="AM29" i="25" s="1"/>
  <c r="AQ29" i="31"/>
  <c r="CN29" i="31"/>
  <c r="CW29" i="25" s="1"/>
  <c r="BM29" i="31"/>
  <c r="CL29" i="37" s="1"/>
  <c r="J29" i="31"/>
  <c r="S29" i="25" s="1"/>
  <c r="U29" i="31"/>
  <c r="AD29" i="25" s="1"/>
  <c r="D29" i="31"/>
  <c r="M29" i="25" s="1"/>
  <c r="Z29" i="31"/>
  <c r="AI29" i="25" s="1"/>
  <c r="BE29" i="31"/>
  <c r="AV29" i="31"/>
  <c r="BH29" i="31"/>
  <c r="BL29" i="31"/>
  <c r="CK29" i="37" s="1"/>
  <c r="CM29" i="31"/>
  <c r="CV29" i="25" s="1"/>
  <c r="AO29" i="31"/>
  <c r="P29" i="31"/>
  <c r="Y29" i="25" s="1"/>
  <c r="BO29" i="31"/>
  <c r="CN29" i="37" s="1"/>
  <c r="V29" i="31"/>
  <c r="AE29" i="25" s="1"/>
  <c r="Y29" i="31"/>
  <c r="AH29" i="25" s="1"/>
  <c r="AZ29" i="31"/>
  <c r="AX29" i="31"/>
  <c r="Q29" i="31"/>
  <c r="Z29" i="25" s="1"/>
  <c r="CP29" i="31"/>
  <c r="CY29" i="25" s="1"/>
  <c r="BC29" i="31"/>
  <c r="AR29" i="31"/>
  <c r="CC33" i="31"/>
  <c r="CL33" i="25" s="1"/>
  <c r="CF11" i="31"/>
  <c r="CO11" i="25" s="1"/>
  <c r="CD52" i="31"/>
  <c r="CE64" i="31"/>
  <c r="CN64" i="25" s="1"/>
  <c r="CU58" i="31"/>
  <c r="DD58" i="25" s="1"/>
  <c r="CX58" i="31"/>
  <c r="DG58" i="25" s="1"/>
  <c r="CV58" i="31"/>
  <c r="DE58" i="25" s="1"/>
  <c r="CS58" i="31"/>
  <c r="DB58" i="25" s="1"/>
  <c r="CY58" i="31"/>
  <c r="DH58" i="25" s="1"/>
  <c r="DA58" i="31"/>
  <c r="DJ58" i="25" s="1"/>
  <c r="CZ58" i="31"/>
  <c r="DI58" i="25" s="1"/>
  <c r="C58" i="31"/>
  <c r="CQ58" i="31"/>
  <c r="CZ58" i="25" s="1"/>
  <c r="AD58" i="31"/>
  <c r="CI58" i="31"/>
  <c r="CR58" i="25" s="1"/>
  <c r="BJ58" i="31"/>
  <c r="AY58" i="31"/>
  <c r="BD58" i="31"/>
  <c r="AZ58" i="31"/>
  <c r="BN58" i="31"/>
  <c r="CM58" i="37" s="1"/>
  <c r="CM58" i="31"/>
  <c r="CV58" i="25" s="1"/>
  <c r="CL58" i="31"/>
  <c r="CU58" i="25" s="1"/>
  <c r="V58" i="31"/>
  <c r="AE58" i="25" s="1"/>
  <c r="AA58" i="31"/>
  <c r="AJ58" i="25" s="1"/>
  <c r="BI58" i="31"/>
  <c r="AW58" i="31"/>
  <c r="AQ58" i="31"/>
  <c r="AV58" i="31"/>
  <c r="BO58" i="31"/>
  <c r="CN58" i="37" s="1"/>
  <c r="P58" i="31"/>
  <c r="Y58" i="25" s="1"/>
  <c r="H58" i="31"/>
  <c r="Q58" i="25" s="1"/>
  <c r="CP58" i="31"/>
  <c r="CY58" i="25" s="1"/>
  <c r="N58" i="31"/>
  <c r="W58" i="25" s="1"/>
  <c r="U58" i="31"/>
  <c r="AD58" i="25" s="1"/>
  <c r="AO58" i="31"/>
  <c r="AL58" i="31"/>
  <c r="AN58" i="31"/>
  <c r="BF58" i="31"/>
  <c r="Z58" i="31"/>
  <c r="AI58" i="25" s="1"/>
  <c r="Y58" i="31"/>
  <c r="AH58" i="25" s="1"/>
  <c r="O58" i="31"/>
  <c r="X58" i="25" s="1"/>
  <c r="D58" i="31"/>
  <c r="M58" i="25" s="1"/>
  <c r="L58" i="31"/>
  <c r="U58" i="25" s="1"/>
  <c r="AT58" i="31"/>
  <c r="AS58" i="31"/>
  <c r="BH58" i="31"/>
  <c r="AU58" i="31"/>
  <c r="AM58" i="31"/>
  <c r="AE58" i="31"/>
  <c r="AN58" i="25" s="1"/>
  <c r="T58" i="31"/>
  <c r="AC58" i="25" s="1"/>
  <c r="AH58" i="31"/>
  <c r="AP58" i="31"/>
  <c r="AI58" i="31"/>
  <c r="J58" i="31"/>
  <c r="S58" i="25" s="1"/>
  <c r="BP58" i="31"/>
  <c r="CO58" i="37" s="1"/>
  <c r="CN58" i="31"/>
  <c r="CW58" i="25" s="1"/>
  <c r="W58" i="31"/>
  <c r="AF58" i="25" s="1"/>
  <c r="M58" i="31"/>
  <c r="V58" i="25" s="1"/>
  <c r="BB58" i="31"/>
  <c r="CK58" i="31"/>
  <c r="CT58" i="25" s="1"/>
  <c r="AJ58" i="31"/>
  <c r="F58" i="31"/>
  <c r="O58" i="25" s="1"/>
  <c r="AX58" i="31"/>
  <c r="R58" i="31"/>
  <c r="AA58" i="25" s="1"/>
  <c r="G58" i="31"/>
  <c r="P58" i="25" s="1"/>
  <c r="E58" i="31"/>
  <c r="N58" i="25" s="1"/>
  <c r="BC58" i="31"/>
  <c r="BA58" i="31"/>
  <c r="AR58" i="31"/>
  <c r="AG58" i="31"/>
  <c r="BG58" i="31"/>
  <c r="S58" i="31"/>
  <c r="AB58" i="25" s="1"/>
  <c r="Q58" i="31"/>
  <c r="Z58" i="25" s="1"/>
  <c r="CJ58" i="31"/>
  <c r="CS58" i="25" s="1"/>
  <c r="AK58" i="31"/>
  <c r="BK58" i="31"/>
  <c r="CJ58" i="37" s="1"/>
  <c r="K58" i="31"/>
  <c r="T58" i="25" s="1"/>
  <c r="I58" i="31"/>
  <c r="R58" i="25" s="1"/>
  <c r="AC58" i="31"/>
  <c r="AL58" i="25" s="1"/>
  <c r="BM58" i="31"/>
  <c r="CL58" i="37" s="1"/>
  <c r="BE58" i="31"/>
  <c r="BL58" i="31"/>
  <c r="CK58" i="37" s="1"/>
  <c r="CA52" i="31"/>
  <c r="CJ52" i="25" s="1"/>
  <c r="CC87" i="28"/>
  <c r="DS79" i="32"/>
  <c r="CB52" i="31"/>
  <c r="CK52" i="25" s="1"/>
  <c r="BY59" i="31"/>
  <c r="CH59" i="25" s="1"/>
  <c r="CD6" i="31"/>
  <c r="CM6" i="25" s="1"/>
  <c r="BY6" i="31"/>
  <c r="CH6" i="25" s="1"/>
  <c r="CC81" i="28"/>
  <c r="CB24" i="31"/>
  <c r="CK24" i="25" s="1"/>
  <c r="CD24" i="31"/>
  <c r="CM24" i="25" s="1"/>
  <c r="CC59" i="31"/>
  <c r="CL59" i="25" s="1"/>
  <c r="BY74" i="31"/>
  <c r="CH74" i="25" s="1"/>
  <c r="CX26" i="31"/>
  <c r="DG26" i="25" s="1"/>
  <c r="CS26" i="31"/>
  <c r="DB26" i="25" s="1"/>
  <c r="CZ26" i="31"/>
  <c r="DI26" i="25" s="1"/>
  <c r="CV26" i="31"/>
  <c r="DE26" i="25" s="1"/>
  <c r="CU26" i="31"/>
  <c r="DD26" i="25" s="1"/>
  <c r="DA26" i="31"/>
  <c r="DJ26" i="25" s="1"/>
  <c r="CY26" i="31"/>
  <c r="DH26" i="25" s="1"/>
  <c r="CI26" i="31"/>
  <c r="CR26" i="25" s="1"/>
  <c r="BH26" i="31"/>
  <c r="BC26" i="31"/>
  <c r="U26" i="31"/>
  <c r="AD26" i="25" s="1"/>
  <c r="AX26" i="31"/>
  <c r="J26" i="31"/>
  <c r="S26" i="25" s="1"/>
  <c r="T26" i="31"/>
  <c r="AC26" i="25" s="1"/>
  <c r="BN26" i="31"/>
  <c r="CM26" i="37" s="1"/>
  <c r="G26" i="31"/>
  <c r="P26" i="25" s="1"/>
  <c r="AK26" i="31"/>
  <c r="I26" i="31"/>
  <c r="R26" i="25" s="1"/>
  <c r="AD26" i="31"/>
  <c r="AM26" i="25" s="1"/>
  <c r="M26" i="31"/>
  <c r="V26" i="25" s="1"/>
  <c r="AP26" i="31"/>
  <c r="CP26" i="31"/>
  <c r="CY26" i="25" s="1"/>
  <c r="H26" i="31"/>
  <c r="Q26" i="25" s="1"/>
  <c r="W26" i="31"/>
  <c r="AF26" i="25" s="1"/>
  <c r="BK26" i="31"/>
  <c r="CJ26" i="37" s="1"/>
  <c r="CN26" i="31"/>
  <c r="CW26" i="25" s="1"/>
  <c r="BD26" i="31"/>
  <c r="V26" i="31"/>
  <c r="AE26" i="25" s="1"/>
  <c r="AS26" i="31"/>
  <c r="E26" i="31"/>
  <c r="N26" i="25" s="1"/>
  <c r="BM26" i="31"/>
  <c r="CL26" i="37" s="1"/>
  <c r="BA26" i="31"/>
  <c r="Z26" i="31"/>
  <c r="AI26" i="25" s="1"/>
  <c r="Y26" i="31"/>
  <c r="AH26" i="25" s="1"/>
  <c r="P26" i="31"/>
  <c r="Y26" i="25" s="1"/>
  <c r="AW26" i="31"/>
  <c r="CL26" i="31"/>
  <c r="CU26" i="25" s="1"/>
  <c r="BO26" i="31"/>
  <c r="CN26" i="37" s="1"/>
  <c r="AG26" i="31"/>
  <c r="AM26" i="31"/>
  <c r="CQ26" i="31"/>
  <c r="CZ26" i="25" s="1"/>
  <c r="AQ26" i="31"/>
  <c r="AT26" i="31"/>
  <c r="AR26" i="31"/>
  <c r="BJ26" i="31"/>
  <c r="BF26" i="31"/>
  <c r="CM26" i="31"/>
  <c r="CV26" i="25" s="1"/>
  <c r="R26" i="31"/>
  <c r="AA26" i="25" s="1"/>
  <c r="AU26" i="31"/>
  <c r="BI26" i="31"/>
  <c r="AA26" i="31"/>
  <c r="AJ26" i="25" s="1"/>
  <c r="CK26" i="31"/>
  <c r="CT26" i="25" s="1"/>
  <c r="AC26" i="31"/>
  <c r="AL26" i="25" s="1"/>
  <c r="BB26" i="31"/>
  <c r="N26" i="31"/>
  <c r="W26" i="25" s="1"/>
  <c r="BL26" i="31"/>
  <c r="CK26" i="37" s="1"/>
  <c r="AI26" i="31"/>
  <c r="S26" i="31"/>
  <c r="AB26" i="25" s="1"/>
  <c r="L26" i="31"/>
  <c r="U26" i="25" s="1"/>
  <c r="AY26" i="31"/>
  <c r="AN26" i="31"/>
  <c r="C26" i="31"/>
  <c r="BP26" i="31"/>
  <c r="CO26" i="37" s="1"/>
  <c r="K26" i="31"/>
  <c r="T26" i="25" s="1"/>
  <c r="Q26" i="31"/>
  <c r="Z26" i="25" s="1"/>
  <c r="AJ26" i="31"/>
  <c r="AE26" i="31"/>
  <c r="BE26" i="31"/>
  <c r="CJ26" i="31"/>
  <c r="CS26" i="25" s="1"/>
  <c r="AH26" i="31"/>
  <c r="F26" i="31"/>
  <c r="O26" i="25" s="1"/>
  <c r="D26" i="31"/>
  <c r="M26" i="25" s="1"/>
  <c r="AZ26" i="31"/>
  <c r="AL26" i="31"/>
  <c r="BG26" i="31"/>
  <c r="AV26" i="31"/>
  <c r="AO26" i="31"/>
  <c r="O26" i="31"/>
  <c r="X26" i="25" s="1"/>
  <c r="CG71" i="31"/>
  <c r="CP71" i="25" s="1"/>
  <c r="DS80" i="32"/>
  <c r="CC26" i="31"/>
  <c r="CL26" i="25" s="1"/>
  <c r="CD71" i="31"/>
  <c r="CM71" i="25" s="1"/>
  <c r="CC56" i="31"/>
  <c r="CL56" i="25" s="1"/>
  <c r="CY43" i="31"/>
  <c r="DH43" i="25" s="1"/>
  <c r="CV43" i="31"/>
  <c r="DE43" i="25" s="1"/>
  <c r="CS43" i="31"/>
  <c r="DB43" i="25" s="1"/>
  <c r="DA43" i="31"/>
  <c r="DJ43" i="25" s="1"/>
  <c r="CU43" i="31"/>
  <c r="DD43" i="25" s="1"/>
  <c r="CX43" i="31"/>
  <c r="DG43" i="25" s="1"/>
  <c r="CZ43" i="31"/>
  <c r="DI43" i="25" s="1"/>
  <c r="CM43" i="31"/>
  <c r="CV43" i="25" s="1"/>
  <c r="CP43" i="31"/>
  <c r="CY43" i="25" s="1"/>
  <c r="AI43" i="31"/>
  <c r="BP43" i="31"/>
  <c r="CO43" i="37" s="1"/>
  <c r="AH43" i="31"/>
  <c r="BE43" i="31"/>
  <c r="AS43" i="31"/>
  <c r="BO43" i="31"/>
  <c r="CN43" i="37" s="1"/>
  <c r="BN43" i="31"/>
  <c r="CM43" i="37" s="1"/>
  <c r="BG43" i="31"/>
  <c r="CQ43" i="31"/>
  <c r="CZ43" i="25" s="1"/>
  <c r="AJ43" i="31"/>
  <c r="BI43" i="31"/>
  <c r="BH43" i="31"/>
  <c r="Z43" i="31"/>
  <c r="AI43" i="25" s="1"/>
  <c r="BC43" i="31"/>
  <c r="AA43" i="31"/>
  <c r="AJ43" i="25" s="1"/>
  <c r="AW43" i="31"/>
  <c r="BJ43" i="31"/>
  <c r="AE43" i="31"/>
  <c r="AN43" i="25" s="1"/>
  <c r="AD43" i="31"/>
  <c r="AM43" i="25" s="1"/>
  <c r="BA43" i="31"/>
  <c r="S43" i="31"/>
  <c r="AB43" i="25" s="1"/>
  <c r="AZ43" i="31"/>
  <c r="AL43" i="31"/>
  <c r="AO43" i="31"/>
  <c r="BF43" i="31"/>
  <c r="P43" i="31"/>
  <c r="Y43" i="25" s="1"/>
  <c r="AU43" i="31"/>
  <c r="G43" i="31"/>
  <c r="P43" i="25" s="1"/>
  <c r="AT43" i="31"/>
  <c r="F43" i="31"/>
  <c r="O43" i="25" s="1"/>
  <c r="CI43" i="31"/>
  <c r="CR43" i="25" s="1"/>
  <c r="AR43" i="31"/>
  <c r="BB43" i="31"/>
  <c r="Q43" i="31"/>
  <c r="Z43" i="25" s="1"/>
  <c r="Y43" i="31"/>
  <c r="AH43" i="25" s="1"/>
  <c r="E43" i="31"/>
  <c r="N43" i="25" s="1"/>
  <c r="BD43" i="31"/>
  <c r="AX43" i="31"/>
  <c r="AN43" i="31"/>
  <c r="J43" i="31"/>
  <c r="S43" i="25" s="1"/>
  <c r="V43" i="31"/>
  <c r="AE43" i="25" s="1"/>
  <c r="AK43" i="31"/>
  <c r="AQ43" i="31"/>
  <c r="AP43" i="31"/>
  <c r="R43" i="31"/>
  <c r="AA43" i="25" s="1"/>
  <c r="U43" i="31"/>
  <c r="AD43" i="25" s="1"/>
  <c r="L43" i="31"/>
  <c r="U43" i="25" s="1"/>
  <c r="W43" i="31"/>
  <c r="AF43" i="25" s="1"/>
  <c r="T43" i="31"/>
  <c r="AC43" i="25" s="1"/>
  <c r="AV43" i="31"/>
  <c r="AM43" i="31"/>
  <c r="AY43" i="31"/>
  <c r="M43" i="31"/>
  <c r="V43" i="25" s="1"/>
  <c r="K43" i="31"/>
  <c r="T43" i="25" s="1"/>
  <c r="O43" i="31"/>
  <c r="X43" i="25" s="1"/>
  <c r="N43" i="31"/>
  <c r="W43" i="25" s="1"/>
  <c r="C43" i="31"/>
  <c r="D43" i="31"/>
  <c r="M43" i="25" s="1"/>
  <c r="H43" i="31"/>
  <c r="Q43" i="25" s="1"/>
  <c r="CJ43" i="31"/>
  <c r="CS43" i="25" s="1"/>
  <c r="AG43" i="31"/>
  <c r="BK43" i="31"/>
  <c r="CJ43" i="37" s="1"/>
  <c r="I43" i="31"/>
  <c r="R43" i="25" s="1"/>
  <c r="CL43" i="31"/>
  <c r="CU43" i="25" s="1"/>
  <c r="CK43" i="31"/>
  <c r="CT43" i="25" s="1"/>
  <c r="BM43" i="31"/>
  <c r="CL43" i="37" s="1"/>
  <c r="BL43" i="31"/>
  <c r="CK43" i="37" s="1"/>
  <c r="AC43" i="31"/>
  <c r="CN43" i="31"/>
  <c r="CW43" i="25" s="1"/>
  <c r="CD56" i="31"/>
  <c r="DS82" i="32"/>
  <c r="DA14" i="31"/>
  <c r="DJ14" i="25" s="1"/>
  <c r="CZ14" i="31"/>
  <c r="DI14" i="25" s="1"/>
  <c r="CU14" i="31"/>
  <c r="DD14" i="25" s="1"/>
  <c r="CX14" i="31"/>
  <c r="DG14" i="25" s="1"/>
  <c r="CY14" i="31"/>
  <c r="DH14" i="25" s="1"/>
  <c r="CV14" i="31"/>
  <c r="DE14" i="25" s="1"/>
  <c r="CS14" i="31"/>
  <c r="DB14" i="25" s="1"/>
  <c r="BM14" i="31"/>
  <c r="CL14" i="37" s="1"/>
  <c r="AL14" i="31"/>
  <c r="AY14" i="31"/>
  <c r="O14" i="31"/>
  <c r="X14" i="25" s="1"/>
  <c r="AN14" i="31"/>
  <c r="BC14" i="31"/>
  <c r="M14" i="31"/>
  <c r="V14" i="25" s="1"/>
  <c r="AR14" i="31"/>
  <c r="AH14" i="31"/>
  <c r="Y14" i="31"/>
  <c r="AH14" i="25" s="1"/>
  <c r="BE14" i="31"/>
  <c r="BL14" i="31"/>
  <c r="CK14" i="37" s="1"/>
  <c r="AO14" i="31"/>
  <c r="CN14" i="31"/>
  <c r="CW14" i="25" s="1"/>
  <c r="AU14" i="31"/>
  <c r="S14" i="31"/>
  <c r="AB14" i="25" s="1"/>
  <c r="Q14" i="31"/>
  <c r="Z14" i="25" s="1"/>
  <c r="AK14" i="31"/>
  <c r="CQ14" i="31"/>
  <c r="CZ14" i="25" s="1"/>
  <c r="AJ14" i="31"/>
  <c r="AI14" i="31"/>
  <c r="AS14" i="31"/>
  <c r="CJ14" i="31"/>
  <c r="CS14" i="25" s="1"/>
  <c r="V14" i="31"/>
  <c r="AE14" i="25" s="1"/>
  <c r="AD14" i="31"/>
  <c r="AM14" i="25" s="1"/>
  <c r="AQ14" i="31"/>
  <c r="BK14" i="31"/>
  <c r="CJ14" i="37" s="1"/>
  <c r="AX14" i="31"/>
  <c r="H14" i="31"/>
  <c r="Q14" i="25" s="1"/>
  <c r="BO14" i="31"/>
  <c r="CN14" i="37" s="1"/>
  <c r="AG14" i="31"/>
  <c r="BD14" i="31"/>
  <c r="T14" i="31"/>
  <c r="AC14" i="25" s="1"/>
  <c r="L14" i="31"/>
  <c r="U14" i="25" s="1"/>
  <c r="AC14" i="31"/>
  <c r="AL14" i="25" s="1"/>
  <c r="BA14" i="31"/>
  <c r="CP14" i="31"/>
  <c r="CY14" i="25" s="1"/>
  <c r="R14" i="31"/>
  <c r="AA14" i="25" s="1"/>
  <c r="BJ14" i="31"/>
  <c r="G14" i="31"/>
  <c r="P14" i="25" s="1"/>
  <c r="BN14" i="31"/>
  <c r="CM14" i="37" s="1"/>
  <c r="BP14" i="31"/>
  <c r="CO14" i="37" s="1"/>
  <c r="AV14" i="31"/>
  <c r="BH14" i="31"/>
  <c r="J14" i="31"/>
  <c r="S14" i="25" s="1"/>
  <c r="CK14" i="31"/>
  <c r="CT14" i="25" s="1"/>
  <c r="BF14" i="31"/>
  <c r="Z14" i="31"/>
  <c r="AI14" i="25" s="1"/>
  <c r="W14" i="31"/>
  <c r="AF14" i="25" s="1"/>
  <c r="BG14" i="31"/>
  <c r="BB14" i="31"/>
  <c r="N14" i="31"/>
  <c r="W14" i="25" s="1"/>
  <c r="K14" i="31"/>
  <c r="T14" i="25" s="1"/>
  <c r="AZ14" i="31"/>
  <c r="I14" i="31"/>
  <c r="R14" i="25" s="1"/>
  <c r="P14" i="31"/>
  <c r="Y14" i="25" s="1"/>
  <c r="CL14" i="31"/>
  <c r="CU14" i="25" s="1"/>
  <c r="AP14" i="31"/>
  <c r="AM14" i="31"/>
  <c r="CM14" i="31"/>
  <c r="CV14" i="25" s="1"/>
  <c r="AT14" i="31"/>
  <c r="AA14" i="31"/>
  <c r="AJ14" i="25" s="1"/>
  <c r="CI14" i="31"/>
  <c r="CR14" i="25" s="1"/>
  <c r="AW14" i="31"/>
  <c r="BI14" i="31"/>
  <c r="U14" i="31"/>
  <c r="AD14" i="25" s="1"/>
  <c r="AE14" i="31"/>
  <c r="AN14" i="25" s="1"/>
  <c r="CE6" i="31"/>
  <c r="CN6" i="25" s="1"/>
  <c r="CG43" i="31"/>
  <c r="CG56" i="31"/>
  <c r="CP56" i="25" s="1"/>
  <c r="CA24" i="31"/>
  <c r="CJ24" i="25" s="1"/>
  <c r="BY50" i="31"/>
  <c r="CH50" i="25" s="1"/>
  <c r="CA26" i="31"/>
  <c r="CJ26" i="25" s="1"/>
  <c r="AZ72" i="31"/>
  <c r="K72" i="31"/>
  <c r="T72" i="25" s="1"/>
  <c r="AW72" i="31"/>
  <c r="AE72" i="31"/>
  <c r="AN72" i="25" s="1"/>
  <c r="CP72" i="31"/>
  <c r="CY72" i="25" s="1"/>
  <c r="CZ72" i="31"/>
  <c r="BD72" i="31"/>
  <c r="U72" i="31"/>
  <c r="AD72" i="25" s="1"/>
  <c r="BI72" i="31"/>
  <c r="CK72" i="31"/>
  <c r="CT72" i="25" s="1"/>
  <c r="AI72" i="31"/>
  <c r="H72" i="31"/>
  <c r="Q72" i="25" s="1"/>
  <c r="AM72" i="31"/>
  <c r="AT72" i="31"/>
  <c r="BG72" i="31"/>
  <c r="CI72" i="31"/>
  <c r="CR72" i="25" s="1"/>
  <c r="M72" i="31"/>
  <c r="V72" i="25" s="1"/>
  <c r="CJ72" i="31"/>
  <c r="CS72" i="25" s="1"/>
  <c r="BC72" i="31"/>
  <c r="CM72" i="31"/>
  <c r="CV72" i="25" s="1"/>
  <c r="C72" i="31"/>
  <c r="AR72" i="31"/>
  <c r="BN72" i="31"/>
  <c r="CM72" i="37" s="1"/>
  <c r="CQ72" i="31"/>
  <c r="CZ72" i="25" s="1"/>
  <c r="E72" i="31"/>
  <c r="N72" i="25" s="1"/>
  <c r="G72" i="31"/>
  <c r="P72" i="25" s="1"/>
  <c r="AG72" i="31"/>
  <c r="I72" i="31"/>
  <c r="R72" i="25" s="1"/>
  <c r="AV72" i="31"/>
  <c r="AY72" i="31"/>
  <c r="AQ72" i="31"/>
  <c r="AL72" i="31"/>
  <c r="Z72" i="31"/>
  <c r="AI72" i="25" s="1"/>
  <c r="AS72" i="31"/>
  <c r="CY72" i="31"/>
  <c r="DH72" i="25" s="1"/>
  <c r="CN72" i="31"/>
  <c r="CW72" i="25" s="1"/>
  <c r="BK72" i="31"/>
  <c r="CJ72" i="37" s="1"/>
  <c r="BB72" i="31"/>
  <c r="W72" i="31"/>
  <c r="AF72" i="25" s="1"/>
  <c r="AP72" i="31"/>
  <c r="V72" i="31"/>
  <c r="AE72" i="25" s="1"/>
  <c r="BH72" i="31"/>
  <c r="O72" i="31"/>
  <c r="X72" i="25" s="1"/>
  <c r="S72" i="31"/>
  <c r="AB72" i="25" s="1"/>
  <c r="R72" i="31"/>
  <c r="AA72" i="25" s="1"/>
  <c r="AH72" i="31"/>
  <c r="J72" i="31"/>
  <c r="S72" i="25" s="1"/>
  <c r="AO72" i="31"/>
  <c r="AA72" i="31"/>
  <c r="AJ72" i="25" s="1"/>
  <c r="L72" i="31"/>
  <c r="U72" i="25" s="1"/>
  <c r="D72" i="31"/>
  <c r="M72" i="25" s="1"/>
  <c r="P72" i="31"/>
  <c r="Y72" i="25" s="1"/>
  <c r="AK72" i="31"/>
  <c r="AJ72" i="31"/>
  <c r="CL72" i="31"/>
  <c r="CU72" i="25" s="1"/>
  <c r="BO72" i="31"/>
  <c r="CN72" i="37" s="1"/>
  <c r="CU72" i="31"/>
  <c r="DD72" i="25" s="1"/>
  <c r="DA72" i="31"/>
  <c r="DJ72" i="25" s="1"/>
  <c r="CS72" i="31"/>
  <c r="DB72" i="25" s="1"/>
  <c r="N72" i="31"/>
  <c r="W72" i="25" s="1"/>
  <c r="BE72" i="31"/>
  <c r="AN72" i="31"/>
  <c r="Y72" i="31"/>
  <c r="AH72" i="25" s="1"/>
  <c r="AC72" i="31"/>
  <c r="AL72" i="25" s="1"/>
  <c r="CV72" i="31"/>
  <c r="DE72" i="25" s="1"/>
  <c r="T72" i="31"/>
  <c r="AC72" i="25" s="1"/>
  <c r="BF72" i="31"/>
  <c r="BL72" i="31"/>
  <c r="CK72" i="37" s="1"/>
  <c r="BA72" i="31"/>
  <c r="BM72" i="31"/>
  <c r="CL72" i="37" s="1"/>
  <c r="AX72" i="31"/>
  <c r="AD72" i="31"/>
  <c r="AM72" i="25" s="1"/>
  <c r="AU72" i="31"/>
  <c r="Q72" i="31"/>
  <c r="Z72" i="25" s="1"/>
  <c r="F72" i="31"/>
  <c r="O72" i="25" s="1"/>
  <c r="BJ72" i="31"/>
  <c r="CX72" i="31"/>
  <c r="DG72" i="25" s="1"/>
  <c r="BP72" i="31"/>
  <c r="CO72" i="37" s="1"/>
  <c r="CZ55" i="31"/>
  <c r="DI55" i="25" s="1"/>
  <c r="CY55" i="31"/>
  <c r="DH55" i="25" s="1"/>
  <c r="CS55" i="31"/>
  <c r="DB55" i="25" s="1"/>
  <c r="DA55" i="31"/>
  <c r="DJ55" i="25" s="1"/>
  <c r="CV55" i="31"/>
  <c r="DE55" i="25" s="1"/>
  <c r="CU55" i="31"/>
  <c r="DD55" i="25" s="1"/>
  <c r="CX55" i="31"/>
  <c r="DG55" i="25" s="1"/>
  <c r="CJ55" i="31"/>
  <c r="CS55" i="25" s="1"/>
  <c r="BJ55" i="31"/>
  <c r="W55" i="31"/>
  <c r="AF55" i="25" s="1"/>
  <c r="AT55" i="31"/>
  <c r="F55" i="31"/>
  <c r="O55" i="25" s="1"/>
  <c r="U55" i="31"/>
  <c r="AD55" i="25" s="1"/>
  <c r="BA55" i="31"/>
  <c r="CI55" i="31"/>
  <c r="CR55" i="25" s="1"/>
  <c r="O55" i="31"/>
  <c r="X55" i="25" s="1"/>
  <c r="AK55" i="31"/>
  <c r="T55" i="31"/>
  <c r="AC55" i="25" s="1"/>
  <c r="S55" i="31"/>
  <c r="AB55" i="25" s="1"/>
  <c r="BG55" i="31"/>
  <c r="AU55" i="31"/>
  <c r="G55" i="31"/>
  <c r="P55" i="25" s="1"/>
  <c r="BK55" i="31"/>
  <c r="CJ55" i="37" s="1"/>
  <c r="D55" i="31"/>
  <c r="M55" i="25" s="1"/>
  <c r="BO55" i="31"/>
  <c r="CN55" i="37" s="1"/>
  <c r="AS55" i="31"/>
  <c r="CM55" i="31"/>
  <c r="CV55" i="25" s="1"/>
  <c r="AN55" i="31"/>
  <c r="CP55" i="31"/>
  <c r="CY55" i="25" s="1"/>
  <c r="AI55" i="31"/>
  <c r="AD55" i="31"/>
  <c r="AY55" i="31"/>
  <c r="Q55" i="31"/>
  <c r="Z55" i="25" s="1"/>
  <c r="L55" i="31"/>
  <c r="U55" i="25" s="1"/>
  <c r="BL55" i="31"/>
  <c r="CK55" i="37" s="1"/>
  <c r="BB55" i="31"/>
  <c r="AL55" i="31"/>
  <c r="M55" i="31"/>
  <c r="V55" i="25" s="1"/>
  <c r="BE55" i="31"/>
  <c r="AV55" i="31"/>
  <c r="Y55" i="31"/>
  <c r="AH55" i="25" s="1"/>
  <c r="K55" i="31"/>
  <c r="T55" i="25" s="1"/>
  <c r="AZ55" i="31"/>
  <c r="E55" i="31"/>
  <c r="N55" i="25" s="1"/>
  <c r="H55" i="31"/>
  <c r="Q55" i="25" s="1"/>
  <c r="BD55" i="31"/>
  <c r="AO55" i="31"/>
  <c r="Z55" i="31"/>
  <c r="AI55" i="25" s="1"/>
  <c r="R55" i="31"/>
  <c r="AA55" i="25" s="1"/>
  <c r="AC55" i="31"/>
  <c r="AL55" i="25" s="1"/>
  <c r="BI55" i="31"/>
  <c r="AP55" i="31"/>
  <c r="CQ55" i="31"/>
  <c r="CZ55" i="25" s="1"/>
  <c r="AM55" i="31"/>
  <c r="V55" i="31"/>
  <c r="AE55" i="25" s="1"/>
  <c r="BN55" i="31"/>
  <c r="CM55" i="37" s="1"/>
  <c r="J55" i="31"/>
  <c r="S55" i="25" s="1"/>
  <c r="AG55" i="31"/>
  <c r="CK55" i="31"/>
  <c r="CT55" i="25" s="1"/>
  <c r="P55" i="31"/>
  <c r="Y55" i="25" s="1"/>
  <c r="AX55" i="31"/>
  <c r="BF55" i="31"/>
  <c r="C55" i="31"/>
  <c r="AE55" i="31"/>
  <c r="AN55" i="25" s="1"/>
  <c r="BH55" i="31"/>
  <c r="AW55" i="31"/>
  <c r="AR55" i="31"/>
  <c r="I55" i="31"/>
  <c r="R55" i="25" s="1"/>
  <c r="BP55" i="31"/>
  <c r="CO55" i="37" s="1"/>
  <c r="AJ55" i="31"/>
  <c r="BC55" i="31"/>
  <c r="N55" i="31"/>
  <c r="W55" i="25" s="1"/>
  <c r="AH55" i="31"/>
  <c r="AA55" i="31"/>
  <c r="AJ55" i="25" s="1"/>
  <c r="BM55" i="31"/>
  <c r="CL55" i="37" s="1"/>
  <c r="CN55" i="31"/>
  <c r="CW55" i="25" s="1"/>
  <c r="CL55" i="31"/>
  <c r="CU55" i="25" s="1"/>
  <c r="AQ55" i="31"/>
  <c r="CY28" i="31"/>
  <c r="DH28" i="25" s="1"/>
  <c r="CU28" i="31"/>
  <c r="DD28" i="25" s="1"/>
  <c r="DA28" i="31"/>
  <c r="DJ28" i="25" s="1"/>
  <c r="CV28" i="31"/>
  <c r="DE28" i="25" s="1"/>
  <c r="CS28" i="31"/>
  <c r="DB28" i="25" s="1"/>
  <c r="CZ28" i="31"/>
  <c r="DI28" i="25" s="1"/>
  <c r="CX28" i="31"/>
  <c r="DG28" i="25" s="1"/>
  <c r="CN28" i="31"/>
  <c r="CW28" i="25" s="1"/>
  <c r="H28" i="31"/>
  <c r="Q28" i="25" s="1"/>
  <c r="CM28" i="31"/>
  <c r="CV28" i="25" s="1"/>
  <c r="V28" i="31"/>
  <c r="AE28" i="25" s="1"/>
  <c r="D28" i="31"/>
  <c r="M28" i="25" s="1"/>
  <c r="BE28" i="31"/>
  <c r="AL28" i="31"/>
  <c r="AX28" i="31"/>
  <c r="AR28" i="31"/>
  <c r="P28" i="31"/>
  <c r="Y28" i="25" s="1"/>
  <c r="CP28" i="31"/>
  <c r="CY28" i="25" s="1"/>
  <c r="N28" i="31"/>
  <c r="W28" i="25" s="1"/>
  <c r="U28" i="31"/>
  <c r="AD28" i="25" s="1"/>
  <c r="BB28" i="31"/>
  <c r="AM28" i="31"/>
  <c r="BC28" i="31"/>
  <c r="BA28" i="31"/>
  <c r="AE28" i="31"/>
  <c r="F28" i="31"/>
  <c r="O28" i="25" s="1"/>
  <c r="L28" i="31"/>
  <c r="U28" i="25" s="1"/>
  <c r="AG28" i="31"/>
  <c r="AO28" i="31"/>
  <c r="AP28" i="31"/>
  <c r="BH28" i="31"/>
  <c r="S28" i="31"/>
  <c r="AB28" i="25" s="1"/>
  <c r="R28" i="31"/>
  <c r="AA28" i="25" s="1"/>
  <c r="I28" i="31"/>
  <c r="R28" i="25" s="1"/>
  <c r="G28" i="31"/>
  <c r="P28" i="25" s="1"/>
  <c r="CJ28" i="31"/>
  <c r="CS28" i="25" s="1"/>
  <c r="AW28" i="31"/>
  <c r="AH28" i="31"/>
  <c r="AS28" i="31"/>
  <c r="BJ28" i="31"/>
  <c r="W28" i="31"/>
  <c r="AF28" i="25" s="1"/>
  <c r="AC28" i="31"/>
  <c r="AL28" i="25" s="1"/>
  <c r="AU28" i="31"/>
  <c r="BN28" i="31"/>
  <c r="CM28" i="37" s="1"/>
  <c r="BG28" i="31"/>
  <c r="AD28" i="31"/>
  <c r="AM28" i="25" s="1"/>
  <c r="Y28" i="31"/>
  <c r="AH28" i="25" s="1"/>
  <c r="O28" i="31"/>
  <c r="X28" i="25" s="1"/>
  <c r="AA28" i="31"/>
  <c r="AJ28" i="25" s="1"/>
  <c r="BI28" i="31"/>
  <c r="AK28" i="31"/>
  <c r="CI28" i="31"/>
  <c r="CR28" i="25" s="1"/>
  <c r="BO28" i="31"/>
  <c r="CN28" i="37" s="1"/>
  <c r="J28" i="31"/>
  <c r="S28" i="25" s="1"/>
  <c r="CL28" i="31"/>
  <c r="CU28" i="25" s="1"/>
  <c r="AY28" i="31"/>
  <c r="BK28" i="31"/>
  <c r="CJ28" i="37" s="1"/>
  <c r="AZ28" i="31"/>
  <c r="BL28" i="31"/>
  <c r="CK28" i="37" s="1"/>
  <c r="AV28" i="31"/>
  <c r="CK28" i="31"/>
  <c r="CT28" i="25" s="1"/>
  <c r="AQ28" i="31"/>
  <c r="Z28" i="31"/>
  <c r="AI28" i="25" s="1"/>
  <c r="Q28" i="31"/>
  <c r="Z28" i="25" s="1"/>
  <c r="T28" i="31"/>
  <c r="AC28" i="25" s="1"/>
  <c r="BM28" i="31"/>
  <c r="CL28" i="37" s="1"/>
  <c r="AN28" i="31"/>
  <c r="BD28" i="31"/>
  <c r="K28" i="31"/>
  <c r="T28" i="25" s="1"/>
  <c r="CQ28" i="31"/>
  <c r="CZ28" i="25" s="1"/>
  <c r="M28" i="31"/>
  <c r="V28" i="25" s="1"/>
  <c r="BP28" i="31"/>
  <c r="CO28" i="37" s="1"/>
  <c r="AT28" i="31"/>
  <c r="C28" i="31"/>
  <c r="E28" i="31"/>
  <c r="N28" i="25" s="1"/>
  <c r="BF28" i="31"/>
  <c r="AJ28" i="31"/>
  <c r="AI28" i="31"/>
  <c r="CA29" i="31"/>
  <c r="CJ29" i="25" s="1"/>
  <c r="CS4" i="31"/>
  <c r="DB4" i="25" s="1"/>
  <c r="BB4" i="31"/>
  <c r="C4" i="31"/>
  <c r="N4" i="31"/>
  <c r="W4" i="25" s="1"/>
  <c r="AM4" i="31"/>
  <c r="F4" i="31"/>
  <c r="O4" i="25" s="1"/>
  <c r="BA4" i="31"/>
  <c r="BJ4" i="31"/>
  <c r="CJ4" i="31"/>
  <c r="CS4" i="25" s="1"/>
  <c r="AU4" i="31"/>
  <c r="AX4" i="31"/>
  <c r="AJ4" i="31"/>
  <c r="AQ4" i="31"/>
  <c r="L4" i="31"/>
  <c r="U4" i="25" s="1"/>
  <c r="AT4" i="31"/>
  <c r="CK4" i="31"/>
  <c r="CT4" i="25" s="1"/>
  <c r="AH4" i="31"/>
  <c r="CM4" i="31"/>
  <c r="CV4" i="25" s="1"/>
  <c r="AZ4" i="31"/>
  <c r="M4" i="31"/>
  <c r="V4" i="25" s="1"/>
  <c r="AO4" i="31"/>
  <c r="Z4" i="31"/>
  <c r="AI4" i="25" s="1"/>
  <c r="CQ4" i="31"/>
  <c r="CZ4" i="25" s="1"/>
  <c r="W4" i="31"/>
  <c r="AF4" i="25" s="1"/>
  <c r="CP4" i="31"/>
  <c r="CY4" i="25" s="1"/>
  <c r="CV4" i="31"/>
  <c r="DE4" i="25" s="1"/>
  <c r="V4" i="31"/>
  <c r="AE4" i="25" s="1"/>
  <c r="BM4" i="31"/>
  <c r="CL4" i="37" s="1"/>
  <c r="BE4" i="31"/>
  <c r="O4" i="31"/>
  <c r="X4" i="25" s="1"/>
  <c r="U4" i="31"/>
  <c r="AD4" i="25" s="1"/>
  <c r="AS4" i="31"/>
  <c r="BF4" i="31"/>
  <c r="Q4" i="31"/>
  <c r="Z4" i="25" s="1"/>
  <c r="Y4" i="31"/>
  <c r="AH4" i="25" s="1"/>
  <c r="K4" i="31"/>
  <c r="T4" i="25" s="1"/>
  <c r="AA4" i="31"/>
  <c r="AJ4" i="25" s="1"/>
  <c r="AE4" i="31"/>
  <c r="AN4" i="25" s="1"/>
  <c r="BI4" i="31"/>
  <c r="CN4" i="31"/>
  <c r="CW4" i="25" s="1"/>
  <c r="T4" i="31"/>
  <c r="AC4" i="25" s="1"/>
  <c r="I4" i="31"/>
  <c r="R4" i="25" s="1"/>
  <c r="BN4" i="31"/>
  <c r="CM4" i="37" s="1"/>
  <c r="AC4" i="31"/>
  <c r="AL4" i="25" s="1"/>
  <c r="CX4" i="31"/>
  <c r="DG4" i="25" s="1"/>
  <c r="S4" i="31"/>
  <c r="AB4" i="25" s="1"/>
  <c r="E4" i="31"/>
  <c r="N4" i="25" s="1"/>
  <c r="R4" i="31"/>
  <c r="AA4" i="25" s="1"/>
  <c r="CZ4" i="31"/>
  <c r="DI4" i="25" s="1"/>
  <c r="BL4" i="31"/>
  <c r="CK4" i="37" s="1"/>
  <c r="J4" i="31"/>
  <c r="S4" i="25" s="1"/>
  <c r="BG4" i="31"/>
  <c r="BC4" i="31"/>
  <c r="BD4" i="31"/>
  <c r="CL4" i="31"/>
  <c r="CU4" i="25" s="1"/>
  <c r="AL4" i="31"/>
  <c r="G4" i="31"/>
  <c r="P4" i="25" s="1"/>
  <c r="AG4" i="31"/>
  <c r="AW4" i="31"/>
  <c r="DA4" i="31"/>
  <c r="DJ4" i="25" s="1"/>
  <c r="D4" i="31"/>
  <c r="M4" i="25" s="1"/>
  <c r="AI4" i="31"/>
  <c r="BP4" i="31"/>
  <c r="CO4" i="37" s="1"/>
  <c r="AD4" i="31"/>
  <c r="AM4" i="25" s="1"/>
  <c r="BH4" i="31"/>
  <c r="BO4" i="31"/>
  <c r="CN4" i="37" s="1"/>
  <c r="P4" i="31"/>
  <c r="Y4" i="25" s="1"/>
  <c r="CU4" i="31"/>
  <c r="DD4" i="25" s="1"/>
  <c r="H4" i="31"/>
  <c r="Q4" i="25" s="1"/>
  <c r="AP4" i="31"/>
  <c r="CY4" i="31"/>
  <c r="DH4" i="25" s="1"/>
  <c r="AY4" i="31"/>
  <c r="CI4" i="31"/>
  <c r="CR4" i="25" s="1"/>
  <c r="AK4" i="31"/>
  <c r="AN4" i="31"/>
  <c r="AR4" i="31"/>
  <c r="BK4" i="31"/>
  <c r="CJ4" i="37" s="1"/>
  <c r="AV4" i="31"/>
  <c r="CB56" i="31"/>
  <c r="CK56" i="25" s="1"/>
  <c r="BZ4" i="31"/>
  <c r="CI4" i="25" s="1"/>
  <c r="CU34" i="31"/>
  <c r="DD34" i="25" s="1"/>
  <c r="CM34" i="31"/>
  <c r="CV34" i="25" s="1"/>
  <c r="AK34" i="31"/>
  <c r="BD34" i="31"/>
  <c r="CJ34" i="31"/>
  <c r="CS34" i="25" s="1"/>
  <c r="BN34" i="31"/>
  <c r="CM34" i="37" s="1"/>
  <c r="J34" i="31"/>
  <c r="S34" i="25" s="1"/>
  <c r="N34" i="31"/>
  <c r="W34" i="25" s="1"/>
  <c r="AG34" i="31"/>
  <c r="AO34" i="31"/>
  <c r="L34" i="31"/>
  <c r="U34" i="25" s="1"/>
  <c r="AI34" i="31"/>
  <c r="E34" i="31"/>
  <c r="N34" i="25" s="1"/>
  <c r="BJ34" i="31"/>
  <c r="CN34" i="31"/>
  <c r="CW34" i="25" s="1"/>
  <c r="D34" i="31"/>
  <c r="M34" i="25" s="1"/>
  <c r="CZ34" i="31"/>
  <c r="DI34" i="25" s="1"/>
  <c r="AH34" i="31"/>
  <c r="V34" i="31"/>
  <c r="AE34" i="25" s="1"/>
  <c r="AY34" i="31"/>
  <c r="M34" i="31"/>
  <c r="V34" i="25" s="1"/>
  <c r="AE34" i="31"/>
  <c r="AN34" i="25" s="1"/>
  <c r="CQ34" i="31"/>
  <c r="CZ34" i="25" s="1"/>
  <c r="H34" i="31"/>
  <c r="Q34" i="25" s="1"/>
  <c r="Q34" i="31"/>
  <c r="Z34" i="25" s="1"/>
  <c r="F34" i="31"/>
  <c r="O34" i="25" s="1"/>
  <c r="AC34" i="31"/>
  <c r="AX34" i="31"/>
  <c r="BH34" i="31"/>
  <c r="U34" i="31"/>
  <c r="AD34" i="25" s="1"/>
  <c r="AN34" i="31"/>
  <c r="BB34" i="31"/>
  <c r="AR34" i="31"/>
  <c r="AP34" i="31"/>
  <c r="CL34" i="31"/>
  <c r="CU34" i="25" s="1"/>
  <c r="BL34" i="31"/>
  <c r="CK34" i="37" s="1"/>
  <c r="K34" i="31"/>
  <c r="T34" i="25" s="1"/>
  <c r="AQ34" i="31"/>
  <c r="T34" i="31"/>
  <c r="AC34" i="25" s="1"/>
  <c r="CV34" i="31"/>
  <c r="DE34" i="25" s="1"/>
  <c r="P34" i="31"/>
  <c r="Y34" i="25" s="1"/>
  <c r="AS34" i="31"/>
  <c r="Y34" i="31"/>
  <c r="AH34" i="25" s="1"/>
  <c r="AW34" i="31"/>
  <c r="CK34" i="31"/>
  <c r="CT34" i="25" s="1"/>
  <c r="AZ34" i="31"/>
  <c r="W34" i="31"/>
  <c r="AF34" i="25" s="1"/>
  <c r="AA34" i="31"/>
  <c r="AJ34" i="25" s="1"/>
  <c r="DA34" i="31"/>
  <c r="DJ34" i="25" s="1"/>
  <c r="AV34" i="31"/>
  <c r="R34" i="31"/>
  <c r="AA34" i="25" s="1"/>
  <c r="BK34" i="31"/>
  <c r="CJ34" i="37" s="1"/>
  <c r="BC34" i="31"/>
  <c r="BA34" i="31"/>
  <c r="O34" i="31"/>
  <c r="X34" i="25" s="1"/>
  <c r="CY34" i="31"/>
  <c r="DH34" i="25" s="1"/>
  <c r="AM34" i="31"/>
  <c r="CI34" i="31"/>
  <c r="CR34" i="25" s="1"/>
  <c r="BM34" i="31"/>
  <c r="CL34" i="37" s="1"/>
  <c r="AU34" i="31"/>
  <c r="G34" i="31"/>
  <c r="P34" i="25" s="1"/>
  <c r="CX34" i="31"/>
  <c r="DG34" i="25" s="1"/>
  <c r="BP34" i="31"/>
  <c r="CO34" i="37" s="1"/>
  <c r="AD34" i="31"/>
  <c r="AM34" i="25" s="1"/>
  <c r="AJ34" i="31"/>
  <c r="C34" i="31"/>
  <c r="AL34" i="31"/>
  <c r="BG34" i="31"/>
  <c r="Z34" i="31"/>
  <c r="AI34" i="25" s="1"/>
  <c r="S34" i="31"/>
  <c r="AB34" i="25" s="1"/>
  <c r="BO34" i="31"/>
  <c r="CN34" i="37" s="1"/>
  <c r="AT34" i="31"/>
  <c r="CP34" i="31"/>
  <c r="CY34" i="25" s="1"/>
  <c r="CS34" i="31"/>
  <c r="DB34" i="25" s="1"/>
  <c r="BF34" i="31"/>
  <c r="BI34" i="31"/>
  <c r="BE34" i="31"/>
  <c r="I34" i="31"/>
  <c r="R34" i="25" s="1"/>
  <c r="CV37" i="31"/>
  <c r="DE37" i="25" s="1"/>
  <c r="CS37" i="31"/>
  <c r="DB37" i="25" s="1"/>
  <c r="CX37" i="31"/>
  <c r="DG37" i="25" s="1"/>
  <c r="DA37" i="31"/>
  <c r="DJ37" i="25" s="1"/>
  <c r="CU37" i="31"/>
  <c r="DD37" i="25" s="1"/>
  <c r="CZ37" i="31"/>
  <c r="DI37" i="25" s="1"/>
  <c r="CY37" i="31"/>
  <c r="DH37" i="25" s="1"/>
  <c r="CI37" i="31"/>
  <c r="CR37" i="25" s="1"/>
  <c r="BI37" i="31"/>
  <c r="BC37" i="31"/>
  <c r="BM37" i="31"/>
  <c r="CL37" i="37" s="1"/>
  <c r="AL37" i="31"/>
  <c r="AO37" i="31"/>
  <c r="AW37" i="31"/>
  <c r="AA37" i="31"/>
  <c r="AJ37" i="25" s="1"/>
  <c r="CM37" i="31"/>
  <c r="CV37" i="25" s="1"/>
  <c r="BP37" i="31"/>
  <c r="CO37" i="37" s="1"/>
  <c r="AH37" i="31"/>
  <c r="AS37" i="31"/>
  <c r="Z37" i="31"/>
  <c r="AI37" i="25" s="1"/>
  <c r="V37" i="31"/>
  <c r="AE37" i="25" s="1"/>
  <c r="AJ37" i="31"/>
  <c r="P37" i="31"/>
  <c r="Y37" i="25" s="1"/>
  <c r="Y37" i="31"/>
  <c r="AH37" i="25" s="1"/>
  <c r="CK37" i="31"/>
  <c r="CT37" i="25" s="1"/>
  <c r="AM37" i="31"/>
  <c r="AT37" i="31"/>
  <c r="AQ37" i="31"/>
  <c r="AP37" i="31"/>
  <c r="U37" i="31"/>
  <c r="AD37" i="25" s="1"/>
  <c r="K37" i="31"/>
  <c r="T37" i="25" s="1"/>
  <c r="BK37" i="31"/>
  <c r="CJ37" i="37" s="1"/>
  <c r="E37" i="31"/>
  <c r="N37" i="25" s="1"/>
  <c r="AV37" i="31"/>
  <c r="F37" i="31"/>
  <c r="O37" i="25" s="1"/>
  <c r="AU37" i="31"/>
  <c r="AG37" i="31"/>
  <c r="AN37" i="31"/>
  <c r="Q37" i="31"/>
  <c r="Z37" i="25" s="1"/>
  <c r="O37" i="31"/>
  <c r="X37" i="25" s="1"/>
  <c r="CL37" i="31"/>
  <c r="CU37" i="25" s="1"/>
  <c r="BO37" i="31"/>
  <c r="CN37" i="37" s="1"/>
  <c r="C37" i="31"/>
  <c r="R37" i="31"/>
  <c r="AA37" i="25" s="1"/>
  <c r="D37" i="31"/>
  <c r="M37" i="25" s="1"/>
  <c r="CJ37" i="31"/>
  <c r="CS37" i="25" s="1"/>
  <c r="AI37" i="31"/>
  <c r="BG37" i="31"/>
  <c r="AY37" i="31"/>
  <c r="BL37" i="31"/>
  <c r="CK37" i="37" s="1"/>
  <c r="BJ37" i="31"/>
  <c r="J37" i="31"/>
  <c r="S37" i="25" s="1"/>
  <c r="BH37" i="31"/>
  <c r="L37" i="31"/>
  <c r="U37" i="25" s="1"/>
  <c r="G37" i="31"/>
  <c r="P37" i="25" s="1"/>
  <c r="BF37" i="31"/>
  <c r="AE37" i="31"/>
  <c r="AN37" i="25" s="1"/>
  <c r="S37" i="31"/>
  <c r="AB37" i="25" s="1"/>
  <c r="AK37" i="31"/>
  <c r="AX37" i="31"/>
  <c r="BB37" i="31"/>
  <c r="H37" i="31"/>
  <c r="Q37" i="25" s="1"/>
  <c r="I37" i="31"/>
  <c r="R37" i="25" s="1"/>
  <c r="BA37" i="31"/>
  <c r="CP37" i="31"/>
  <c r="CY37" i="25" s="1"/>
  <c r="AZ37" i="31"/>
  <c r="W37" i="31"/>
  <c r="AF37" i="25" s="1"/>
  <c r="AR37" i="31"/>
  <c r="BD37" i="31"/>
  <c r="M37" i="31"/>
  <c r="V37" i="25" s="1"/>
  <c r="N37" i="31"/>
  <c r="W37" i="25" s="1"/>
  <c r="CQ37" i="31"/>
  <c r="CZ37" i="25" s="1"/>
  <c r="T37" i="31"/>
  <c r="AC37" i="25" s="1"/>
  <c r="BN37" i="31"/>
  <c r="CM37" i="37" s="1"/>
  <c r="AC37" i="31"/>
  <c r="BE37" i="31"/>
  <c r="CN37" i="31"/>
  <c r="CW37" i="25" s="1"/>
  <c r="AD37" i="31"/>
  <c r="AM37" i="25" s="1"/>
  <c r="CG37" i="31"/>
  <c r="CD74" i="31"/>
  <c r="CM74" i="25" s="1"/>
  <c r="CD4" i="31"/>
  <c r="CM4" i="25" s="1"/>
  <c r="CC74" i="31"/>
  <c r="CL74" i="25" s="1"/>
  <c r="CG26" i="31"/>
  <c r="CP26" i="25" s="1"/>
  <c r="BX56" i="31"/>
  <c r="CG56" i="25" s="1"/>
  <c r="BX59" i="31"/>
  <c r="CG59" i="25" s="1"/>
  <c r="BX6" i="31"/>
  <c r="CG6" i="25" s="1"/>
  <c r="CY8" i="31"/>
  <c r="DH8" i="25" s="1"/>
  <c r="DA8" i="31"/>
  <c r="DJ8" i="25" s="1"/>
  <c r="CZ8" i="31"/>
  <c r="DI8" i="25" s="1"/>
  <c r="CU8" i="31"/>
  <c r="DD8" i="25" s="1"/>
  <c r="CX8" i="31"/>
  <c r="DG8" i="25" s="1"/>
  <c r="CS8" i="31"/>
  <c r="DB8" i="25" s="1"/>
  <c r="CV8" i="31"/>
  <c r="DE8" i="25" s="1"/>
  <c r="CM8" i="31"/>
  <c r="CV8" i="25" s="1"/>
  <c r="BM8" i="31"/>
  <c r="CL8" i="37" s="1"/>
  <c r="AC8" i="31"/>
  <c r="AL8" i="25" s="1"/>
  <c r="J8" i="31"/>
  <c r="S8" i="25" s="1"/>
  <c r="Y8" i="31"/>
  <c r="AH8" i="25" s="1"/>
  <c r="F8" i="31"/>
  <c r="O8" i="25" s="1"/>
  <c r="BH8" i="31"/>
  <c r="CL8" i="31"/>
  <c r="CU8" i="25" s="1"/>
  <c r="AD8" i="31"/>
  <c r="AM8" i="25" s="1"/>
  <c r="AZ8" i="31"/>
  <c r="L8" i="31"/>
  <c r="U8" i="25" s="1"/>
  <c r="AN8" i="31"/>
  <c r="BG8" i="31"/>
  <c r="AO8" i="31"/>
  <c r="AI8" i="31"/>
  <c r="BI8" i="31"/>
  <c r="BF8" i="31"/>
  <c r="AW8" i="31"/>
  <c r="AQ8" i="31"/>
  <c r="BL8" i="31"/>
  <c r="CK8" i="37" s="1"/>
  <c r="D8" i="31"/>
  <c r="M8" i="25" s="1"/>
  <c r="AK8" i="31"/>
  <c r="AH8" i="31"/>
  <c r="AR8" i="31"/>
  <c r="BC8" i="31"/>
  <c r="G8" i="31"/>
  <c r="P8" i="25" s="1"/>
  <c r="V8" i="31"/>
  <c r="AE8" i="25" s="1"/>
  <c r="N8" i="31"/>
  <c r="W8" i="25" s="1"/>
  <c r="AL8" i="31"/>
  <c r="AV8" i="31"/>
  <c r="AY8" i="31"/>
  <c r="P8" i="31"/>
  <c r="Y8" i="25" s="1"/>
  <c r="K8" i="31"/>
  <c r="T8" i="25" s="1"/>
  <c r="CI8" i="31"/>
  <c r="CR8" i="25" s="1"/>
  <c r="BE8" i="31"/>
  <c r="AM8" i="31"/>
  <c r="BD8" i="31"/>
  <c r="R8" i="31"/>
  <c r="AA8" i="25" s="1"/>
  <c r="BB8" i="31"/>
  <c r="BO8" i="31"/>
  <c r="CN8" i="37" s="1"/>
  <c r="BP8" i="31"/>
  <c r="CO8" i="37" s="1"/>
  <c r="BA8" i="31"/>
  <c r="AP8" i="31"/>
  <c r="AJ8" i="31"/>
  <c r="Q8" i="31"/>
  <c r="Z8" i="25" s="1"/>
  <c r="BN8" i="31"/>
  <c r="CM8" i="37" s="1"/>
  <c r="AE8" i="31"/>
  <c r="AN8" i="25" s="1"/>
  <c r="T8" i="31"/>
  <c r="AC8" i="25" s="1"/>
  <c r="AA8" i="31"/>
  <c r="AJ8" i="25" s="1"/>
  <c r="Z8" i="31"/>
  <c r="AI8" i="25" s="1"/>
  <c r="W8" i="31"/>
  <c r="AF8" i="25" s="1"/>
  <c r="CP8" i="31"/>
  <c r="CY8" i="25" s="1"/>
  <c r="O8" i="31"/>
  <c r="X8" i="25" s="1"/>
  <c r="U8" i="31"/>
  <c r="AD8" i="25" s="1"/>
  <c r="I8" i="31"/>
  <c r="R8" i="25" s="1"/>
  <c r="CJ8" i="31"/>
  <c r="CS8" i="25" s="1"/>
  <c r="AS8" i="31"/>
  <c r="BK8" i="31"/>
  <c r="CJ8" i="37" s="1"/>
  <c r="S8" i="31"/>
  <c r="AB8" i="25" s="1"/>
  <c r="M8" i="31"/>
  <c r="V8" i="25" s="1"/>
  <c r="AG8" i="31"/>
  <c r="AU8" i="31"/>
  <c r="E8" i="31"/>
  <c r="N8" i="25" s="1"/>
  <c r="H8" i="31"/>
  <c r="Q8" i="25" s="1"/>
  <c r="CN8" i="31"/>
  <c r="CW8" i="25" s="1"/>
  <c r="CQ8" i="31"/>
  <c r="CZ8" i="25" s="1"/>
  <c r="C8" i="31"/>
  <c r="AT8" i="31"/>
  <c r="CK8" i="31"/>
  <c r="CT8" i="25" s="1"/>
  <c r="AX8" i="31"/>
  <c r="BJ8" i="31"/>
  <c r="BZ71" i="31"/>
  <c r="CI71" i="25" s="1"/>
  <c r="CE24" i="31"/>
  <c r="CN24" i="25" s="1"/>
  <c r="CZ12" i="31"/>
  <c r="DI12" i="25" s="1"/>
  <c r="CY12" i="31"/>
  <c r="DH12" i="25" s="1"/>
  <c r="CX12" i="31"/>
  <c r="DG12" i="25" s="1"/>
  <c r="CU12" i="31"/>
  <c r="DD12" i="25" s="1"/>
  <c r="CS12" i="31"/>
  <c r="DB12" i="25" s="1"/>
  <c r="CV12" i="31"/>
  <c r="DE12" i="25" s="1"/>
  <c r="DA12" i="31"/>
  <c r="DJ12" i="25" s="1"/>
  <c r="M12" i="31"/>
  <c r="V12" i="25" s="1"/>
  <c r="CP12" i="31"/>
  <c r="CY12" i="25" s="1"/>
  <c r="D12" i="31"/>
  <c r="M12" i="25" s="1"/>
  <c r="BK12" i="31"/>
  <c r="CJ12" i="37" s="1"/>
  <c r="AL12" i="31"/>
  <c r="CI12" i="31"/>
  <c r="CR12" i="25" s="1"/>
  <c r="AD12" i="31"/>
  <c r="AM12" i="25" s="1"/>
  <c r="E12" i="31"/>
  <c r="N12" i="25" s="1"/>
  <c r="T12" i="31"/>
  <c r="AC12" i="25" s="1"/>
  <c r="AA12" i="31"/>
  <c r="AJ12" i="25" s="1"/>
  <c r="O12" i="31"/>
  <c r="X12" i="25" s="1"/>
  <c r="BH12" i="31"/>
  <c r="BI12" i="31"/>
  <c r="AO12" i="31"/>
  <c r="AQ12" i="31"/>
  <c r="CQ12" i="31"/>
  <c r="CZ12" i="25" s="1"/>
  <c r="V12" i="31"/>
  <c r="AE12" i="25" s="1"/>
  <c r="CM12" i="31"/>
  <c r="CV12" i="25" s="1"/>
  <c r="I12" i="31"/>
  <c r="R12" i="25" s="1"/>
  <c r="Q12" i="31"/>
  <c r="Z12" i="25" s="1"/>
  <c r="K12" i="31"/>
  <c r="T12" i="25" s="1"/>
  <c r="BL12" i="31"/>
  <c r="CK12" i="37" s="1"/>
  <c r="AK12" i="31"/>
  <c r="AN12" i="31"/>
  <c r="AM12" i="31"/>
  <c r="AS12" i="31"/>
  <c r="P12" i="31"/>
  <c r="Y12" i="25" s="1"/>
  <c r="CN12" i="31"/>
  <c r="CW12" i="25" s="1"/>
  <c r="W12" i="31"/>
  <c r="AF12" i="25" s="1"/>
  <c r="G12" i="31"/>
  <c r="P12" i="25" s="1"/>
  <c r="L12" i="31"/>
  <c r="U12" i="25" s="1"/>
  <c r="AU12" i="31"/>
  <c r="BA12" i="31"/>
  <c r="BB12" i="31"/>
  <c r="BM12" i="31"/>
  <c r="CL12" i="37" s="1"/>
  <c r="BN12" i="31"/>
  <c r="CM12" i="37" s="1"/>
  <c r="N12" i="31"/>
  <c r="W12" i="25" s="1"/>
  <c r="CJ12" i="31"/>
  <c r="CS12" i="25" s="1"/>
  <c r="AG12" i="31"/>
  <c r="BC12" i="31"/>
  <c r="AR12" i="31"/>
  <c r="C12" i="31"/>
  <c r="AX12" i="31"/>
  <c r="F12" i="31"/>
  <c r="O12" i="25" s="1"/>
  <c r="S12" i="31"/>
  <c r="AB12" i="25" s="1"/>
  <c r="AP12" i="31"/>
  <c r="U12" i="31"/>
  <c r="AD12" i="25" s="1"/>
  <c r="BO12" i="31"/>
  <c r="CN12" i="37" s="1"/>
  <c r="CL12" i="31"/>
  <c r="CU12" i="25" s="1"/>
  <c r="AJ12" i="31"/>
  <c r="BG12" i="31"/>
  <c r="AC12" i="31"/>
  <c r="AL12" i="25" s="1"/>
  <c r="AE12" i="31"/>
  <c r="AN12" i="25" s="1"/>
  <c r="BE12" i="31"/>
  <c r="AY12" i="31"/>
  <c r="R12" i="31"/>
  <c r="AA12" i="25" s="1"/>
  <c r="AT12" i="31"/>
  <c r="BJ12" i="31"/>
  <c r="BD12" i="31"/>
  <c r="Y12" i="31"/>
  <c r="AH12" i="25" s="1"/>
  <c r="AW12" i="31"/>
  <c r="AZ12" i="31"/>
  <c r="H12" i="31"/>
  <c r="Q12" i="25" s="1"/>
  <c r="J12" i="31"/>
  <c r="S12" i="25" s="1"/>
  <c r="BP12" i="31"/>
  <c r="CO12" i="37" s="1"/>
  <c r="AI12" i="31"/>
  <c r="BF12" i="31"/>
  <c r="CK12" i="31"/>
  <c r="CT12" i="25" s="1"/>
  <c r="Z12" i="31"/>
  <c r="AI12" i="25" s="1"/>
  <c r="AV12" i="31"/>
  <c r="AH12" i="31"/>
  <c r="BJ65" i="31"/>
  <c r="T65" i="31"/>
  <c r="AC65" i="25" s="1"/>
  <c r="BC65" i="31"/>
  <c r="BA65" i="31"/>
  <c r="J65" i="31"/>
  <c r="S65" i="25" s="1"/>
  <c r="I65" i="31"/>
  <c r="R65" i="25" s="1"/>
  <c r="BD65" i="31"/>
  <c r="BI65" i="31"/>
  <c r="AK65" i="31"/>
  <c r="AZ65" i="31"/>
  <c r="CP65" i="31"/>
  <c r="CY65" i="25" s="1"/>
  <c r="AH65" i="31"/>
  <c r="N65" i="31"/>
  <c r="W65" i="25" s="1"/>
  <c r="V65" i="31"/>
  <c r="AE65" i="25" s="1"/>
  <c r="CZ65" i="31"/>
  <c r="AX65" i="31"/>
  <c r="CQ65" i="31"/>
  <c r="CZ65" i="25" s="1"/>
  <c r="DA65" i="31"/>
  <c r="DJ65" i="25" s="1"/>
  <c r="BN65" i="31"/>
  <c r="CM65" i="37" s="1"/>
  <c r="CU65" i="31"/>
  <c r="DD65" i="25" s="1"/>
  <c r="AI65" i="31"/>
  <c r="BO65" i="31"/>
  <c r="CN65" i="37" s="1"/>
  <c r="AN65" i="31"/>
  <c r="BH65" i="31"/>
  <c r="AR65" i="31"/>
  <c r="AD65" i="31"/>
  <c r="AM65" i="25" s="1"/>
  <c r="AG65" i="31"/>
  <c r="CN65" i="31"/>
  <c r="CW65" i="25" s="1"/>
  <c r="Y65" i="31"/>
  <c r="AH65" i="25" s="1"/>
  <c r="AC65" i="31"/>
  <c r="AL65" i="25" s="1"/>
  <c r="CM65" i="31"/>
  <c r="CV65" i="25" s="1"/>
  <c r="M65" i="31"/>
  <c r="V65" i="25" s="1"/>
  <c r="U65" i="31"/>
  <c r="AD65" i="25" s="1"/>
  <c r="BP65" i="31"/>
  <c r="CO65" i="37" s="1"/>
  <c r="AE65" i="31"/>
  <c r="AN65" i="25" s="1"/>
  <c r="BK65" i="31"/>
  <c r="CJ65" i="37" s="1"/>
  <c r="CJ65" i="31"/>
  <c r="CS65" i="25" s="1"/>
  <c r="E65" i="31"/>
  <c r="N65" i="25" s="1"/>
  <c r="G65" i="31"/>
  <c r="P65" i="25" s="1"/>
  <c r="AW65" i="31"/>
  <c r="R65" i="31"/>
  <c r="AA65" i="25" s="1"/>
  <c r="Z65" i="31"/>
  <c r="AI65" i="25" s="1"/>
  <c r="CX65" i="31"/>
  <c r="DG65" i="25" s="1"/>
  <c r="BM65" i="31"/>
  <c r="CL65" i="37" s="1"/>
  <c r="CI65" i="31"/>
  <c r="CR65" i="25" s="1"/>
  <c r="AQ65" i="31"/>
  <c r="P65" i="31"/>
  <c r="Y65" i="25" s="1"/>
  <c r="F65" i="31"/>
  <c r="O65" i="25" s="1"/>
  <c r="CK65" i="31"/>
  <c r="CT65" i="25" s="1"/>
  <c r="S65" i="31"/>
  <c r="AB65" i="25" s="1"/>
  <c r="W65" i="31"/>
  <c r="AF65" i="25" s="1"/>
  <c r="AM65" i="31"/>
  <c r="BB65" i="31"/>
  <c r="AJ65" i="31"/>
  <c r="AP65" i="31"/>
  <c r="CV65" i="31"/>
  <c r="DE65" i="25" s="1"/>
  <c r="K65" i="31"/>
  <c r="T65" i="25" s="1"/>
  <c r="BE65" i="31"/>
  <c r="AT65" i="31"/>
  <c r="C65" i="31"/>
  <c r="BG65" i="31"/>
  <c r="CY65" i="31"/>
  <c r="DH65" i="25" s="1"/>
  <c r="CL65" i="31"/>
  <c r="CU65" i="25" s="1"/>
  <c r="BL65" i="31"/>
  <c r="CK65" i="37" s="1"/>
  <c r="AO65" i="31"/>
  <c r="AS65" i="31"/>
  <c r="AA65" i="31"/>
  <c r="AJ65" i="25" s="1"/>
  <c r="O65" i="31"/>
  <c r="X65" i="25" s="1"/>
  <c r="AL65" i="31"/>
  <c r="D65" i="31"/>
  <c r="M65" i="25" s="1"/>
  <c r="AY65" i="31"/>
  <c r="L65" i="31"/>
  <c r="U65" i="25" s="1"/>
  <c r="AV65" i="31"/>
  <c r="H65" i="31"/>
  <c r="Q65" i="25" s="1"/>
  <c r="BF65" i="31"/>
  <c r="CS65" i="31"/>
  <c r="DB65" i="25" s="1"/>
  <c r="Q65" i="31"/>
  <c r="Z65" i="25" s="1"/>
  <c r="AU65" i="31"/>
  <c r="BZ26" i="31"/>
  <c r="CI26" i="25" s="1"/>
  <c r="CC37" i="31"/>
  <c r="CL37" i="25" s="1"/>
  <c r="CF24" i="31"/>
  <c r="CO24" i="25" s="1"/>
  <c r="CA56" i="31"/>
  <c r="CJ56" i="25" s="1"/>
  <c r="CY9" i="31"/>
  <c r="DH9" i="25" s="1"/>
  <c r="CU9" i="31"/>
  <c r="DD9" i="25" s="1"/>
  <c r="CS9" i="31"/>
  <c r="DB9" i="25" s="1"/>
  <c r="DA9" i="31"/>
  <c r="DJ9" i="25" s="1"/>
  <c r="CZ9" i="31"/>
  <c r="DI9" i="25" s="1"/>
  <c r="CX9" i="31"/>
  <c r="DG9" i="25" s="1"/>
  <c r="CV9" i="31"/>
  <c r="DE9" i="25" s="1"/>
  <c r="CJ9" i="31"/>
  <c r="CS9" i="25" s="1"/>
  <c r="BM9" i="31"/>
  <c r="CL9" i="37" s="1"/>
  <c r="AA9" i="31"/>
  <c r="AJ9" i="25" s="1"/>
  <c r="AW9" i="31"/>
  <c r="M9" i="31"/>
  <c r="V9" i="25" s="1"/>
  <c r="BP9" i="31"/>
  <c r="CO9" i="37" s="1"/>
  <c r="AH9" i="31"/>
  <c r="AR9" i="31"/>
  <c r="BB9" i="31"/>
  <c r="CI9" i="31"/>
  <c r="CR9" i="25" s="1"/>
  <c r="BE9" i="31"/>
  <c r="AZ9" i="31"/>
  <c r="V9" i="31"/>
  <c r="AE9" i="25" s="1"/>
  <c r="AO9" i="31"/>
  <c r="E9" i="31"/>
  <c r="N9" i="25" s="1"/>
  <c r="AI9" i="31"/>
  <c r="BH9" i="31"/>
  <c r="AG9" i="31"/>
  <c r="H9" i="31"/>
  <c r="Q9" i="25" s="1"/>
  <c r="BF9" i="31"/>
  <c r="AC9" i="31"/>
  <c r="AL9" i="25" s="1"/>
  <c r="AX9" i="31"/>
  <c r="N9" i="31"/>
  <c r="W9" i="25" s="1"/>
  <c r="BI9" i="31"/>
  <c r="AD9" i="31"/>
  <c r="AM9" i="25" s="1"/>
  <c r="AS9" i="31"/>
  <c r="CM9" i="31"/>
  <c r="CV9" i="25" s="1"/>
  <c r="AQ9" i="31"/>
  <c r="AP9" i="31"/>
  <c r="J9" i="31"/>
  <c r="S9" i="25" s="1"/>
  <c r="Q9" i="31"/>
  <c r="Z9" i="25" s="1"/>
  <c r="L9" i="31"/>
  <c r="U9" i="25" s="1"/>
  <c r="W9" i="31"/>
  <c r="AF9" i="25" s="1"/>
  <c r="Z9" i="31"/>
  <c r="AI9" i="25" s="1"/>
  <c r="K9" i="31"/>
  <c r="T9" i="25" s="1"/>
  <c r="R9" i="31"/>
  <c r="AA9" i="25" s="1"/>
  <c r="AV9" i="31"/>
  <c r="O9" i="31"/>
  <c r="X9" i="25" s="1"/>
  <c r="F9" i="31"/>
  <c r="O9" i="25" s="1"/>
  <c r="U9" i="31"/>
  <c r="AD9" i="25" s="1"/>
  <c r="C9" i="31"/>
  <c r="BO9" i="31"/>
  <c r="CN9" i="37" s="1"/>
  <c r="P9" i="31"/>
  <c r="Y9" i="25" s="1"/>
  <c r="G9" i="31"/>
  <c r="P9" i="25" s="1"/>
  <c r="AY9" i="31"/>
  <c r="Y9" i="31"/>
  <c r="AH9" i="25" s="1"/>
  <c r="D9" i="31"/>
  <c r="M9" i="25" s="1"/>
  <c r="AE9" i="31"/>
  <c r="AN9" i="25" s="1"/>
  <c r="BC9" i="31"/>
  <c r="BA9" i="31"/>
  <c r="AT9" i="31"/>
  <c r="BL9" i="31"/>
  <c r="CK9" i="37" s="1"/>
  <c r="AK9" i="31"/>
  <c r="S9" i="31"/>
  <c r="AB9" i="25" s="1"/>
  <c r="I9" i="31"/>
  <c r="R9" i="25" s="1"/>
  <c r="CQ9" i="31"/>
  <c r="CZ9" i="25" s="1"/>
  <c r="T9" i="31"/>
  <c r="AC9" i="25" s="1"/>
  <c r="BD9" i="31"/>
  <c r="BN9" i="31"/>
  <c r="CM9" i="37" s="1"/>
  <c r="BG9" i="31"/>
  <c r="CP9" i="31"/>
  <c r="CY9" i="25" s="1"/>
  <c r="AL9" i="31"/>
  <c r="AN9" i="31"/>
  <c r="CN9" i="31"/>
  <c r="CW9" i="25" s="1"/>
  <c r="BJ9" i="31"/>
  <c r="AU9" i="31"/>
  <c r="AM9" i="31"/>
  <c r="AJ9" i="31"/>
  <c r="CL9" i="31"/>
  <c r="CU9" i="25" s="1"/>
  <c r="BK9" i="31"/>
  <c r="CJ9" i="37" s="1"/>
  <c r="CK9" i="31"/>
  <c r="CT9" i="25" s="1"/>
  <c r="CC52" i="31"/>
  <c r="CL52" i="25" s="1"/>
  <c r="BX24" i="31"/>
  <c r="CG24" i="25" s="1"/>
  <c r="CC90" i="28"/>
  <c r="CG74" i="31"/>
  <c r="CP74" i="25" s="1"/>
  <c r="BY65" i="31"/>
  <c r="CH65" i="25" s="1"/>
  <c r="BZ53" i="31"/>
  <c r="CI53" i="25" s="1"/>
  <c r="CV54" i="31"/>
  <c r="DE54" i="25" s="1"/>
  <c r="CX54" i="31"/>
  <c r="DG54" i="25" s="1"/>
  <c r="CZ54" i="31"/>
  <c r="DI54" i="25" s="1"/>
  <c r="CS54" i="31"/>
  <c r="DB54" i="25" s="1"/>
  <c r="DA54" i="31"/>
  <c r="DJ54" i="25" s="1"/>
  <c r="CY54" i="31"/>
  <c r="DH54" i="25" s="1"/>
  <c r="CU54" i="31"/>
  <c r="DD54" i="25" s="1"/>
  <c r="BG54" i="31"/>
  <c r="BB54" i="31"/>
  <c r="T54" i="31"/>
  <c r="AC54" i="25" s="1"/>
  <c r="AQ54" i="31"/>
  <c r="C54" i="31"/>
  <c r="V54" i="31"/>
  <c r="AE54" i="25" s="1"/>
  <c r="CM54" i="31"/>
  <c r="CV54" i="25" s="1"/>
  <c r="CN54" i="31"/>
  <c r="CW54" i="25" s="1"/>
  <c r="AC54" i="31"/>
  <c r="AL54" i="25" s="1"/>
  <c r="L54" i="31"/>
  <c r="U54" i="25" s="1"/>
  <c r="AK54" i="31"/>
  <c r="W54" i="31"/>
  <c r="AF54" i="25" s="1"/>
  <c r="F54" i="31"/>
  <c r="O54" i="25" s="1"/>
  <c r="AL54" i="31"/>
  <c r="P54" i="31"/>
  <c r="Y54" i="25" s="1"/>
  <c r="CL54" i="31"/>
  <c r="CU54" i="25" s="1"/>
  <c r="BC54" i="31"/>
  <c r="U54" i="31"/>
  <c r="AD54" i="25" s="1"/>
  <c r="AR54" i="31"/>
  <c r="D54" i="31"/>
  <c r="M54" i="25" s="1"/>
  <c r="BK54" i="31"/>
  <c r="CJ54" i="37" s="1"/>
  <c r="AM54" i="31"/>
  <c r="AH54" i="31"/>
  <c r="G54" i="31"/>
  <c r="P54" i="25" s="1"/>
  <c r="BN54" i="31"/>
  <c r="CM54" i="37" s="1"/>
  <c r="Z54" i="31"/>
  <c r="AI54" i="25" s="1"/>
  <c r="AY54" i="31"/>
  <c r="Q54" i="31"/>
  <c r="Z54" i="25" s="1"/>
  <c r="O54" i="31"/>
  <c r="X54" i="25" s="1"/>
  <c r="BL54" i="31"/>
  <c r="CK54" i="37" s="1"/>
  <c r="AT54" i="31"/>
  <c r="AZ54" i="31"/>
  <c r="AP54" i="31"/>
  <c r="AV54" i="31"/>
  <c r="CJ54" i="31"/>
  <c r="CS54" i="25" s="1"/>
  <c r="AS54" i="31"/>
  <c r="Y54" i="31"/>
  <c r="AH54" i="25" s="1"/>
  <c r="N54" i="31"/>
  <c r="W54" i="25" s="1"/>
  <c r="BD54" i="31"/>
  <c r="CQ54" i="31"/>
  <c r="CZ54" i="25" s="1"/>
  <c r="CK54" i="31"/>
  <c r="CT54" i="25" s="1"/>
  <c r="M54" i="31"/>
  <c r="V54" i="25" s="1"/>
  <c r="BE54" i="31"/>
  <c r="AW54" i="31"/>
  <c r="BH54" i="31"/>
  <c r="CI54" i="31"/>
  <c r="CR54" i="25" s="1"/>
  <c r="E54" i="31"/>
  <c r="N54" i="25" s="1"/>
  <c r="BA54" i="31"/>
  <c r="AO54" i="31"/>
  <c r="AD54" i="31"/>
  <c r="BJ54" i="31"/>
  <c r="I54" i="31"/>
  <c r="R54" i="25" s="1"/>
  <c r="AX54" i="31"/>
  <c r="AJ54" i="31"/>
  <c r="BI54" i="31"/>
  <c r="H54" i="31"/>
  <c r="Q54" i="25" s="1"/>
  <c r="AI54" i="31"/>
  <c r="AE54" i="31"/>
  <c r="AN54" i="25" s="1"/>
  <c r="AU54" i="31"/>
  <c r="BO54" i="31"/>
  <c r="CN54" i="37" s="1"/>
  <c r="AA54" i="31"/>
  <c r="AJ54" i="25" s="1"/>
  <c r="CP54" i="31"/>
  <c r="CY54" i="25" s="1"/>
  <c r="BM54" i="31"/>
  <c r="CL54" i="37" s="1"/>
  <c r="R54" i="31"/>
  <c r="AA54" i="25" s="1"/>
  <c r="J54" i="31"/>
  <c r="S54" i="25" s="1"/>
  <c r="AG54" i="31"/>
  <c r="BF54" i="31"/>
  <c r="AN54" i="31"/>
  <c r="S54" i="31"/>
  <c r="AB54" i="25" s="1"/>
  <c r="K54" i="31"/>
  <c r="T54" i="25" s="1"/>
  <c r="BP54" i="31"/>
  <c r="CO54" i="37" s="1"/>
  <c r="CF65" i="31"/>
  <c r="CO65" i="25" s="1"/>
  <c r="CS23" i="31"/>
  <c r="DB23" i="25" s="1"/>
  <c r="CU23" i="31"/>
  <c r="DD23" i="25" s="1"/>
  <c r="CX23" i="31"/>
  <c r="DG23" i="25" s="1"/>
  <c r="CZ23" i="31"/>
  <c r="DI23" i="25" s="1"/>
  <c r="CY23" i="31"/>
  <c r="DH23" i="25" s="1"/>
  <c r="DA23" i="31"/>
  <c r="DJ23" i="25" s="1"/>
  <c r="CV23" i="31"/>
  <c r="DE23" i="25" s="1"/>
  <c r="BG23" i="31"/>
  <c r="BB23" i="31"/>
  <c r="T23" i="31"/>
  <c r="AC23" i="25" s="1"/>
  <c r="AX23" i="31"/>
  <c r="J23" i="31"/>
  <c r="S23" i="25" s="1"/>
  <c r="BD23" i="31"/>
  <c r="AQ23" i="31"/>
  <c r="BK23" i="31"/>
  <c r="CJ23" i="37" s="1"/>
  <c r="AN23" i="31"/>
  <c r="AH23" i="31"/>
  <c r="CJ23" i="31"/>
  <c r="CS23" i="25" s="1"/>
  <c r="BC23" i="31"/>
  <c r="U23" i="31"/>
  <c r="AD23" i="25" s="1"/>
  <c r="AR23" i="31"/>
  <c r="D23" i="31"/>
  <c r="M23" i="25" s="1"/>
  <c r="BI23" i="31"/>
  <c r="I23" i="31"/>
  <c r="R23" i="25" s="1"/>
  <c r="BM23" i="31"/>
  <c r="CL23" i="37" s="1"/>
  <c r="CM23" i="31"/>
  <c r="CV23" i="25" s="1"/>
  <c r="CI23" i="31"/>
  <c r="CR23" i="25" s="1"/>
  <c r="AM23" i="31"/>
  <c r="AO23" i="31"/>
  <c r="BJ23" i="31"/>
  <c r="AV23" i="31"/>
  <c r="CN23" i="31"/>
  <c r="CW23" i="25" s="1"/>
  <c r="BO23" i="31"/>
  <c r="CN23" i="37" s="1"/>
  <c r="E23" i="31"/>
  <c r="N23" i="25" s="1"/>
  <c r="AA23" i="31"/>
  <c r="AJ23" i="25" s="1"/>
  <c r="AI23" i="31"/>
  <c r="F23" i="31"/>
  <c r="O23" i="25" s="1"/>
  <c r="AJ23" i="31"/>
  <c r="CL23" i="31"/>
  <c r="CU23" i="25" s="1"/>
  <c r="BN23" i="31"/>
  <c r="CM23" i="37" s="1"/>
  <c r="L23" i="31"/>
  <c r="U23" i="25" s="1"/>
  <c r="AE23" i="31"/>
  <c r="BE23" i="31"/>
  <c r="Q23" i="31"/>
  <c r="Z23" i="25" s="1"/>
  <c r="P23" i="31"/>
  <c r="Y23" i="25" s="1"/>
  <c r="BF23" i="31"/>
  <c r="BA23" i="31"/>
  <c r="Y23" i="31"/>
  <c r="AH23" i="25" s="1"/>
  <c r="C23" i="31"/>
  <c r="CK23" i="31"/>
  <c r="CT23" i="25" s="1"/>
  <c r="R23" i="31"/>
  <c r="AA23" i="25" s="1"/>
  <c r="AZ23" i="31"/>
  <c r="AU23" i="31"/>
  <c r="AL23" i="31"/>
  <c r="AK23" i="31"/>
  <c r="G23" i="31"/>
  <c r="P23" i="25" s="1"/>
  <c r="AP23" i="31"/>
  <c r="W23" i="31"/>
  <c r="AF23" i="25" s="1"/>
  <c r="S23" i="31"/>
  <c r="AB23" i="25" s="1"/>
  <c r="AY23" i="31"/>
  <c r="BP23" i="31"/>
  <c r="CO23" i="37" s="1"/>
  <c r="AS23" i="31"/>
  <c r="O23" i="31"/>
  <c r="X23" i="25" s="1"/>
  <c r="N23" i="31"/>
  <c r="W23" i="25" s="1"/>
  <c r="AC23" i="31"/>
  <c r="AL23" i="25" s="1"/>
  <c r="BH23" i="31"/>
  <c r="CQ23" i="31"/>
  <c r="CZ23" i="25" s="1"/>
  <c r="V23" i="31"/>
  <c r="AE23" i="25" s="1"/>
  <c r="M23" i="31"/>
  <c r="V23" i="25" s="1"/>
  <c r="AT23" i="31"/>
  <c r="AD23" i="31"/>
  <c r="AM23" i="25" s="1"/>
  <c r="Z23" i="31"/>
  <c r="AI23" i="25" s="1"/>
  <c r="BL23" i="31"/>
  <c r="CK23" i="37" s="1"/>
  <c r="K23" i="31"/>
  <c r="T23" i="25" s="1"/>
  <c r="AW23" i="31"/>
  <c r="H23" i="31"/>
  <c r="Q23" i="25" s="1"/>
  <c r="AG23" i="31"/>
  <c r="CP23" i="31"/>
  <c r="CY23" i="25" s="1"/>
  <c r="CB34" i="31"/>
  <c r="CK34" i="25" s="1"/>
  <c r="BY71" i="31"/>
  <c r="CH71" i="25" s="1"/>
  <c r="CB64" i="31"/>
  <c r="CK64" i="25" s="1"/>
  <c r="CE53" i="31"/>
  <c r="CY7" i="31"/>
  <c r="DH7" i="25" s="1"/>
  <c r="CZ7" i="31"/>
  <c r="DI7" i="25" s="1"/>
  <c r="DA7" i="31"/>
  <c r="DJ7" i="25" s="1"/>
  <c r="CU7" i="31"/>
  <c r="DD7" i="25" s="1"/>
  <c r="CX7" i="31"/>
  <c r="DG7" i="25" s="1"/>
  <c r="CS7" i="31"/>
  <c r="DB7" i="25" s="1"/>
  <c r="CV7" i="31"/>
  <c r="DE7" i="25" s="1"/>
  <c r="CK7" i="31"/>
  <c r="CT7" i="25" s="1"/>
  <c r="BG7" i="31"/>
  <c r="BB7" i="31"/>
  <c r="K7" i="31"/>
  <c r="T7" i="25" s="1"/>
  <c r="AO7" i="31"/>
  <c r="CQ7" i="31"/>
  <c r="CZ7" i="25" s="1"/>
  <c r="AT7" i="31"/>
  <c r="BI7" i="31"/>
  <c r="BJ7" i="31"/>
  <c r="CI7" i="31"/>
  <c r="CR7" i="25" s="1"/>
  <c r="CJ7" i="31"/>
  <c r="CS7" i="25" s="1"/>
  <c r="BC7" i="31"/>
  <c r="U7" i="31"/>
  <c r="AD7" i="25" s="1"/>
  <c r="AR7" i="31"/>
  <c r="L7" i="31"/>
  <c r="U7" i="25" s="1"/>
  <c r="AK7" i="31"/>
  <c r="R7" i="31"/>
  <c r="AA7" i="25" s="1"/>
  <c r="AI7" i="31"/>
  <c r="BH7" i="31"/>
  <c r="AH7" i="31"/>
  <c r="V7" i="31"/>
  <c r="AE7" i="25" s="1"/>
  <c r="AD7" i="31"/>
  <c r="AM7" i="25" s="1"/>
  <c r="CN7" i="31"/>
  <c r="CW7" i="25" s="1"/>
  <c r="BO7" i="31"/>
  <c r="CN7" i="37" s="1"/>
  <c r="M7" i="31"/>
  <c r="V7" i="25" s="1"/>
  <c r="BA7" i="31"/>
  <c r="BK7" i="31"/>
  <c r="CJ7" i="37" s="1"/>
  <c r="AC7" i="31"/>
  <c r="AL7" i="25" s="1"/>
  <c r="F7" i="31"/>
  <c r="O7" i="25" s="1"/>
  <c r="N7" i="31"/>
  <c r="W7" i="25" s="1"/>
  <c r="G7" i="31"/>
  <c r="P7" i="25" s="1"/>
  <c r="BN7" i="31"/>
  <c r="CM7" i="37" s="1"/>
  <c r="T7" i="31"/>
  <c r="AC7" i="25" s="1"/>
  <c r="O7" i="31"/>
  <c r="X7" i="25" s="1"/>
  <c r="AM7" i="31"/>
  <c r="BP7" i="31"/>
  <c r="CO7" i="37" s="1"/>
  <c r="BD7" i="31"/>
  <c r="P7" i="31"/>
  <c r="Y7" i="25" s="1"/>
  <c r="BF7" i="31"/>
  <c r="D7" i="31"/>
  <c r="M7" i="25" s="1"/>
  <c r="AE7" i="31"/>
  <c r="AN7" i="25" s="1"/>
  <c r="AU7" i="31"/>
  <c r="AP7" i="31"/>
  <c r="CL7" i="31"/>
  <c r="CU7" i="25" s="1"/>
  <c r="S7" i="31"/>
  <c r="AB7" i="25" s="1"/>
  <c r="I7" i="31"/>
  <c r="R7" i="25" s="1"/>
  <c r="CP7" i="31"/>
  <c r="CY7" i="25" s="1"/>
  <c r="AX7" i="31"/>
  <c r="BE7" i="31"/>
  <c r="W7" i="31"/>
  <c r="AF7" i="25" s="1"/>
  <c r="AG7" i="31"/>
  <c r="C7" i="31"/>
  <c r="J7" i="31"/>
  <c r="S7" i="25" s="1"/>
  <c r="H7" i="31"/>
  <c r="Q7" i="25" s="1"/>
  <c r="AY7" i="31"/>
  <c r="AV7" i="31"/>
  <c r="Y7" i="31"/>
  <c r="AH7" i="25" s="1"/>
  <c r="BM7" i="31"/>
  <c r="CL7" i="37" s="1"/>
  <c r="AN7" i="31"/>
  <c r="E7" i="31"/>
  <c r="N7" i="25" s="1"/>
  <c r="AJ7" i="31"/>
  <c r="AZ7" i="31"/>
  <c r="Z7" i="31"/>
  <c r="AI7" i="25" s="1"/>
  <c r="Q7" i="31"/>
  <c r="Z7" i="25" s="1"/>
  <c r="BL7" i="31"/>
  <c r="CK7" i="37" s="1"/>
  <c r="AL7" i="31"/>
  <c r="AQ7" i="31"/>
  <c r="AA7" i="31"/>
  <c r="AJ7" i="25" s="1"/>
  <c r="CM7" i="31"/>
  <c r="CV7" i="25" s="1"/>
  <c r="AW7" i="31"/>
  <c r="AS7" i="31"/>
  <c r="CF6" i="31"/>
  <c r="CO6" i="25" s="1"/>
  <c r="CE23" i="31"/>
  <c r="CN23" i="25" s="1"/>
  <c r="CE55" i="31"/>
  <c r="BY4" i="31"/>
  <c r="CH4" i="25" s="1"/>
  <c r="BZ64" i="31"/>
  <c r="CI64" i="25" s="1"/>
  <c r="AQ66" i="31"/>
  <c r="AS66" i="31"/>
  <c r="BA66" i="31"/>
  <c r="AY66" i="31"/>
  <c r="R66" i="31"/>
  <c r="AA66" i="25" s="1"/>
  <c r="DA66" i="31"/>
  <c r="DJ66" i="25" s="1"/>
  <c r="AG66" i="31"/>
  <c r="O66" i="31"/>
  <c r="X66" i="25" s="1"/>
  <c r="S66" i="31"/>
  <c r="AB66" i="25" s="1"/>
  <c r="BK66" i="31"/>
  <c r="CJ66" i="37" s="1"/>
  <c r="BG66" i="31"/>
  <c r="C66" i="31"/>
  <c r="AI66" i="31"/>
  <c r="AZ66" i="31"/>
  <c r="CL66" i="31"/>
  <c r="CU66" i="25" s="1"/>
  <c r="AT66" i="31"/>
  <c r="T66" i="31"/>
  <c r="AC66" i="25" s="1"/>
  <c r="BE66" i="31"/>
  <c r="V66" i="31"/>
  <c r="AE66" i="25" s="1"/>
  <c r="AA66" i="31"/>
  <c r="AJ66" i="25" s="1"/>
  <c r="CI66" i="31"/>
  <c r="CR66" i="25" s="1"/>
  <c r="AN66" i="31"/>
  <c r="AL66" i="31"/>
  <c r="E66" i="31"/>
  <c r="N66" i="25" s="1"/>
  <c r="CU66" i="31"/>
  <c r="DD66" i="25" s="1"/>
  <c r="AC66" i="31"/>
  <c r="AL66" i="25" s="1"/>
  <c r="CX66" i="31"/>
  <c r="DG66" i="25" s="1"/>
  <c r="CM66" i="31"/>
  <c r="CV66" i="25" s="1"/>
  <c r="H66" i="31"/>
  <c r="Q66" i="25" s="1"/>
  <c r="P66" i="31"/>
  <c r="Y66" i="25" s="1"/>
  <c r="K66" i="31"/>
  <c r="T66" i="25" s="1"/>
  <c r="U66" i="31"/>
  <c r="AD66" i="25" s="1"/>
  <c r="CJ66" i="31"/>
  <c r="CS66" i="25" s="1"/>
  <c r="BH66" i="31"/>
  <c r="I66" i="31"/>
  <c r="R66" i="25" s="1"/>
  <c r="BB66" i="31"/>
  <c r="BL66" i="31"/>
  <c r="CK66" i="37" s="1"/>
  <c r="BM66" i="31"/>
  <c r="CL66" i="37" s="1"/>
  <c r="CS66" i="31"/>
  <c r="DB66" i="25" s="1"/>
  <c r="CQ66" i="31"/>
  <c r="CZ66" i="25" s="1"/>
  <c r="CN66" i="31"/>
  <c r="CW66" i="25" s="1"/>
  <c r="AO66" i="31"/>
  <c r="BJ66" i="31"/>
  <c r="CV66" i="31"/>
  <c r="DE66" i="25" s="1"/>
  <c r="AK66" i="31"/>
  <c r="CY66" i="31"/>
  <c r="DH66" i="25" s="1"/>
  <c r="AX66" i="31"/>
  <c r="AR66" i="31"/>
  <c r="BD66" i="31"/>
  <c r="CZ66" i="31"/>
  <c r="AU66" i="31"/>
  <c r="AM66" i="31"/>
  <c r="G66" i="31"/>
  <c r="P66" i="25" s="1"/>
  <c r="J66" i="31"/>
  <c r="S66" i="25" s="1"/>
  <c r="BC66" i="31"/>
  <c r="F66" i="31"/>
  <c r="O66" i="25" s="1"/>
  <c r="AP66" i="31"/>
  <c r="N66" i="31"/>
  <c r="W66" i="25" s="1"/>
  <c r="AE66" i="31"/>
  <c r="AN66" i="25" s="1"/>
  <c r="D66" i="31"/>
  <c r="M66" i="25" s="1"/>
  <c r="BF66" i="31"/>
  <c r="Q66" i="31"/>
  <c r="Z66" i="25" s="1"/>
  <c r="BP66" i="31"/>
  <c r="CO66" i="37" s="1"/>
  <c r="M66" i="31"/>
  <c r="V66" i="25" s="1"/>
  <c r="AW66" i="31"/>
  <c r="L66" i="31"/>
  <c r="U66" i="25" s="1"/>
  <c r="BI66" i="31"/>
  <c r="W66" i="31"/>
  <c r="AF66" i="25" s="1"/>
  <c r="CP66" i="31"/>
  <c r="CY66" i="25" s="1"/>
  <c r="Z66" i="31"/>
  <c r="AI66" i="25" s="1"/>
  <c r="AH66" i="31"/>
  <c r="AV66" i="31"/>
  <c r="CK66" i="31"/>
  <c r="CT66" i="25" s="1"/>
  <c r="AJ66" i="31"/>
  <c r="BN66" i="31"/>
  <c r="CM66" i="37" s="1"/>
  <c r="AD66" i="31"/>
  <c r="AM66" i="25" s="1"/>
  <c r="Y66" i="31"/>
  <c r="AH66" i="25" s="1"/>
  <c r="BO66" i="31"/>
  <c r="CN66" i="37" s="1"/>
  <c r="CX49" i="31"/>
  <c r="DG49" i="25" s="1"/>
  <c r="AM49" i="31"/>
  <c r="BE49" i="31"/>
  <c r="E49" i="31"/>
  <c r="N49" i="25" s="1"/>
  <c r="CI49" i="31"/>
  <c r="CR49" i="25" s="1"/>
  <c r="AN49" i="31"/>
  <c r="BB49" i="31"/>
  <c r="CK49" i="31"/>
  <c r="CT49" i="25" s="1"/>
  <c r="D49" i="31"/>
  <c r="M49" i="25" s="1"/>
  <c r="M49" i="31"/>
  <c r="V49" i="25" s="1"/>
  <c r="AT49" i="31"/>
  <c r="V49" i="31"/>
  <c r="AE49" i="25" s="1"/>
  <c r="N49" i="31"/>
  <c r="W49" i="25" s="1"/>
  <c r="G49" i="31"/>
  <c r="P49" i="25" s="1"/>
  <c r="T49" i="31"/>
  <c r="AC49" i="25" s="1"/>
  <c r="CZ49" i="31"/>
  <c r="DI49" i="25" s="1"/>
  <c r="Q49" i="31"/>
  <c r="Z49" i="25" s="1"/>
  <c r="BJ49" i="31"/>
  <c r="AG49" i="31"/>
  <c r="CY49" i="31"/>
  <c r="DH49" i="25" s="1"/>
  <c r="L49" i="31"/>
  <c r="U49" i="25" s="1"/>
  <c r="BP49" i="31"/>
  <c r="CO49" i="37" s="1"/>
  <c r="BK49" i="31"/>
  <c r="CJ49" i="37" s="1"/>
  <c r="AI49" i="31"/>
  <c r="AW49" i="31"/>
  <c r="AJ49" i="31"/>
  <c r="W49" i="31"/>
  <c r="AF49" i="25" s="1"/>
  <c r="BG49" i="31"/>
  <c r="O49" i="31"/>
  <c r="X49" i="25" s="1"/>
  <c r="AY49" i="31"/>
  <c r="CQ49" i="31"/>
  <c r="CZ49" i="25" s="1"/>
  <c r="CU49" i="31"/>
  <c r="DD49" i="25" s="1"/>
  <c r="AH49" i="31"/>
  <c r="AV49" i="31"/>
  <c r="BD49" i="31"/>
  <c r="I49" i="31"/>
  <c r="R49" i="25" s="1"/>
  <c r="C49" i="31"/>
  <c r="DA49" i="31"/>
  <c r="DJ49" i="25" s="1"/>
  <c r="CP49" i="31"/>
  <c r="CY49" i="25" s="1"/>
  <c r="CJ49" i="31"/>
  <c r="CS49" i="25" s="1"/>
  <c r="AS49" i="31"/>
  <c r="AA49" i="31"/>
  <c r="AJ49" i="25" s="1"/>
  <c r="AC49" i="31"/>
  <c r="AL49" i="25" s="1"/>
  <c r="Y49" i="31"/>
  <c r="AH49" i="25" s="1"/>
  <c r="AO49" i="31"/>
  <c r="CL49" i="31"/>
  <c r="CU49" i="25" s="1"/>
  <c r="AR49" i="31"/>
  <c r="BN49" i="31"/>
  <c r="CM49" i="37" s="1"/>
  <c r="CV49" i="31"/>
  <c r="DE49" i="25" s="1"/>
  <c r="H49" i="31"/>
  <c r="Q49" i="25" s="1"/>
  <c r="BF49" i="31"/>
  <c r="AX49" i="31"/>
  <c r="AD49" i="31"/>
  <c r="BC49" i="31"/>
  <c r="AE49" i="31"/>
  <c r="AN49" i="25" s="1"/>
  <c r="AQ49" i="31"/>
  <c r="F49" i="31"/>
  <c r="O49" i="25" s="1"/>
  <c r="BA49" i="31"/>
  <c r="CS49" i="31"/>
  <c r="DB49" i="25" s="1"/>
  <c r="BI49" i="31"/>
  <c r="BM49" i="31"/>
  <c r="CL49" i="37" s="1"/>
  <c r="BO49" i="31"/>
  <c r="CN49" i="37" s="1"/>
  <c r="AZ49" i="31"/>
  <c r="K49" i="31"/>
  <c r="T49" i="25" s="1"/>
  <c r="U49" i="31"/>
  <c r="AD49" i="25" s="1"/>
  <c r="CM49" i="31"/>
  <c r="CV49" i="25" s="1"/>
  <c r="BL49" i="31"/>
  <c r="CK49" i="37" s="1"/>
  <c r="AL49" i="31"/>
  <c r="AK49" i="31"/>
  <c r="BH49" i="31"/>
  <c r="R49" i="31"/>
  <c r="AA49" i="25" s="1"/>
  <c r="CN49" i="31"/>
  <c r="CW49" i="25" s="1"/>
  <c r="J49" i="31"/>
  <c r="S49" i="25" s="1"/>
  <c r="AP49" i="31"/>
  <c r="S49" i="31"/>
  <c r="AB49" i="25" s="1"/>
  <c r="P49" i="31"/>
  <c r="Y49" i="25" s="1"/>
  <c r="Z49" i="31"/>
  <c r="AI49" i="25" s="1"/>
  <c r="AU49" i="31"/>
  <c r="BX74" i="31"/>
  <c r="CG74" i="25" s="1"/>
  <c r="CY10" i="31"/>
  <c r="DH10" i="25" s="1"/>
  <c r="DA10" i="31"/>
  <c r="DJ10" i="25" s="1"/>
  <c r="CV10" i="31"/>
  <c r="DE10" i="25" s="1"/>
  <c r="CS10" i="31"/>
  <c r="DB10" i="25" s="1"/>
  <c r="CX10" i="31"/>
  <c r="DG10" i="25" s="1"/>
  <c r="CZ10" i="31"/>
  <c r="DI10" i="25" s="1"/>
  <c r="CU10" i="31"/>
  <c r="DD10" i="25" s="1"/>
  <c r="BE10" i="31"/>
  <c r="AP10" i="31"/>
  <c r="BK10" i="31"/>
  <c r="CJ10" i="37" s="1"/>
  <c r="BD10" i="31"/>
  <c r="AJ10" i="31"/>
  <c r="AH10" i="31"/>
  <c r="AT10" i="31"/>
  <c r="CI10" i="31"/>
  <c r="CR10" i="25" s="1"/>
  <c r="AA10" i="31"/>
  <c r="AJ10" i="25" s="1"/>
  <c r="BG10" i="31"/>
  <c r="K10" i="31"/>
  <c r="T10" i="25" s="1"/>
  <c r="C10" i="31"/>
  <c r="AE10" i="31"/>
  <c r="AN10" i="25" s="1"/>
  <c r="R10" i="31"/>
  <c r="AA10" i="25" s="1"/>
  <c r="AC10" i="31"/>
  <c r="AL10" i="25" s="1"/>
  <c r="BA10" i="31"/>
  <c r="Q10" i="31"/>
  <c r="Z10" i="25" s="1"/>
  <c r="AL10" i="31"/>
  <c r="U10" i="31"/>
  <c r="AD10" i="25" s="1"/>
  <c r="L10" i="31"/>
  <c r="U10" i="25" s="1"/>
  <c r="CP10" i="31"/>
  <c r="CY10" i="25" s="1"/>
  <c r="AS10" i="31"/>
  <c r="J10" i="31"/>
  <c r="S10" i="25" s="1"/>
  <c r="BC10" i="31"/>
  <c r="T10" i="31"/>
  <c r="AC10" i="25" s="1"/>
  <c r="CN10" i="31"/>
  <c r="CW10" i="25" s="1"/>
  <c r="Z10" i="31"/>
  <c r="AI10" i="25" s="1"/>
  <c r="AO10" i="31"/>
  <c r="G10" i="31"/>
  <c r="P10" i="25" s="1"/>
  <c r="BF10" i="31"/>
  <c r="V10" i="31"/>
  <c r="AE10" i="25" s="1"/>
  <c r="I10" i="31"/>
  <c r="R10" i="25" s="1"/>
  <c r="D10" i="31"/>
  <c r="M10" i="25" s="1"/>
  <c r="AQ10" i="31"/>
  <c r="O10" i="31"/>
  <c r="X10" i="25" s="1"/>
  <c r="E10" i="31"/>
  <c r="N10" i="25" s="1"/>
  <c r="BP10" i="31"/>
  <c r="CO10" i="37" s="1"/>
  <c r="BN10" i="31"/>
  <c r="CM10" i="37" s="1"/>
  <c r="AX10" i="31"/>
  <c r="W10" i="31"/>
  <c r="AF10" i="25" s="1"/>
  <c r="BB10" i="31"/>
  <c r="AN10" i="31"/>
  <c r="BO10" i="31"/>
  <c r="CN10" i="37" s="1"/>
  <c r="BM10" i="31"/>
  <c r="CL10" i="37" s="1"/>
  <c r="AR10" i="31"/>
  <c r="CK10" i="31"/>
  <c r="CT10" i="25" s="1"/>
  <c r="H10" i="31"/>
  <c r="Q10" i="25" s="1"/>
  <c r="AU10" i="31"/>
  <c r="AG10" i="31"/>
  <c r="Y10" i="31"/>
  <c r="AH10" i="25" s="1"/>
  <c r="BJ10" i="31"/>
  <c r="AZ10" i="31"/>
  <c r="AK10" i="31"/>
  <c r="S10" i="31"/>
  <c r="AB10" i="25" s="1"/>
  <c r="AV10" i="31"/>
  <c r="AM10" i="31"/>
  <c r="AI10" i="31"/>
  <c r="BH10" i="31"/>
  <c r="BL10" i="31"/>
  <c r="CK10" i="37" s="1"/>
  <c r="BI10" i="31"/>
  <c r="N10" i="31"/>
  <c r="W10" i="25" s="1"/>
  <c r="CJ10" i="31"/>
  <c r="CS10" i="25" s="1"/>
  <c r="AD10" i="31"/>
  <c r="AM10" i="25" s="1"/>
  <c r="P10" i="31"/>
  <c r="Y10" i="25" s="1"/>
  <c r="F10" i="31"/>
  <c r="O10" i="25" s="1"/>
  <c r="AW10" i="31"/>
  <c r="AY10" i="31"/>
  <c r="CL10" i="31"/>
  <c r="CU10" i="25" s="1"/>
  <c r="M10" i="31"/>
  <c r="V10" i="25" s="1"/>
  <c r="CM10" i="31"/>
  <c r="CV10" i="25" s="1"/>
  <c r="CQ10" i="31"/>
  <c r="CZ10" i="25" s="1"/>
  <c r="DI44" i="28" l="1"/>
  <c r="DI45" i="28" s="1"/>
  <c r="AN22" i="26"/>
  <c r="AN13" i="26"/>
  <c r="AN14" i="26"/>
  <c r="AN12" i="26"/>
  <c r="AN11" i="26"/>
  <c r="AN25" i="26"/>
  <c r="AN9" i="26"/>
  <c r="AN8" i="26"/>
  <c r="AN24" i="26"/>
  <c r="CN59" i="25"/>
  <c r="CP43" i="25"/>
  <c r="Z25" i="26"/>
  <c r="K24" i="26"/>
  <c r="AP24" i="26"/>
  <c r="AL25" i="26"/>
  <c r="D24" i="26"/>
  <c r="AM24" i="26"/>
  <c r="AB22" i="26"/>
  <c r="AH24" i="26"/>
  <c r="AM22" i="26"/>
  <c r="I25" i="26"/>
  <c r="AB24" i="26"/>
  <c r="AD22" i="26"/>
  <c r="O22" i="26"/>
  <c r="AL22" i="26"/>
  <c r="AM25" i="26"/>
  <c r="AC24" i="26"/>
  <c r="AC22" i="26"/>
  <c r="E24" i="26"/>
  <c r="AG24" i="26"/>
  <c r="AL24" i="26"/>
  <c r="W22" i="26"/>
  <c r="AP22" i="26"/>
  <c r="W25" i="26"/>
  <c r="K25" i="26"/>
  <c r="E25" i="26"/>
  <c r="M25" i="26"/>
  <c r="AR25" i="26"/>
  <c r="AD24" i="26"/>
  <c r="Y22" i="26"/>
  <c r="AQ24" i="26"/>
  <c r="Z22" i="26"/>
  <c r="E22" i="26"/>
  <c r="F25" i="26"/>
  <c r="J24" i="26"/>
  <c r="O24" i="26"/>
  <c r="O25" i="26"/>
  <c r="H24" i="26"/>
  <c r="N24" i="26"/>
  <c r="AR24" i="26"/>
  <c r="AE22" i="26"/>
  <c r="G22" i="26"/>
  <c r="D22" i="26"/>
  <c r="H22" i="26"/>
  <c r="F22" i="26"/>
  <c r="AB25" i="26"/>
  <c r="H25" i="26"/>
  <c r="D25" i="26"/>
  <c r="AH25" i="26"/>
  <c r="AP25" i="26"/>
  <c r="AA24" i="26"/>
  <c r="L22" i="26"/>
  <c r="AI22" i="26"/>
  <c r="F24" i="26"/>
  <c r="AA25" i="26"/>
  <c r="AJ22" i="26"/>
  <c r="Y25" i="26"/>
  <c r="AK22" i="26"/>
  <c r="I24" i="26"/>
  <c r="G24" i="26"/>
  <c r="AF22" i="26"/>
  <c r="J22" i="26"/>
  <c r="N22" i="26"/>
  <c r="AR22" i="26"/>
  <c r="AO25" i="26"/>
  <c r="AF25" i="26"/>
  <c r="AK25" i="26"/>
  <c r="AK24" i="26"/>
  <c r="K22" i="26"/>
  <c r="AI25" i="26"/>
  <c r="W24" i="26"/>
  <c r="AO24" i="26"/>
  <c r="AH22" i="26"/>
  <c r="AQ22" i="26"/>
  <c r="AQ25" i="26"/>
  <c r="AI24" i="26"/>
  <c r="AJ24" i="26"/>
  <c r="AA22" i="26"/>
  <c r="I22" i="26"/>
  <c r="M22" i="26"/>
  <c r="AO22" i="26"/>
  <c r="AE25" i="26"/>
  <c r="G25" i="26"/>
  <c r="AG25" i="26"/>
  <c r="J25" i="26"/>
  <c r="AJ25" i="26"/>
  <c r="L25" i="26"/>
  <c r="L24" i="26"/>
  <c r="L14" i="26"/>
  <c r="AK14" i="26"/>
  <c r="AK11" i="26"/>
  <c r="CN53" i="25"/>
  <c r="L11" i="26"/>
  <c r="L8" i="26"/>
  <c r="CP42" i="25"/>
  <c r="W28" i="36" s="1"/>
  <c r="CN55" i="25"/>
  <c r="L9" i="26"/>
  <c r="L12" i="26"/>
  <c r="AK9" i="26"/>
  <c r="AK12" i="26"/>
  <c r="CP39" i="25"/>
  <c r="W25" i="36" s="1"/>
  <c r="AK13" i="26"/>
  <c r="AK8" i="26"/>
  <c r="L13" i="26"/>
  <c r="CH35" i="25"/>
  <c r="CN54" i="25"/>
  <c r="CN51" i="25"/>
  <c r="CP41" i="25"/>
  <c r="W27" i="36" s="1"/>
  <c r="CP44" i="25"/>
  <c r="W30" i="36" s="1"/>
  <c r="CN57" i="25"/>
  <c r="CN58" i="25"/>
  <c r="CP40" i="25"/>
  <c r="F9" i="26"/>
  <c r="CH37" i="25"/>
  <c r="AH11" i="26"/>
  <c r="CP38" i="25"/>
  <c r="W24" i="36" s="1"/>
  <c r="AH13" i="26"/>
  <c r="CN52" i="25"/>
  <c r="AH8" i="26"/>
  <c r="CP37" i="25"/>
  <c r="CH41" i="25"/>
  <c r="Z11" i="26" s="1"/>
  <c r="CH38" i="25"/>
  <c r="Z8" i="26" s="1"/>
  <c r="AH9" i="26"/>
  <c r="AH12" i="26"/>
  <c r="CH42" i="25"/>
  <c r="Z12" i="26" s="1"/>
  <c r="AH14" i="26"/>
  <c r="AI14" i="26"/>
  <c r="AI13" i="26"/>
  <c r="AI8" i="26"/>
  <c r="AI12" i="26"/>
  <c r="AI11" i="26"/>
  <c r="AI9" i="26"/>
  <c r="J13" i="26"/>
  <c r="CU26" i="37"/>
  <c r="CP49" i="37"/>
  <c r="CQ67" i="37"/>
  <c r="CU29" i="37"/>
  <c r="CP73" i="37"/>
  <c r="CU42" i="37"/>
  <c r="CQ6" i="37"/>
  <c r="CQ40" i="37"/>
  <c r="CR5" i="37"/>
  <c r="CR56" i="37"/>
  <c r="CT58" i="37"/>
  <c r="CS74" i="37"/>
  <c r="CP10" i="37"/>
  <c r="CQ66" i="37"/>
  <c r="CP51" i="37"/>
  <c r="CU54" i="37"/>
  <c r="CT35" i="37"/>
  <c r="CQ39" i="37"/>
  <c r="CQ59" i="37"/>
  <c r="CQ37" i="37"/>
  <c r="CR33" i="37"/>
  <c r="CP8" i="37"/>
  <c r="CQ72" i="37"/>
  <c r="CP44" i="37"/>
  <c r="CS34" i="37"/>
  <c r="CS9" i="37"/>
  <c r="CP23" i="37"/>
  <c r="CU3" i="37"/>
  <c r="CP41" i="37"/>
  <c r="CQ28" i="37"/>
  <c r="CT27" i="37"/>
  <c r="CT13" i="37"/>
  <c r="CP68" i="37"/>
  <c r="CR48" i="37"/>
  <c r="CT24" i="37"/>
  <c r="CS63" i="37"/>
  <c r="CP36" i="37"/>
  <c r="CP65" i="37"/>
  <c r="CT50" i="37"/>
  <c r="CN50" i="25"/>
  <c r="CS26" i="37"/>
  <c r="CQ49" i="37"/>
  <c r="CT67" i="37"/>
  <c r="CP29" i="37"/>
  <c r="CS69" i="37"/>
  <c r="CQ42" i="37"/>
  <c r="CS6" i="37"/>
  <c r="CP40" i="37"/>
  <c r="CS5" i="37"/>
  <c r="CS56" i="37"/>
  <c r="CQ64" i="37"/>
  <c r="CU74" i="37"/>
  <c r="CQ10" i="37"/>
  <c r="CU66" i="37"/>
  <c r="CT71" i="37"/>
  <c r="CR54" i="37"/>
  <c r="CS35" i="37"/>
  <c r="CR39" i="37"/>
  <c r="CR38" i="37"/>
  <c r="CT37" i="37"/>
  <c r="CT33" i="37"/>
  <c r="CQ8" i="37"/>
  <c r="CT72" i="37"/>
  <c r="CT7" i="37"/>
  <c r="CU44" i="37"/>
  <c r="CT34" i="37"/>
  <c r="CU9" i="37"/>
  <c r="CS23" i="37"/>
  <c r="CP3" i="37"/>
  <c r="CQ41" i="37"/>
  <c r="CS28" i="37"/>
  <c r="CR11" i="37"/>
  <c r="CP13" i="37"/>
  <c r="CS68" i="37"/>
  <c r="CS48" i="37"/>
  <c r="CP63" i="37"/>
  <c r="CR36" i="37"/>
  <c r="CS65" i="37"/>
  <c r="CU4" i="37"/>
  <c r="CH34" i="25"/>
  <c r="CQ26" i="37"/>
  <c r="CR49" i="37"/>
  <c r="CU67" i="37"/>
  <c r="CS14" i="37"/>
  <c r="CP69" i="37"/>
  <c r="CR42" i="37"/>
  <c r="CP6" i="37"/>
  <c r="CT40" i="37"/>
  <c r="CU5" i="37"/>
  <c r="CU52" i="37"/>
  <c r="CR64" i="37"/>
  <c r="CQ74" i="37"/>
  <c r="CS10" i="37"/>
  <c r="CU71" i="37"/>
  <c r="CQ54" i="37"/>
  <c r="CQ35" i="37"/>
  <c r="CT55" i="37"/>
  <c r="CS38" i="37"/>
  <c r="CP37" i="37"/>
  <c r="CS33" i="37"/>
  <c r="CS8" i="37"/>
  <c r="CS7" i="37"/>
  <c r="CQ44" i="37"/>
  <c r="CU34" i="37"/>
  <c r="CP57" i="37"/>
  <c r="CU23" i="37"/>
  <c r="CR3" i="37"/>
  <c r="CT41" i="37"/>
  <c r="CT28" i="37"/>
  <c r="CU12" i="37"/>
  <c r="CT11" i="37"/>
  <c r="CQ13" i="37"/>
  <c r="CU68" i="37"/>
  <c r="CT43" i="37"/>
  <c r="CT63" i="37"/>
  <c r="CQ36" i="37"/>
  <c r="CS53" i="37"/>
  <c r="CT4" i="37"/>
  <c r="CQ69" i="37"/>
  <c r="CT52" i="37"/>
  <c r="CT10" i="37"/>
  <c r="CR71" i="37"/>
  <c r="CS54" i="37"/>
  <c r="CT59" i="37"/>
  <c r="CU33" i="37"/>
  <c r="CS44" i="37"/>
  <c r="CU41" i="37"/>
  <c r="CS11" i="37"/>
  <c r="CT68" i="37"/>
  <c r="CQ63" i="37"/>
  <c r="CQ50" i="37"/>
  <c r="CH36" i="25"/>
  <c r="CQ14" i="37"/>
  <c r="CR69" i="37"/>
  <c r="CU6" i="37"/>
  <c r="CU56" i="37"/>
  <c r="CT64" i="37"/>
  <c r="CP74" i="37"/>
  <c r="CS51" i="37"/>
  <c r="CR59" i="37"/>
  <c r="CS55" i="37"/>
  <c r="CU37" i="37"/>
  <c r="CU72" i="37"/>
  <c r="CT44" i="37"/>
  <c r="CQ57" i="37"/>
  <c r="CR23" i="37"/>
  <c r="CP27" i="37"/>
  <c r="CS13" i="37"/>
  <c r="CU63" i="37"/>
  <c r="CP4" i="37"/>
  <c r="CP35" i="25"/>
  <c r="CH40" i="25"/>
  <c r="CH44" i="25"/>
  <c r="Z14" i="26" s="1"/>
  <c r="CN48" i="25"/>
  <c r="CP33" i="25"/>
  <c r="CR26" i="37"/>
  <c r="CP67" i="37"/>
  <c r="CR29" i="37"/>
  <c r="CS73" i="37"/>
  <c r="CR14" i="37"/>
  <c r="CU69" i="37"/>
  <c r="CP42" i="37"/>
  <c r="CQ5" i="37"/>
  <c r="CT56" i="37"/>
  <c r="CQ58" i="37"/>
  <c r="CP52" i="37"/>
  <c r="CP64" i="37"/>
  <c r="CT74" i="37"/>
  <c r="CT66" i="37"/>
  <c r="CT51" i="37"/>
  <c r="CP71" i="37"/>
  <c r="CU39" i="37"/>
  <c r="CS59" i="37"/>
  <c r="CU55" i="37"/>
  <c r="CT38" i="37"/>
  <c r="CT8" i="37"/>
  <c r="CR72" i="37"/>
  <c r="CP7" i="37"/>
  <c r="CT9" i="37"/>
  <c r="CR57" i="37"/>
  <c r="CT23" i="37"/>
  <c r="CR28" i="37"/>
  <c r="CU27" i="37"/>
  <c r="CP12" i="37"/>
  <c r="CU11" i="37"/>
  <c r="CU13" i="37"/>
  <c r="CU48" i="37"/>
  <c r="CP24" i="37"/>
  <c r="CP43" i="37"/>
  <c r="CR63" i="37"/>
  <c r="CT65" i="37"/>
  <c r="CP50" i="37"/>
  <c r="CR53" i="37"/>
  <c r="CQ4" i="37"/>
  <c r="CN56" i="25"/>
  <c r="CT49" i="37"/>
  <c r="CR73" i="37"/>
  <c r="CT42" i="37"/>
  <c r="CS40" i="37"/>
  <c r="CU64" i="37"/>
  <c r="CR55" i="37"/>
  <c r="CR37" i="37"/>
  <c r="CP34" i="37"/>
  <c r="CT3" i="37"/>
  <c r="CT12" i="37"/>
  <c r="CU24" i="37"/>
  <c r="CP53" i="37"/>
  <c r="CP26" i="37"/>
  <c r="CQ29" i="37"/>
  <c r="CQ52" i="37"/>
  <c r="CU10" i="37"/>
  <c r="CQ71" i="37"/>
  <c r="CT54" i="37"/>
  <c r="CU38" i="37"/>
  <c r="CP11" i="37"/>
  <c r="CQ24" i="37"/>
  <c r="CT36" i="37"/>
  <c r="CQ53" i="37"/>
  <c r="CP36" i="25"/>
  <c r="CP34" i="25"/>
  <c r="CS67" i="37"/>
  <c r="CT29" i="37"/>
  <c r="CQ73" i="37"/>
  <c r="CT14" i="37"/>
  <c r="CT69" i="37"/>
  <c r="CR40" i="37"/>
  <c r="CP5" i="37"/>
  <c r="CQ56" i="37"/>
  <c r="CP58" i="37"/>
  <c r="CR52" i="37"/>
  <c r="CS64" i="37"/>
  <c r="CP66" i="37"/>
  <c r="CU51" i="37"/>
  <c r="CS71" i="37"/>
  <c r="CP35" i="37"/>
  <c r="CP39" i="37"/>
  <c r="CU59" i="37"/>
  <c r="CP55" i="37"/>
  <c r="CP38" i="37"/>
  <c r="CQ33" i="37"/>
  <c r="CU8" i="37"/>
  <c r="CP72" i="37"/>
  <c r="CQ7" i="37"/>
  <c r="CQ34" i="37"/>
  <c r="CP9" i="37"/>
  <c r="CT57" i="37"/>
  <c r="CR41" i="37"/>
  <c r="CU28" i="37"/>
  <c r="CQ27" i="37"/>
  <c r="CQ12" i="37"/>
  <c r="CQ11" i="37"/>
  <c r="CQ68" i="37"/>
  <c r="CT48" i="37"/>
  <c r="CR24" i="37"/>
  <c r="CR43" i="37"/>
  <c r="CR65" i="37"/>
  <c r="CU50" i="37"/>
  <c r="CT53" i="37"/>
  <c r="CS4" i="37"/>
  <c r="CT26" i="37"/>
  <c r="CP14" i="37"/>
  <c r="CT6" i="37"/>
  <c r="CR58" i="37"/>
  <c r="CR74" i="37"/>
  <c r="CR51" i="37"/>
  <c r="CR35" i="37"/>
  <c r="CQ38" i="37"/>
  <c r="CU7" i="37"/>
  <c r="CS57" i="37"/>
  <c r="CQ23" i="37"/>
  <c r="CS27" i="37"/>
  <c r="CR13" i="37"/>
  <c r="CU43" i="37"/>
  <c r="CS36" i="37"/>
  <c r="CR4" i="37"/>
  <c r="CU49" i="37"/>
  <c r="CU73" i="37"/>
  <c r="CS42" i="37"/>
  <c r="CU58" i="37"/>
  <c r="CR66" i="37"/>
  <c r="CT39" i="37"/>
  <c r="CH33" i="25"/>
  <c r="CR7" i="37"/>
  <c r="CQ9" i="37"/>
  <c r="CQ3" i="37"/>
  <c r="CR12" i="37"/>
  <c r="CQ48" i="37"/>
  <c r="CS43" i="37"/>
  <c r="CQ65" i="37"/>
  <c r="CR50" i="37"/>
  <c r="CH39" i="25"/>
  <c r="Z9" i="26" s="1"/>
  <c r="CN49" i="25"/>
  <c r="CS49" i="37"/>
  <c r="CR67" i="37"/>
  <c r="CS29" i="37"/>
  <c r="CT73" i="37"/>
  <c r="CU14" i="37"/>
  <c r="CR6" i="37"/>
  <c r="CU40" i="37"/>
  <c r="CT5" i="37"/>
  <c r="CP56" i="37"/>
  <c r="CS58" i="37"/>
  <c r="CS52" i="37"/>
  <c r="CR10" i="37"/>
  <c r="CS66" i="37"/>
  <c r="CQ51" i="37"/>
  <c r="CP54" i="37"/>
  <c r="CU35" i="37"/>
  <c r="CS39" i="37"/>
  <c r="CP59" i="37"/>
  <c r="CQ55" i="37"/>
  <c r="CS37" i="37"/>
  <c r="CP33" i="37"/>
  <c r="CR8" i="37"/>
  <c r="CS72" i="37"/>
  <c r="CR44" i="37"/>
  <c r="CR34" i="37"/>
  <c r="CR9" i="37"/>
  <c r="CU57" i="37"/>
  <c r="CS3" i="37"/>
  <c r="CS41" i="37"/>
  <c r="CP28" i="37"/>
  <c r="CR27" i="37"/>
  <c r="CS12" i="37"/>
  <c r="CR68" i="37"/>
  <c r="CP48" i="37"/>
  <c r="CS24" i="37"/>
  <c r="CQ43" i="37"/>
  <c r="CU36" i="37"/>
  <c r="CU65" i="37"/>
  <c r="CS50" i="37"/>
  <c r="CU53" i="37"/>
  <c r="I8" i="26"/>
  <c r="F8" i="35" s="1"/>
  <c r="I14" i="26"/>
  <c r="F14" i="35" s="1"/>
  <c r="K8" i="26"/>
  <c r="G12" i="26"/>
  <c r="I13" i="26"/>
  <c r="F13" i="35" s="1"/>
  <c r="D8" i="26"/>
  <c r="D11" i="38" s="1"/>
  <c r="D9" i="26"/>
  <c r="D12" i="38" s="1"/>
  <c r="E8" i="26"/>
  <c r="H8" i="26"/>
  <c r="G14" i="26"/>
  <c r="J11" i="26"/>
  <c r="G13" i="26"/>
  <c r="K9" i="26"/>
  <c r="G8" i="26"/>
  <c r="E14" i="26"/>
  <c r="I11" i="26"/>
  <c r="F11" i="35" s="1"/>
  <c r="D11" i="26"/>
  <c r="D14" i="38" s="1"/>
  <c r="F13" i="26"/>
  <c r="E13" i="26"/>
  <c r="I12" i="26"/>
  <c r="F12" i="35" s="1"/>
  <c r="F14" i="26"/>
  <c r="H9" i="26"/>
  <c r="J9" i="26"/>
  <c r="F12" i="26"/>
  <c r="J8" i="26"/>
  <c r="H14" i="26"/>
  <c r="D13" i="26"/>
  <c r="D16" i="38" s="1"/>
  <c r="K13" i="26"/>
  <c r="J12" i="26"/>
  <c r="H12" i="26"/>
  <c r="E11" i="26"/>
  <c r="E12" i="26"/>
  <c r="D12" i="26"/>
  <c r="D15" i="38" s="1"/>
  <c r="K14" i="26"/>
  <c r="J14" i="26"/>
  <c r="D14" i="26"/>
  <c r="D17" i="38" s="1"/>
  <c r="H11" i="26"/>
  <c r="H13" i="26"/>
  <c r="G9" i="26"/>
  <c r="K12" i="26"/>
  <c r="G11" i="26"/>
  <c r="E9" i="26"/>
  <c r="F11" i="26"/>
  <c r="I9" i="26"/>
  <c r="F9" i="35" s="1"/>
  <c r="F8" i="26"/>
  <c r="K11" i="26"/>
  <c r="BI10" i="25"/>
  <c r="BM10" i="37"/>
  <c r="AN7" i="37"/>
  <c r="AQ23" i="25"/>
  <c r="AC23" i="37"/>
  <c r="AP54" i="25"/>
  <c r="AB54" i="37"/>
  <c r="BX54" i="37"/>
  <c r="BR65" i="25"/>
  <c r="CH65" i="37"/>
  <c r="Q12" i="37"/>
  <c r="AA37" i="37"/>
  <c r="AP37" i="25"/>
  <c r="AB37" i="37"/>
  <c r="Z37" i="37"/>
  <c r="AV34" i="25"/>
  <c r="AT34" i="37"/>
  <c r="AY34" i="25"/>
  <c r="AW34" i="37"/>
  <c r="AK34" i="37"/>
  <c r="AI4" i="37"/>
  <c r="BV28" i="25"/>
  <c r="BR28" i="25"/>
  <c r="CH28" i="37"/>
  <c r="AJ72" i="37"/>
  <c r="Q10" i="37"/>
  <c r="AN49" i="37"/>
  <c r="BA66" i="25"/>
  <c r="AY66" i="37"/>
  <c r="T66" i="37"/>
  <c r="BZ7" i="37"/>
  <c r="BG23" i="37"/>
  <c r="BP54" i="25"/>
  <c r="CF54" i="37"/>
  <c r="AA9" i="37"/>
  <c r="AQ9" i="37"/>
  <c r="BQ9" i="25"/>
  <c r="CG9" i="37"/>
  <c r="AX65" i="25"/>
  <c r="AV65" i="37"/>
  <c r="BQ65" i="25"/>
  <c r="CG65" i="37"/>
  <c r="BI12" i="25"/>
  <c r="BM12" i="37"/>
  <c r="BZ12" i="37"/>
  <c r="BO37" i="25"/>
  <c r="CE37" i="37"/>
  <c r="BY28" i="25"/>
  <c r="BL28" i="25"/>
  <c r="BP28" i="37"/>
  <c r="AS55" i="37"/>
  <c r="BU72" i="37"/>
  <c r="AR10" i="25"/>
  <c r="AD10" i="37"/>
  <c r="BR10" i="37"/>
  <c r="BK7" i="37"/>
  <c r="BY23" i="25"/>
  <c r="BV23" i="25"/>
  <c r="AK54" i="37"/>
  <c r="AS9" i="25"/>
  <c r="AE9" i="37"/>
  <c r="BC9" i="25"/>
  <c r="BA9" i="37"/>
  <c r="AQ65" i="25"/>
  <c r="AC65" i="37"/>
  <c r="BR8" i="37"/>
  <c r="BH37" i="25"/>
  <c r="BL37" i="37"/>
  <c r="AL37" i="37"/>
  <c r="BV37" i="37"/>
  <c r="BC34" i="25"/>
  <c r="BA34" i="37"/>
  <c r="BK34" i="37"/>
  <c r="BM4" i="25"/>
  <c r="BQ4" i="37"/>
  <c r="Z4" i="37"/>
  <c r="BS28" i="25"/>
  <c r="CI28" i="37"/>
  <c r="V28" i="37"/>
  <c r="BE55" i="25"/>
  <c r="BC55" i="37"/>
  <c r="BT55" i="25"/>
  <c r="BD72" i="25"/>
  <c r="BB72" i="37"/>
  <c r="AS72" i="25"/>
  <c r="AE72" i="37"/>
  <c r="W49" i="37"/>
  <c r="U7" i="37"/>
  <c r="BO7" i="25"/>
  <c r="CE7" i="37"/>
  <c r="BR23" i="25"/>
  <c r="CH23" i="37"/>
  <c r="BY54" i="37"/>
  <c r="BG65" i="37"/>
  <c r="BJ65" i="25"/>
  <c r="BN65" i="37"/>
  <c r="BL12" i="25"/>
  <c r="BP12" i="37"/>
  <c r="R8" i="37"/>
  <c r="U37" i="37"/>
  <c r="AO34" i="37"/>
  <c r="AS34" i="25"/>
  <c r="AE34" i="37"/>
  <c r="BJ34" i="37"/>
  <c r="BW34" i="25"/>
  <c r="BF4" i="25"/>
  <c r="BD4" i="37"/>
  <c r="AO4" i="37"/>
  <c r="BS4" i="25"/>
  <c r="CI4" i="37"/>
  <c r="BF28" i="37"/>
  <c r="BH55" i="37"/>
  <c r="BM55" i="25"/>
  <c r="BQ55" i="37"/>
  <c r="BP55" i="25"/>
  <c r="CF55" i="37"/>
  <c r="BV72" i="37"/>
  <c r="W10" i="37"/>
  <c r="X10" i="37"/>
  <c r="BV66" i="37"/>
  <c r="BK66" i="25"/>
  <c r="BO66" i="37"/>
  <c r="BJ66" i="25"/>
  <c r="BN66" i="37"/>
  <c r="BN7" i="25"/>
  <c r="CD7" i="37"/>
  <c r="P54" i="37"/>
  <c r="BC54" i="25"/>
  <c r="BA54" i="37"/>
  <c r="BJ9" i="37"/>
  <c r="AY9" i="25"/>
  <c r="AW9" i="37"/>
  <c r="CC65" i="37"/>
  <c r="AJ12" i="37"/>
  <c r="S8" i="37"/>
  <c r="BI8" i="37"/>
  <c r="AS55" i="25"/>
  <c r="AE55" i="37"/>
  <c r="Z10" i="37"/>
  <c r="AN10" i="37"/>
  <c r="BY10" i="37"/>
  <c r="BK7" i="25"/>
  <c r="BO7" i="37"/>
  <c r="BC10" i="25"/>
  <c r="BA10" i="37"/>
  <c r="AT49" i="25"/>
  <c r="AF49" i="37"/>
  <c r="BF49" i="25"/>
  <c r="BD49" i="37"/>
  <c r="BV7" i="25"/>
  <c r="AP23" i="37"/>
  <c r="AN65" i="37"/>
  <c r="BN12" i="25"/>
  <c r="CD12" i="37"/>
  <c r="BQ12" i="25"/>
  <c r="CG12" i="37"/>
  <c r="AO8" i="37"/>
  <c r="AI55" i="37"/>
  <c r="BR10" i="25"/>
  <c r="CH10" i="37"/>
  <c r="BP10" i="25"/>
  <c r="CF10" i="37"/>
  <c r="AI10" i="37"/>
  <c r="AZ49" i="25"/>
  <c r="AX49" i="37"/>
  <c r="AQ66" i="37"/>
  <c r="BH10" i="37"/>
  <c r="BD49" i="25"/>
  <c r="BB49" i="37"/>
  <c r="BJ49" i="37"/>
  <c r="BH49" i="25"/>
  <c r="BL49" i="37"/>
  <c r="Y49" i="37"/>
  <c r="AM66" i="37"/>
  <c r="V66" i="37"/>
  <c r="AO66" i="37"/>
  <c r="BI7" i="25"/>
  <c r="BM7" i="37"/>
  <c r="AS54" i="37"/>
  <c r="BV9" i="37"/>
  <c r="BH65" i="25"/>
  <c r="BL65" i="37"/>
  <c r="AK12" i="37"/>
  <c r="BF8" i="37"/>
  <c r="AH37" i="37"/>
  <c r="AA55" i="37"/>
  <c r="BI10" i="37"/>
  <c r="AM10" i="37"/>
  <c r="BV10" i="37"/>
  <c r="AO49" i="37"/>
  <c r="BR49" i="25"/>
  <c r="CH49" i="37"/>
  <c r="CC49" i="37"/>
  <c r="BW49" i="37"/>
  <c r="AQ49" i="25"/>
  <c r="AC49" i="37"/>
  <c r="BT49" i="25"/>
  <c r="BZ49" i="37"/>
  <c r="S49" i="37"/>
  <c r="BW66" i="25"/>
  <c r="AQ66" i="25"/>
  <c r="AC66" i="37"/>
  <c r="BO66" i="25"/>
  <c r="CE66" i="37"/>
  <c r="AH23" i="37"/>
  <c r="BK10" i="25"/>
  <c r="BO10" i="37"/>
  <c r="AY49" i="25"/>
  <c r="AW49" i="37"/>
  <c r="BZ66" i="37"/>
  <c r="U23" i="37"/>
  <c r="AL54" i="37"/>
  <c r="AA54" i="37"/>
  <c r="BI54" i="37"/>
  <c r="AL9" i="37"/>
  <c r="Z65" i="37"/>
  <c r="CB65" i="37"/>
  <c r="BM12" i="25"/>
  <c r="BQ12" i="37"/>
  <c r="BV12" i="25"/>
  <c r="BU12" i="37"/>
  <c r="BT8" i="25"/>
  <c r="W8" i="37"/>
  <c r="BP34" i="25"/>
  <c r="CF34" i="37"/>
  <c r="BG34" i="37"/>
  <c r="CA4" i="37"/>
  <c r="BT4" i="37"/>
  <c r="BO28" i="25"/>
  <c r="CE28" i="37"/>
  <c r="BH28" i="37"/>
  <c r="AQ28" i="25"/>
  <c r="AC28" i="37"/>
  <c r="AP28" i="25"/>
  <c r="AB28" i="37"/>
  <c r="BX28" i="37"/>
  <c r="BU55" i="37"/>
  <c r="CC55" i="37"/>
  <c r="CB72" i="37"/>
  <c r="BS72" i="37"/>
  <c r="U72" i="37"/>
  <c r="BB72" i="25"/>
  <c r="AZ72" i="37"/>
  <c r="BZ72" i="37"/>
  <c r="BK72" i="37"/>
  <c r="T72" i="37"/>
  <c r="AS14" i="37"/>
  <c r="BW14" i="37"/>
  <c r="Y43" i="37"/>
  <c r="BO26" i="25"/>
  <c r="CE26" i="37"/>
  <c r="BK26" i="37"/>
  <c r="V26" i="37"/>
  <c r="U26" i="37"/>
  <c r="BG10" i="37"/>
  <c r="BX66" i="25"/>
  <c r="BR66" i="25"/>
  <c r="CH66" i="37"/>
  <c r="AH66" i="37"/>
  <c r="AX66" i="25"/>
  <c r="AV66" i="37"/>
  <c r="BI66" i="25"/>
  <c r="BM66" i="37"/>
  <c r="Z7" i="37"/>
  <c r="AQ7" i="37"/>
  <c r="BG7" i="25"/>
  <c r="BE7" i="37"/>
  <c r="AX7" i="25"/>
  <c r="AV7" i="37"/>
  <c r="BU23" i="25"/>
  <c r="BJ23" i="25"/>
  <c r="BN23" i="37"/>
  <c r="BF23" i="37"/>
  <c r="AV23" i="25"/>
  <c r="AT23" i="37"/>
  <c r="AW23" i="25"/>
  <c r="AU23" i="37"/>
  <c r="BR54" i="37"/>
  <c r="AQ54" i="25"/>
  <c r="AC54" i="37"/>
  <c r="BJ54" i="37"/>
  <c r="BZ54" i="37"/>
  <c r="BP9" i="25"/>
  <c r="CF9" i="37"/>
  <c r="BJ9" i="25"/>
  <c r="BN9" i="37"/>
  <c r="AR9" i="25"/>
  <c r="AD9" i="37"/>
  <c r="BU65" i="25"/>
  <c r="BW65" i="37"/>
  <c r="V65" i="37"/>
  <c r="BO12" i="25"/>
  <c r="CE12" i="37"/>
  <c r="BK12" i="37"/>
  <c r="AP12" i="25"/>
  <c r="AB12" i="37"/>
  <c r="BR12" i="37"/>
  <c r="AH8" i="37"/>
  <c r="BI8" i="25"/>
  <c r="BM8" i="37"/>
  <c r="CC8" i="37"/>
  <c r="X37" i="37"/>
  <c r="BK37" i="25"/>
  <c r="BO37" i="37"/>
  <c r="AN37" i="37"/>
  <c r="S37" i="37"/>
  <c r="R34" i="37"/>
  <c r="BE34" i="25"/>
  <c r="BC34" i="37"/>
  <c r="AX34" i="25"/>
  <c r="AV34" i="37"/>
  <c r="AM4" i="37"/>
  <c r="BF28" i="25"/>
  <c r="BD28" i="37"/>
  <c r="BG28" i="25"/>
  <c r="BE28" i="37"/>
  <c r="BY55" i="25"/>
  <c r="BB55" i="25"/>
  <c r="AZ55" i="37"/>
  <c r="BW72" i="37"/>
  <c r="BN72" i="25"/>
  <c r="CD72" i="37"/>
  <c r="BQ72" i="25"/>
  <c r="CG72" i="37"/>
  <c r="AJ14" i="37"/>
  <c r="BO14" i="25"/>
  <c r="CE14" i="37"/>
  <c r="AP14" i="25"/>
  <c r="AB14" i="37"/>
  <c r="P43" i="37"/>
  <c r="AH43" i="37"/>
  <c r="AI43" i="37"/>
  <c r="AM43" i="37"/>
  <c r="S26" i="37"/>
  <c r="R26" i="37"/>
  <c r="AS26" i="25"/>
  <c r="AE26" i="37"/>
  <c r="AW26" i="25"/>
  <c r="AU26" i="37"/>
  <c r="BW26" i="37"/>
  <c r="AV26" i="25"/>
  <c r="AT26" i="37"/>
  <c r="CC26" i="37"/>
  <c r="BB26" i="25"/>
  <c r="AZ26" i="37"/>
  <c r="W26" i="37"/>
  <c r="BU58" i="25"/>
  <c r="BT58" i="25"/>
  <c r="BP58" i="25"/>
  <c r="CF58" i="37"/>
  <c r="AA58" i="37"/>
  <c r="P58" i="37"/>
  <c r="AH58" i="37"/>
  <c r="Q58" i="37"/>
  <c r="BQ58" i="25"/>
  <c r="CG58" i="37"/>
  <c r="U58" i="37"/>
  <c r="AZ58" i="25"/>
  <c r="AX58" i="37"/>
  <c r="BS58" i="25"/>
  <c r="CI58" i="37"/>
  <c r="BL29" i="25"/>
  <c r="BP29" i="37"/>
  <c r="BN29" i="25"/>
  <c r="CD29" i="37"/>
  <c r="BV29" i="25"/>
  <c r="BH29" i="25"/>
  <c r="BL29" i="37"/>
  <c r="Y29" i="37"/>
  <c r="BP29" i="25"/>
  <c r="CF29" i="37"/>
  <c r="AH29" i="37"/>
  <c r="BF29" i="37"/>
  <c r="BZ29" i="37"/>
  <c r="AW29" i="25"/>
  <c r="AU29" i="37"/>
  <c r="BR33" i="37"/>
  <c r="BD33" i="25"/>
  <c r="BB33" i="37"/>
  <c r="BK33" i="25"/>
  <c r="BO33" i="37"/>
  <c r="BW33" i="37"/>
  <c r="BK33" i="37"/>
  <c r="AQ33" i="37"/>
  <c r="AP33" i="37"/>
  <c r="AP53" i="37"/>
  <c r="R53" i="37"/>
  <c r="AN53" i="37"/>
  <c r="BV53" i="37"/>
  <c r="T53" i="37"/>
  <c r="BJ53" i="37"/>
  <c r="V53" i="37"/>
  <c r="BQ53" i="25"/>
  <c r="CG53" i="37"/>
  <c r="AR53" i="25"/>
  <c r="AD53" i="37"/>
  <c r="Q53" i="37"/>
  <c r="BA53" i="25"/>
  <c r="AY53" i="37"/>
  <c r="BU53" i="25"/>
  <c r="BF52" i="25"/>
  <c r="BD52" i="37"/>
  <c r="AZ52" i="25"/>
  <c r="AX52" i="37"/>
  <c r="BK52" i="37"/>
  <c r="BJ52" i="37"/>
  <c r="AS52" i="37"/>
  <c r="BX52" i="37"/>
  <c r="CB52" i="37"/>
  <c r="BT52" i="25"/>
  <c r="BN52" i="25"/>
  <c r="CD52" i="37"/>
  <c r="AA52" i="37"/>
  <c r="V50" i="37"/>
  <c r="AQ50" i="37"/>
  <c r="BX50" i="37"/>
  <c r="BG50" i="37"/>
  <c r="BR50" i="37"/>
  <c r="BI50" i="37"/>
  <c r="AN50" i="37"/>
  <c r="AH50" i="37"/>
  <c r="BR50" i="25"/>
  <c r="CH50" i="37"/>
  <c r="BW50" i="25"/>
  <c r="BI50" i="25"/>
  <c r="BM50" i="37"/>
  <c r="BN74" i="25"/>
  <c r="CD74" i="37"/>
  <c r="Z74" i="37"/>
  <c r="BR74" i="37"/>
  <c r="AT74" i="25"/>
  <c r="AF74" i="37"/>
  <c r="S74" i="37"/>
  <c r="AL74" i="37"/>
  <c r="BA74" i="25"/>
  <c r="AY74" i="37"/>
  <c r="BJ71" i="25"/>
  <c r="BN71" i="37"/>
  <c r="BI71" i="25"/>
  <c r="BM71" i="37"/>
  <c r="U71" i="37"/>
  <c r="X71" i="37"/>
  <c r="R71" i="37"/>
  <c r="BY71" i="25"/>
  <c r="BS71" i="25"/>
  <c r="CI71" i="37"/>
  <c r="P71" i="37"/>
  <c r="BR71" i="25"/>
  <c r="CH71" i="37"/>
  <c r="BG71" i="25"/>
  <c r="BE71" i="37"/>
  <c r="AI71" i="37"/>
  <c r="AR71" i="37"/>
  <c r="BP71" i="25"/>
  <c r="CF71" i="37"/>
  <c r="X24" i="37"/>
  <c r="BI24" i="25"/>
  <c r="BM24" i="37"/>
  <c r="Z24" i="37"/>
  <c r="AL24" i="37"/>
  <c r="CB24" i="37"/>
  <c r="AJ24" i="37"/>
  <c r="BY24" i="25"/>
  <c r="U24" i="37"/>
  <c r="AQ24" i="25"/>
  <c r="AC24" i="37"/>
  <c r="BP59" i="25"/>
  <c r="CF59" i="37"/>
  <c r="BX59" i="25"/>
  <c r="BK59" i="37"/>
  <c r="BT59" i="25"/>
  <c r="AA59" i="37"/>
  <c r="AY59" i="25"/>
  <c r="AW59" i="37"/>
  <c r="AZ59" i="25"/>
  <c r="AX59" i="37"/>
  <c r="BZ59" i="37"/>
  <c r="AW59" i="25"/>
  <c r="AU59" i="37"/>
  <c r="BY59" i="37"/>
  <c r="BX56" i="37"/>
  <c r="BK56" i="25"/>
  <c r="BO56" i="37"/>
  <c r="Q56" i="37"/>
  <c r="BV56" i="25"/>
  <c r="T56" i="37"/>
  <c r="AK56" i="37"/>
  <c r="BE56" i="25"/>
  <c r="BC56" i="37"/>
  <c r="X56" i="37"/>
  <c r="BR56" i="37"/>
  <c r="AP56" i="37"/>
  <c r="AL11" i="37"/>
  <c r="CB11" i="37"/>
  <c r="BF11" i="25"/>
  <c r="BD11" i="37"/>
  <c r="AQ11" i="25"/>
  <c r="AC11" i="37"/>
  <c r="CA11" i="37"/>
  <c r="BJ11" i="37"/>
  <c r="AA11" i="37"/>
  <c r="AP11" i="25"/>
  <c r="AB11" i="37"/>
  <c r="AI11" i="37"/>
  <c r="BY11" i="37"/>
  <c r="BT11" i="25"/>
  <c r="BD64" i="25"/>
  <c r="BB64" i="37"/>
  <c r="S64" i="37"/>
  <c r="AV64" i="25"/>
  <c r="AT64" i="37"/>
  <c r="AR64" i="37"/>
  <c r="T64" i="37"/>
  <c r="AS64" i="25"/>
  <c r="AE64" i="37"/>
  <c r="BF64" i="25"/>
  <c r="BD64" i="37"/>
  <c r="BP64" i="25"/>
  <c r="CF64" i="37"/>
  <c r="BN64" i="25"/>
  <c r="CD64" i="37"/>
  <c r="BX64" i="25"/>
  <c r="BU6" i="37"/>
  <c r="BS6" i="25"/>
  <c r="CI6" i="37"/>
  <c r="CB6" i="37"/>
  <c r="BW6" i="25"/>
  <c r="AQ6" i="37"/>
  <c r="AR6" i="37"/>
  <c r="S6" i="37"/>
  <c r="AO6" i="37"/>
  <c r="BG36" i="37"/>
  <c r="BV36" i="37"/>
  <c r="BV36" i="25"/>
  <c r="BB36" i="25"/>
  <c r="AZ36" i="37"/>
  <c r="AX36" i="25"/>
  <c r="AV36" i="37"/>
  <c r="V36" i="37"/>
  <c r="Y36" i="37"/>
  <c r="BJ36" i="25"/>
  <c r="BN36" i="37"/>
  <c r="BR36" i="37"/>
  <c r="BW36" i="37"/>
  <c r="AR51" i="37"/>
  <c r="BS51" i="37"/>
  <c r="CB51" i="37"/>
  <c r="BN51" i="25"/>
  <c r="CD51" i="37"/>
  <c r="BK51" i="25"/>
  <c r="BO51" i="37"/>
  <c r="Y51" i="37"/>
  <c r="BA51" i="25"/>
  <c r="AY51" i="37"/>
  <c r="BP51" i="25"/>
  <c r="CF51" i="37"/>
  <c r="BF51" i="37"/>
  <c r="BF41" i="37"/>
  <c r="BV41" i="25"/>
  <c r="AS41" i="37"/>
  <c r="AQ41" i="25"/>
  <c r="AC41" i="37"/>
  <c r="AI41" i="37"/>
  <c r="BC41" i="25"/>
  <c r="BA41" i="37"/>
  <c r="P41" i="37"/>
  <c r="S41" i="37"/>
  <c r="AP41" i="37"/>
  <c r="CA41" i="37"/>
  <c r="BJ41" i="25"/>
  <c r="BN41" i="37"/>
  <c r="BF67" i="25"/>
  <c r="BD67" i="37"/>
  <c r="AK67" i="37"/>
  <c r="U67" i="37"/>
  <c r="AA67" i="37"/>
  <c r="R67" i="37"/>
  <c r="AS67" i="25"/>
  <c r="AE67" i="37"/>
  <c r="BH67" i="37"/>
  <c r="BT67" i="37"/>
  <c r="BA67" i="25"/>
  <c r="AY67" i="37"/>
  <c r="BF67" i="37"/>
  <c r="BU67" i="25"/>
  <c r="AO67" i="37"/>
  <c r="BS67" i="25"/>
  <c r="CI67" i="37"/>
  <c r="AV42" i="25"/>
  <c r="AT42" i="37"/>
  <c r="AZ42" i="25"/>
  <c r="AX42" i="37"/>
  <c r="BI42" i="25"/>
  <c r="BM42" i="37"/>
  <c r="BM42" i="25"/>
  <c r="BQ42" i="37"/>
  <c r="BS42" i="25"/>
  <c r="CI42" i="37"/>
  <c r="BG42" i="37"/>
  <c r="BZ42" i="37"/>
  <c r="AP42" i="25"/>
  <c r="AB42" i="37"/>
  <c r="Y42" i="37"/>
  <c r="BC42" i="25"/>
  <c r="BA42" i="37"/>
  <c r="BN42" i="25"/>
  <c r="CD42" i="37"/>
  <c r="BV42" i="25"/>
  <c r="Q42" i="37"/>
  <c r="AW42" i="25"/>
  <c r="AU42" i="37"/>
  <c r="CB3" i="37"/>
  <c r="V3" i="37"/>
  <c r="BW3" i="25"/>
  <c r="CC3" i="37"/>
  <c r="BD3" i="25"/>
  <c r="BB3" i="37"/>
  <c r="BI3" i="37"/>
  <c r="AS3" i="37"/>
  <c r="CA3" i="37"/>
  <c r="BI3" i="25"/>
  <c r="BM3" i="37"/>
  <c r="AZ3" i="25"/>
  <c r="AX3" i="37"/>
  <c r="BG3" i="37"/>
  <c r="BT38" i="25"/>
  <c r="BF38" i="37"/>
  <c r="R38" i="37"/>
  <c r="AW38" i="25"/>
  <c r="AU38" i="37"/>
  <c r="AY38" i="25"/>
  <c r="AW38" i="37"/>
  <c r="AP38" i="25"/>
  <c r="AB38" i="37"/>
  <c r="AS38" i="25"/>
  <c r="AE38" i="37"/>
  <c r="BO38" i="25"/>
  <c r="CE38" i="37"/>
  <c r="U38" i="37"/>
  <c r="BL38" i="25"/>
  <c r="BP38" i="37"/>
  <c r="BC73" i="25"/>
  <c r="BA73" i="37"/>
  <c r="Y73" i="37"/>
  <c r="R73" i="37"/>
  <c r="BN73" i="25"/>
  <c r="CD73" i="37"/>
  <c r="BH73" i="25"/>
  <c r="BL73" i="37"/>
  <c r="AN73" i="37"/>
  <c r="BJ73" i="37"/>
  <c r="BZ73" i="37"/>
  <c r="AW73" i="25"/>
  <c r="AU73" i="37"/>
  <c r="S73" i="37"/>
  <c r="BK73" i="25"/>
  <c r="BO73" i="37"/>
  <c r="BH5" i="25"/>
  <c r="BL5" i="37"/>
  <c r="BV5" i="37"/>
  <c r="BI5" i="25"/>
  <c r="BM5" i="37"/>
  <c r="BS5" i="25"/>
  <c r="CI5" i="37"/>
  <c r="BD5" i="25"/>
  <c r="BB5" i="37"/>
  <c r="AU5" i="25"/>
  <c r="AG5" i="37"/>
  <c r="BM5" i="25"/>
  <c r="BQ5" i="37"/>
  <c r="AA5" i="37"/>
  <c r="Y35" i="37"/>
  <c r="BR35" i="37"/>
  <c r="BU35" i="37"/>
  <c r="BA35" i="25"/>
  <c r="AY35" i="37"/>
  <c r="BX35" i="37"/>
  <c r="AS35" i="37"/>
  <c r="BX35" i="25"/>
  <c r="AA35" i="37"/>
  <c r="CB35" i="37"/>
  <c r="T35" i="37"/>
  <c r="AW35" i="25"/>
  <c r="AU35" i="37"/>
  <c r="AI69" i="37"/>
  <c r="S69" i="37"/>
  <c r="BK69" i="37"/>
  <c r="BM69" i="25"/>
  <c r="BQ69" i="37"/>
  <c r="AQ69" i="25"/>
  <c r="AC69" i="37"/>
  <c r="BG69" i="25"/>
  <c r="BE69" i="37"/>
  <c r="BK69" i="25"/>
  <c r="BO69" i="37"/>
  <c r="P69" i="37"/>
  <c r="BY69" i="25"/>
  <c r="CA69" i="37"/>
  <c r="BB57" i="25"/>
  <c r="AZ57" i="37"/>
  <c r="AO57" i="37"/>
  <c r="BX57" i="37"/>
  <c r="CA57" i="37"/>
  <c r="BG57" i="25"/>
  <c r="BE57" i="37"/>
  <c r="AL57" i="37"/>
  <c r="BH57" i="25"/>
  <c r="BL57" i="37"/>
  <c r="AM57" i="37"/>
  <c r="AS57" i="37"/>
  <c r="BY27" i="25"/>
  <c r="AQ27" i="25"/>
  <c r="AC27" i="37"/>
  <c r="BY27" i="37"/>
  <c r="AV27" i="25"/>
  <c r="AT27" i="37"/>
  <c r="AU27" i="25"/>
  <c r="AG27" i="37"/>
  <c r="AX27" i="25"/>
  <c r="AV27" i="37"/>
  <c r="S27" i="37"/>
  <c r="AR27" i="37"/>
  <c r="V27" i="37"/>
  <c r="BW27" i="37"/>
  <c r="BW40" i="37"/>
  <c r="BO40" i="25"/>
  <c r="CE40" i="37"/>
  <c r="BK40" i="37"/>
  <c r="BB40" i="25"/>
  <c r="AZ40" i="37"/>
  <c r="BH40" i="37"/>
  <c r="BT40" i="25"/>
  <c r="BM40" i="25"/>
  <c r="BQ40" i="37"/>
  <c r="Q40" i="37"/>
  <c r="BD40" i="25"/>
  <c r="BB40" i="37"/>
  <c r="BK44" i="37"/>
  <c r="BJ44" i="25"/>
  <c r="BN44" i="37"/>
  <c r="AQ44" i="37"/>
  <c r="BW44" i="37"/>
  <c r="BO44" i="25"/>
  <c r="CE44" i="37"/>
  <c r="BY44" i="25"/>
  <c r="P44" i="37"/>
  <c r="AH44" i="37"/>
  <c r="BW44" i="25"/>
  <c r="AP44" i="25"/>
  <c r="AB44" i="37"/>
  <c r="AS44" i="37"/>
  <c r="R39" i="37"/>
  <c r="BN39" i="25"/>
  <c r="CD39" i="37"/>
  <c r="BR39" i="25"/>
  <c r="CH39" i="37"/>
  <c r="BH39" i="37"/>
  <c r="BX39" i="37"/>
  <c r="BH39" i="25"/>
  <c r="BL39" i="37"/>
  <c r="BC63" i="25"/>
  <c r="BA63" i="37"/>
  <c r="AQ63" i="37"/>
  <c r="BW63" i="25"/>
  <c r="R63" i="37"/>
  <c r="AL63" i="37"/>
  <c r="AT63" i="25"/>
  <c r="AF63" i="37"/>
  <c r="BZ63" i="37"/>
  <c r="BG63" i="37"/>
  <c r="BM13" i="25"/>
  <c r="BQ13" i="37"/>
  <c r="BW13" i="37"/>
  <c r="Q13" i="37"/>
  <c r="U13" i="37"/>
  <c r="V13" i="37"/>
  <c r="AS13" i="25"/>
  <c r="AE13" i="37"/>
  <c r="BV13" i="37"/>
  <c r="Z13" i="37"/>
  <c r="AQ13" i="25"/>
  <c r="AC13" i="37"/>
  <c r="BW68" i="25"/>
  <c r="AW68" i="25"/>
  <c r="AU68" i="37"/>
  <c r="AT68" i="25"/>
  <c r="AF68" i="37"/>
  <c r="BQ68" i="25"/>
  <c r="CG68" i="37"/>
  <c r="P68" i="37"/>
  <c r="BR68" i="37"/>
  <c r="BB68" i="25"/>
  <c r="AZ68" i="37"/>
  <c r="AM68" i="37"/>
  <c r="Q68" i="37"/>
  <c r="AQ68" i="37"/>
  <c r="BJ68" i="37"/>
  <c r="AP68" i="37"/>
  <c r="BT48" i="37"/>
  <c r="BG48" i="37"/>
  <c r="BP48" i="25"/>
  <c r="CF48" i="37"/>
  <c r="BC48" i="25"/>
  <c r="BA48" i="37"/>
  <c r="AP48" i="25"/>
  <c r="AB48" i="37"/>
  <c r="BR48" i="25"/>
  <c r="CH48" i="37"/>
  <c r="BM48" i="25"/>
  <c r="BQ48" i="37"/>
  <c r="P48" i="37"/>
  <c r="AP48" i="37"/>
  <c r="BS48" i="37"/>
  <c r="AS48" i="37"/>
  <c r="BW48" i="37"/>
  <c r="BS48" i="25"/>
  <c r="CI48" i="37"/>
  <c r="BB14" i="25"/>
  <c r="AZ14" i="37"/>
  <c r="AI26" i="37"/>
  <c r="T58" i="37"/>
  <c r="BD58" i="25"/>
  <c r="BB58" i="37"/>
  <c r="X58" i="37"/>
  <c r="BX29" i="37"/>
  <c r="AN29" i="37"/>
  <c r="BO29" i="25"/>
  <c r="CE29" i="37"/>
  <c r="BF29" i="25"/>
  <c r="BD29" i="37"/>
  <c r="BR29" i="25"/>
  <c r="CH29" i="37"/>
  <c r="AT33" i="25"/>
  <c r="AF33" i="37"/>
  <c r="W33" i="37"/>
  <c r="AP53" i="25"/>
  <c r="AB53" i="37"/>
  <c r="AR53" i="37"/>
  <c r="AV53" i="25"/>
  <c r="AT53" i="37"/>
  <c r="BY52" i="25"/>
  <c r="BW52" i="37"/>
  <c r="Q52" i="37"/>
  <c r="AK52" i="37"/>
  <c r="BV52" i="25"/>
  <c r="AR50" i="37"/>
  <c r="AS50" i="25"/>
  <c r="AE50" i="37"/>
  <c r="Y74" i="37"/>
  <c r="BO10" i="25"/>
  <c r="CE10" i="37"/>
  <c r="P10" i="37"/>
  <c r="AQ10" i="25"/>
  <c r="AC10" i="37"/>
  <c r="BV49" i="37"/>
  <c r="BG49" i="25"/>
  <c r="BE49" i="37"/>
  <c r="CB49" i="37"/>
  <c r="AQ49" i="37"/>
  <c r="BK49" i="25"/>
  <c r="BO49" i="37"/>
  <c r="AL66" i="37"/>
  <c r="AP66" i="25"/>
  <c r="AB66" i="37"/>
  <c r="BH7" i="37"/>
  <c r="AT7" i="25"/>
  <c r="AF7" i="37"/>
  <c r="BH23" i="25"/>
  <c r="BL23" i="37"/>
  <c r="BS23" i="37"/>
  <c r="R54" i="37"/>
  <c r="AQ12" i="25"/>
  <c r="AC12" i="37"/>
  <c r="BX12" i="25"/>
  <c r="X12" i="37"/>
  <c r="AY37" i="25"/>
  <c r="AW37" i="37"/>
  <c r="BV37" i="25"/>
  <c r="AS4" i="37"/>
  <c r="P55" i="37"/>
  <c r="AK55" i="37"/>
  <c r="BR55" i="37"/>
  <c r="AT72" i="25"/>
  <c r="AF72" i="37"/>
  <c r="BT14" i="25"/>
  <c r="AM14" i="37"/>
  <c r="AS43" i="25"/>
  <c r="AE43" i="37"/>
  <c r="BQ26" i="25"/>
  <c r="CG26" i="37"/>
  <c r="BE10" i="25"/>
  <c r="BC10" i="37"/>
  <c r="BL10" i="25"/>
  <c r="BP10" i="37"/>
  <c r="BX49" i="25"/>
  <c r="V49" i="37"/>
  <c r="BS66" i="37"/>
  <c r="BE7" i="25"/>
  <c r="BC7" i="37"/>
  <c r="BY7" i="37"/>
  <c r="AU23" i="25"/>
  <c r="AG23" i="37"/>
  <c r="BJ23" i="37"/>
  <c r="BX23" i="25"/>
  <c r="Q23" i="37"/>
  <c r="AX54" i="25"/>
  <c r="AV54" i="37"/>
  <c r="AI54" i="37"/>
  <c r="AV54" i="25"/>
  <c r="AT54" i="37"/>
  <c r="BW9" i="37"/>
  <c r="AM9" i="37"/>
  <c r="BF9" i="25"/>
  <c r="BD9" i="37"/>
  <c r="AK65" i="37"/>
  <c r="BC65" i="25"/>
  <c r="BA65" i="37"/>
  <c r="AS65" i="25"/>
  <c r="AE65" i="37"/>
  <c r="AP65" i="25"/>
  <c r="AB65" i="37"/>
  <c r="AW65" i="25"/>
  <c r="AU65" i="37"/>
  <c r="AI65" i="37"/>
  <c r="BV65" i="37"/>
  <c r="S65" i="37"/>
  <c r="AP65" i="37"/>
  <c r="BE12" i="25"/>
  <c r="BC12" i="37"/>
  <c r="AR12" i="25"/>
  <c r="AD12" i="37"/>
  <c r="CA12" i="37"/>
  <c r="BG12" i="25"/>
  <c r="BE12" i="37"/>
  <c r="BX12" i="37"/>
  <c r="AR12" i="37"/>
  <c r="Y12" i="37"/>
  <c r="AU12" i="25"/>
  <c r="AG12" i="37"/>
  <c r="BT12" i="25"/>
  <c r="AI8" i="37"/>
  <c r="BG8" i="37"/>
  <c r="AY8" i="25"/>
  <c r="AW8" i="37"/>
  <c r="AV8" i="25"/>
  <c r="AT8" i="37"/>
  <c r="V8" i="37"/>
  <c r="X8" i="37"/>
  <c r="BW8" i="37"/>
  <c r="BU8" i="25"/>
  <c r="AL8" i="37"/>
  <c r="AN8" i="37"/>
  <c r="Z8" i="37"/>
  <c r="BN37" i="25"/>
  <c r="CD37" i="37"/>
  <c r="BG37" i="25"/>
  <c r="BE37" i="37"/>
  <c r="BP37" i="25"/>
  <c r="CF37" i="37"/>
  <c r="AQ37" i="37"/>
  <c r="BW37" i="37"/>
  <c r="BD37" i="25"/>
  <c r="BB37" i="37"/>
  <c r="BI37" i="37"/>
  <c r="AZ37" i="25"/>
  <c r="AX37" i="37"/>
  <c r="AQ37" i="25"/>
  <c r="AC37" i="37"/>
  <c r="W37" i="37"/>
  <c r="BL37" i="25"/>
  <c r="BP37" i="37"/>
  <c r="BR34" i="25"/>
  <c r="CH34" i="37"/>
  <c r="BX34" i="25"/>
  <c r="AS34" i="37"/>
  <c r="BH34" i="37"/>
  <c r="AH34" i="37"/>
  <c r="CC34" i="37"/>
  <c r="BF34" i="25"/>
  <c r="BD34" i="37"/>
  <c r="BK34" i="25"/>
  <c r="BO34" i="37"/>
  <c r="BS34" i="37"/>
  <c r="Y34" i="37"/>
  <c r="AN34" i="37"/>
  <c r="BY4" i="37"/>
  <c r="AT4" i="25"/>
  <c r="AF4" i="37"/>
  <c r="AK4" i="37"/>
  <c r="BQ4" i="25"/>
  <c r="CG4" i="37"/>
  <c r="BU4" i="37"/>
  <c r="BW4" i="25"/>
  <c r="BO4" i="25"/>
  <c r="CE4" i="37"/>
  <c r="BN4" i="25"/>
  <c r="CD4" i="37"/>
  <c r="AP4" i="37"/>
  <c r="AX4" i="25"/>
  <c r="AV4" i="37"/>
  <c r="BC4" i="25"/>
  <c r="BA4" i="37"/>
  <c r="BS4" i="37"/>
  <c r="BT28" i="25"/>
  <c r="U28" i="37"/>
  <c r="AN28" i="37"/>
  <c r="AQ28" i="37"/>
  <c r="BV28" i="37"/>
  <c r="Q28" i="37"/>
  <c r="BG55" i="25"/>
  <c r="BE55" i="37"/>
  <c r="BI55" i="37"/>
  <c r="BN55" i="25"/>
  <c r="CD55" i="37"/>
  <c r="BX55" i="25"/>
  <c r="BJ55" i="37"/>
  <c r="AO55" i="37"/>
  <c r="W55" i="37"/>
  <c r="BS72" i="25"/>
  <c r="CI72" i="37"/>
  <c r="BG72" i="37"/>
  <c r="R72" i="37"/>
  <c r="W72" i="37"/>
  <c r="AX72" i="25"/>
  <c r="AV72" i="37"/>
  <c r="AP72" i="37"/>
  <c r="AH72" i="37"/>
  <c r="AK72" i="37"/>
  <c r="BF72" i="25"/>
  <c r="BD72" i="37"/>
  <c r="BR14" i="25"/>
  <c r="CH14" i="37"/>
  <c r="AP14" i="37"/>
  <c r="BE14" i="25"/>
  <c r="BC14" i="37"/>
  <c r="BX14" i="25"/>
  <c r="AZ14" i="25"/>
  <c r="AX14" i="37"/>
  <c r="AS14" i="25"/>
  <c r="AE14" i="37"/>
  <c r="U14" i="37"/>
  <c r="BH14" i="25"/>
  <c r="BL14" i="37"/>
  <c r="BT43" i="25"/>
  <c r="AS43" i="37"/>
  <c r="AO43" i="37"/>
  <c r="BF43" i="37"/>
  <c r="BK43" i="25"/>
  <c r="BO43" i="37"/>
  <c r="BD43" i="25"/>
  <c r="BB43" i="37"/>
  <c r="S43" i="37"/>
  <c r="W43" i="37"/>
  <c r="BU43" i="37"/>
  <c r="CC43" i="37"/>
  <c r="X26" i="37"/>
  <c r="BJ26" i="37"/>
  <c r="AQ26" i="25"/>
  <c r="AC26" i="37"/>
  <c r="BH26" i="25"/>
  <c r="BL26" i="37"/>
  <c r="BS26" i="37"/>
  <c r="BR26" i="25"/>
  <c r="CH26" i="37"/>
  <c r="BS26" i="25"/>
  <c r="CI26" i="37"/>
  <c r="AQ26" i="37"/>
  <c r="AP26" i="25"/>
  <c r="AB26" i="37"/>
  <c r="BZ26" i="37"/>
  <c r="BY26" i="37"/>
  <c r="BW26" i="25"/>
  <c r="BN58" i="25"/>
  <c r="CD58" i="37"/>
  <c r="AS58" i="37"/>
  <c r="AP58" i="25"/>
  <c r="AB58" i="37"/>
  <c r="BR58" i="37"/>
  <c r="BW58" i="37"/>
  <c r="AQ58" i="25"/>
  <c r="AC58" i="37"/>
  <c r="BK58" i="37"/>
  <c r="AU58" i="25"/>
  <c r="AG58" i="37"/>
  <c r="BF58" i="25"/>
  <c r="BD58" i="37"/>
  <c r="CA58" i="37"/>
  <c r="P29" i="37"/>
  <c r="AX29" i="25"/>
  <c r="AV29" i="37"/>
  <c r="AP29" i="25"/>
  <c r="AB29" i="37"/>
  <c r="BT29" i="25"/>
  <c r="AV29" i="25"/>
  <c r="AT29" i="37"/>
  <c r="BR29" i="37"/>
  <c r="AM29" i="37"/>
  <c r="BS33" i="37"/>
  <c r="Y33" i="37"/>
  <c r="AO33" i="37"/>
  <c r="BR33" i="25"/>
  <c r="CH33" i="37"/>
  <c r="BH33" i="25"/>
  <c r="BL33" i="37"/>
  <c r="AQ33" i="25"/>
  <c r="AC33" i="37"/>
  <c r="AJ33" i="37"/>
  <c r="CB33" i="37"/>
  <c r="AA33" i="37"/>
  <c r="BZ53" i="37"/>
  <c r="BO53" i="25"/>
  <c r="CE53" i="37"/>
  <c r="BY53" i="37"/>
  <c r="BI53" i="37"/>
  <c r="BM53" i="25"/>
  <c r="BQ53" i="37"/>
  <c r="AM53" i="37"/>
  <c r="AI53" i="37"/>
  <c r="CC53" i="37"/>
  <c r="BL53" i="25"/>
  <c r="BP53" i="37"/>
  <c r="BZ52" i="37"/>
  <c r="BY52" i="37"/>
  <c r="BI52" i="25"/>
  <c r="BM52" i="37"/>
  <c r="U52" i="37"/>
  <c r="BG52" i="37"/>
  <c r="AL52" i="37"/>
  <c r="BI52" i="37"/>
  <c r="AJ52" i="37"/>
  <c r="BK52" i="25"/>
  <c r="BO52" i="37"/>
  <c r="BB52" i="25"/>
  <c r="AZ52" i="37"/>
  <c r="Y50" i="37"/>
  <c r="AT50" i="25"/>
  <c r="AF50" i="37"/>
  <c r="BJ50" i="25"/>
  <c r="BN50" i="37"/>
  <c r="BD50" i="25"/>
  <c r="BB50" i="37"/>
  <c r="AY50" i="25"/>
  <c r="AW50" i="37"/>
  <c r="AS50" i="37"/>
  <c r="AQ50" i="25"/>
  <c r="AC50" i="37"/>
  <c r="BS50" i="25"/>
  <c r="CI50" i="37"/>
  <c r="BQ50" i="25"/>
  <c r="CG50" i="37"/>
  <c r="BE50" i="25"/>
  <c r="BC50" i="37"/>
  <c r="BH50" i="37"/>
  <c r="AP74" i="37"/>
  <c r="BG74" i="25"/>
  <c r="BE74" i="37"/>
  <c r="X74" i="37"/>
  <c r="AQ74" i="25"/>
  <c r="AC74" i="37"/>
  <c r="AO74" i="37"/>
  <c r="BU74" i="37"/>
  <c r="BT74" i="37"/>
  <c r="AQ74" i="37"/>
  <c r="BP74" i="25"/>
  <c r="CF74" i="37"/>
  <c r="AW74" i="25"/>
  <c r="AU74" i="37"/>
  <c r="AK71" i="37"/>
  <c r="BK71" i="25"/>
  <c r="BO71" i="37"/>
  <c r="W71" i="37"/>
  <c r="BX71" i="37"/>
  <c r="CC71" i="37"/>
  <c r="AR71" i="25"/>
  <c r="AD71" i="37"/>
  <c r="Q71" i="37"/>
  <c r="BU71" i="37"/>
  <c r="P24" i="37"/>
  <c r="CA24" i="37"/>
  <c r="BC24" i="25"/>
  <c r="BA24" i="37"/>
  <c r="AM24" i="37"/>
  <c r="AX24" i="25"/>
  <c r="AV24" i="37"/>
  <c r="S24" i="37"/>
  <c r="BS24" i="25"/>
  <c r="CI24" i="37"/>
  <c r="BK24" i="37"/>
  <c r="BE24" i="25"/>
  <c r="BC24" i="37"/>
  <c r="BJ24" i="37"/>
  <c r="W59" i="37"/>
  <c r="AR59" i="37"/>
  <c r="T59" i="37"/>
  <c r="BD59" i="25"/>
  <c r="BB59" i="37"/>
  <c r="AM59" i="37"/>
  <c r="BM59" i="25"/>
  <c r="BQ59" i="37"/>
  <c r="Y56" i="37"/>
  <c r="BC14" i="25"/>
  <c r="BA14" i="37"/>
  <c r="P14" i="37"/>
  <c r="BN14" i="25"/>
  <c r="CD14" i="37"/>
  <c r="BS43" i="37"/>
  <c r="AX43" i="25"/>
  <c r="AV43" i="37"/>
  <c r="BR43" i="25"/>
  <c r="CH43" i="37"/>
  <c r="BX26" i="37"/>
  <c r="Q26" i="37"/>
  <c r="BL58" i="25"/>
  <c r="BP58" i="37"/>
  <c r="AY58" i="25"/>
  <c r="AW58" i="37"/>
  <c r="BX29" i="25"/>
  <c r="AQ29" i="25"/>
  <c r="AC29" i="37"/>
  <c r="T29" i="37"/>
  <c r="AR29" i="37"/>
  <c r="AI33" i="37"/>
  <c r="T33" i="37"/>
  <c r="AV33" i="25"/>
  <c r="AT33" i="37"/>
  <c r="AZ33" i="25"/>
  <c r="AX33" i="37"/>
  <c r="BI33" i="25"/>
  <c r="BM33" i="37"/>
  <c r="BK53" i="37"/>
  <c r="BV53" i="25"/>
  <c r="U53" i="37"/>
  <c r="BH53" i="25"/>
  <c r="BL53" i="37"/>
  <c r="Y53" i="37"/>
  <c r="BT52" i="37"/>
  <c r="R52" i="37"/>
  <c r="AH52" i="37"/>
  <c r="AO50" i="37"/>
  <c r="BF50" i="25"/>
  <c r="BD50" i="37"/>
  <c r="AR74" i="37"/>
  <c r="BA10" i="25"/>
  <c r="AY10" i="37"/>
  <c r="BT10" i="25"/>
  <c r="BI49" i="25"/>
  <c r="BM49" i="37"/>
  <c r="U49" i="37"/>
  <c r="AN66" i="37"/>
  <c r="BB66" i="25"/>
  <c r="AZ66" i="37"/>
  <c r="AS7" i="25"/>
  <c r="AE7" i="37"/>
  <c r="R7" i="37"/>
  <c r="AT23" i="25"/>
  <c r="AF23" i="37"/>
  <c r="BG23" i="25"/>
  <c r="BE23" i="37"/>
  <c r="CB54" i="37"/>
  <c r="BW54" i="25"/>
  <c r="AS9" i="37"/>
  <c r="BH9" i="25"/>
  <c r="BL9" i="37"/>
  <c r="AS65" i="37"/>
  <c r="AM65" i="37"/>
  <c r="BL65" i="25"/>
  <c r="BP65" i="37"/>
  <c r="BS12" i="25"/>
  <c r="CI12" i="37"/>
  <c r="R12" i="37"/>
  <c r="AP12" i="37"/>
  <c r="AP8" i="37"/>
  <c r="BM8" i="25"/>
  <c r="BQ8" i="37"/>
  <c r="BR8" i="25"/>
  <c r="CH8" i="37"/>
  <c r="Q37" i="37"/>
  <c r="AP37" i="37"/>
  <c r="AJ37" i="37"/>
  <c r="BB37" i="25"/>
  <c r="AZ37" i="37"/>
  <c r="BN34" i="25"/>
  <c r="CD34" i="37"/>
  <c r="BA34" i="25"/>
  <c r="AY34" i="37"/>
  <c r="BX4" i="25"/>
  <c r="BL4" i="25"/>
  <c r="BP4" i="37"/>
  <c r="BR4" i="25"/>
  <c r="CH4" i="37"/>
  <c r="BH4" i="37"/>
  <c r="AH4" i="37"/>
  <c r="BK4" i="25"/>
  <c r="BO4" i="37"/>
  <c r="BI28" i="25"/>
  <c r="BM28" i="37"/>
  <c r="BP28" i="25"/>
  <c r="CF28" i="37"/>
  <c r="AV28" i="25"/>
  <c r="AT28" i="37"/>
  <c r="T55" i="37"/>
  <c r="BX55" i="37"/>
  <c r="X72" i="37"/>
  <c r="AN72" i="37"/>
  <c r="BA72" i="25"/>
  <c r="AY72" i="37"/>
  <c r="BR72" i="37"/>
  <c r="T14" i="37"/>
  <c r="BQ14" i="25"/>
  <c r="CG14" i="37"/>
  <c r="AR14" i="25"/>
  <c r="AD14" i="37"/>
  <c r="BZ43" i="37"/>
  <c r="BD10" i="25"/>
  <c r="BB10" i="37"/>
  <c r="AL10" i="37"/>
  <c r="AY10" i="25"/>
  <c r="AW10" i="37"/>
  <c r="AP49" i="37"/>
  <c r="BA49" i="25"/>
  <c r="AY49" i="37"/>
  <c r="AA49" i="37"/>
  <c r="BK49" i="37"/>
  <c r="AI66" i="37"/>
  <c r="BJ66" i="37"/>
  <c r="AR66" i="37"/>
  <c r="P66" i="37"/>
  <c r="AI7" i="37"/>
  <c r="AS23" i="25"/>
  <c r="AE23" i="37"/>
  <c r="Z23" i="37"/>
  <c r="BU54" i="25"/>
  <c r="AP9" i="37"/>
  <c r="V9" i="37"/>
  <c r="T9" i="37"/>
  <c r="BO65" i="25"/>
  <c r="CE65" i="37"/>
  <c r="AT12" i="25"/>
  <c r="AF12" i="37"/>
  <c r="BH10" i="25"/>
  <c r="BL10" i="37"/>
  <c r="T10" i="37"/>
  <c r="AS10" i="37"/>
  <c r="Y10" i="37"/>
  <c r="BW10" i="25"/>
  <c r="BW10" i="37"/>
  <c r="BT10" i="37"/>
  <c r="AO10" i="37"/>
  <c r="AS10" i="25"/>
  <c r="AE10" i="37"/>
  <c r="R10" i="37"/>
  <c r="BS49" i="37"/>
  <c r="BV49" i="25"/>
  <c r="BJ49" i="25"/>
  <c r="BN49" i="37"/>
  <c r="BB49" i="25"/>
  <c r="AZ49" i="37"/>
  <c r="BM49" i="25"/>
  <c r="BQ49" i="37"/>
  <c r="AS49" i="37"/>
  <c r="P49" i="37"/>
  <c r="Z49" i="37"/>
  <c r="AR49" i="37"/>
  <c r="BE66" i="25"/>
  <c r="BC66" i="37"/>
  <c r="BY66" i="37"/>
  <c r="BG66" i="25"/>
  <c r="BE66" i="37"/>
  <c r="BK66" i="37"/>
  <c r="AU66" i="25"/>
  <c r="AG66" i="37"/>
  <c r="X66" i="37"/>
  <c r="AR66" i="25"/>
  <c r="AD66" i="37"/>
  <c r="AS66" i="37"/>
  <c r="BR66" i="37"/>
  <c r="BB7" i="25"/>
  <c r="AZ7" i="37"/>
  <c r="AH7" i="37"/>
  <c r="BU7" i="25"/>
  <c r="AK7" i="37"/>
  <c r="BH7" i="25"/>
  <c r="BL7" i="37"/>
  <c r="AO7" i="37"/>
  <c r="BW7" i="25"/>
  <c r="BT7" i="25"/>
  <c r="AP7" i="37"/>
  <c r="BR7" i="25"/>
  <c r="CH7" i="37"/>
  <c r="BF7" i="37"/>
  <c r="BF23" i="25"/>
  <c r="BD23" i="37"/>
  <c r="S23" i="37"/>
  <c r="BK23" i="37"/>
  <c r="AJ23" i="37"/>
  <c r="BU23" i="37"/>
  <c r="P23" i="37"/>
  <c r="CB23" i="37"/>
  <c r="BA23" i="25"/>
  <c r="AY23" i="37"/>
  <c r="W23" i="37"/>
  <c r="BK23" i="25"/>
  <c r="BO23" i="37"/>
  <c r="W54" i="37"/>
  <c r="BF54" i="37"/>
  <c r="AR54" i="25"/>
  <c r="AD54" i="37"/>
  <c r="BG54" i="25"/>
  <c r="BE54" i="37"/>
  <c r="BJ54" i="25"/>
  <c r="BN54" i="37"/>
  <c r="BB54" i="25"/>
  <c r="AZ54" i="37"/>
  <c r="X54" i="37"/>
  <c r="AM54" i="37"/>
  <c r="BT9" i="25"/>
  <c r="AJ9" i="37"/>
  <c r="CB9" i="37"/>
  <c r="BM9" i="25"/>
  <c r="BQ9" i="37"/>
  <c r="BL9" i="25"/>
  <c r="BP9" i="37"/>
  <c r="S9" i="37"/>
  <c r="BE9" i="25"/>
  <c r="BC9" i="37"/>
  <c r="BB9" i="25"/>
  <c r="AZ9" i="37"/>
  <c r="BR9" i="25"/>
  <c r="CH9" i="37"/>
  <c r="BO9" i="25"/>
  <c r="CE9" i="37"/>
  <c r="AX9" i="25"/>
  <c r="AV9" i="37"/>
  <c r="BK9" i="25"/>
  <c r="BO9" i="37"/>
  <c r="AU65" i="25"/>
  <c r="AG65" i="37"/>
  <c r="BJ65" i="37"/>
  <c r="AA65" i="37"/>
  <c r="BK65" i="25"/>
  <c r="BO65" i="37"/>
  <c r="R65" i="37"/>
  <c r="AL65" i="37"/>
  <c r="BY65" i="37"/>
  <c r="BG65" i="25"/>
  <c r="BE65" i="37"/>
  <c r="X65" i="37"/>
  <c r="BT12" i="37"/>
  <c r="BY12" i="25"/>
  <c r="AO12" i="37"/>
  <c r="W12" i="37"/>
  <c r="AA12" i="37"/>
  <c r="BK12" i="25"/>
  <c r="BO12" i="37"/>
  <c r="AN12" i="37"/>
  <c r="BU12" i="25"/>
  <c r="BF12" i="37"/>
  <c r="P12" i="37"/>
  <c r="BZ8" i="37"/>
  <c r="BJ8" i="25"/>
  <c r="BN8" i="37"/>
  <c r="AS8" i="37"/>
  <c r="AZ8" i="25"/>
  <c r="AX8" i="37"/>
  <c r="AR8" i="25"/>
  <c r="AD8" i="37"/>
  <c r="BV8" i="37"/>
  <c r="BJ8" i="37"/>
  <c r="BV8" i="25"/>
  <c r="BM37" i="25"/>
  <c r="BQ37" i="37"/>
  <c r="BJ37" i="25"/>
  <c r="BN37" i="37"/>
  <c r="AT37" i="25"/>
  <c r="AF37" i="37"/>
  <c r="AR37" i="25"/>
  <c r="AD37" i="37"/>
  <c r="BJ37" i="37"/>
  <c r="AR37" i="37"/>
  <c r="AO37" i="37"/>
  <c r="BY37" i="25"/>
  <c r="BF37" i="25"/>
  <c r="BD37" i="37"/>
  <c r="AS37" i="37"/>
  <c r="BO34" i="25"/>
  <c r="CE34" i="37"/>
  <c r="BV34" i="37"/>
  <c r="CB34" i="37"/>
  <c r="V34" i="37"/>
  <c r="CA34" i="37"/>
  <c r="BY34" i="37"/>
  <c r="BI34" i="37"/>
  <c r="AR34" i="37"/>
  <c r="AZ34" i="25"/>
  <c r="AX34" i="37"/>
  <c r="AW34" i="25"/>
  <c r="AU34" i="37"/>
  <c r="BH34" i="25"/>
  <c r="BL34" i="37"/>
  <c r="BS34" i="25"/>
  <c r="CI34" i="37"/>
  <c r="AP34" i="25"/>
  <c r="AB34" i="37"/>
  <c r="AL34" i="37"/>
  <c r="BE4" i="25"/>
  <c r="BC4" i="37"/>
  <c r="W4" i="37"/>
  <c r="BP4" i="25"/>
  <c r="CF4" i="37"/>
  <c r="AA4" i="37"/>
  <c r="CB4" i="37"/>
  <c r="BK4" i="37"/>
  <c r="BD4" i="25"/>
  <c r="BB4" i="37"/>
  <c r="BJ4" i="25"/>
  <c r="BN4" i="37"/>
  <c r="BK28" i="37"/>
  <c r="BR28" i="37"/>
  <c r="BW28" i="25"/>
  <c r="X28" i="37"/>
  <c r="T28" i="37"/>
  <c r="BK28" i="25"/>
  <c r="BO28" i="37"/>
  <c r="CB28" i="37"/>
  <c r="BV55" i="25"/>
  <c r="Q55" i="37"/>
  <c r="BO55" i="25"/>
  <c r="CE55" i="37"/>
  <c r="CB55" i="37"/>
  <c r="AV55" i="25"/>
  <c r="AT55" i="37"/>
  <c r="BR55" i="25"/>
  <c r="CH55" i="37"/>
  <c r="BI55" i="25"/>
  <c r="BM55" i="37"/>
  <c r="BY55" i="37"/>
  <c r="BD55" i="25"/>
  <c r="BB55" i="37"/>
  <c r="Y55" i="37"/>
  <c r="BF55" i="37"/>
  <c r="BS55" i="25"/>
  <c r="CI55" i="37"/>
  <c r="AI72" i="37"/>
  <c r="BG72" i="25"/>
  <c r="BE72" i="37"/>
  <c r="P72" i="37"/>
  <c r="AY72" i="25"/>
  <c r="AW72" i="37"/>
  <c r="BK72" i="25"/>
  <c r="BO72" i="37"/>
  <c r="AU72" i="25"/>
  <c r="AG72" i="37"/>
  <c r="BP72" i="25"/>
  <c r="CF72" i="37"/>
  <c r="AR72" i="25"/>
  <c r="AD72" i="37"/>
  <c r="BM72" i="25"/>
  <c r="BQ72" i="37"/>
  <c r="V14" i="37"/>
  <c r="AV14" i="25"/>
  <c r="AT14" i="37"/>
  <c r="AR14" i="37"/>
  <c r="CA14" i="37"/>
  <c r="AH14" i="37"/>
  <c r="BJ14" i="25"/>
  <c r="BN14" i="37"/>
  <c r="AX14" i="25"/>
  <c r="AV14" i="37"/>
  <c r="AQ14" i="25"/>
  <c r="AC14" i="37"/>
  <c r="AU14" i="25"/>
  <c r="AG14" i="37"/>
  <c r="AP43" i="25"/>
  <c r="AB43" i="37"/>
  <c r="BW43" i="37"/>
  <c r="AV43" i="25"/>
  <c r="AT43" i="37"/>
  <c r="BM43" i="25"/>
  <c r="BQ43" i="37"/>
  <c r="BA43" i="25"/>
  <c r="AY43" i="37"/>
  <c r="BI43" i="25"/>
  <c r="BM43" i="37"/>
  <c r="BS43" i="25"/>
  <c r="CI43" i="37"/>
  <c r="AQ43" i="37"/>
  <c r="R43" i="37"/>
  <c r="AU26" i="25"/>
  <c r="AG26" i="37"/>
  <c r="AR26" i="37"/>
  <c r="BG26" i="37"/>
  <c r="BD26" i="25"/>
  <c r="BB26" i="37"/>
  <c r="BA26" i="25"/>
  <c r="AY26" i="37"/>
  <c r="BT26" i="37"/>
  <c r="BX26" i="25"/>
  <c r="AM26" i="37"/>
  <c r="BM26" i="25"/>
  <c r="BQ26" i="37"/>
  <c r="CA26" i="37"/>
  <c r="BT58" i="37"/>
  <c r="AM58" i="37"/>
  <c r="BV58" i="37"/>
  <c r="BX58" i="37"/>
  <c r="BG58" i="37"/>
  <c r="BI58" i="37"/>
  <c r="Y58" i="37"/>
  <c r="AP58" i="37"/>
  <c r="BR58" i="25"/>
  <c r="CH58" i="37"/>
  <c r="BW58" i="25"/>
  <c r="AQ58" i="37"/>
  <c r="BI29" i="25"/>
  <c r="BM29" i="37"/>
  <c r="CC29" i="37"/>
  <c r="W29" i="37"/>
  <c r="BD29" i="25"/>
  <c r="BB29" i="37"/>
  <c r="AS29" i="25"/>
  <c r="AE29" i="37"/>
  <c r="BC29" i="25"/>
  <c r="BA29" i="37"/>
  <c r="U29" i="37"/>
  <c r="BL33" i="25"/>
  <c r="BP33" i="37"/>
  <c r="BI33" i="37"/>
  <c r="BH33" i="37"/>
  <c r="BX33" i="25"/>
  <c r="AS33" i="25"/>
  <c r="AE33" i="37"/>
  <c r="AL33" i="37"/>
  <c r="AU33" i="25"/>
  <c r="AG33" i="37"/>
  <c r="BY33" i="25"/>
  <c r="BU33" i="25"/>
  <c r="V33" i="37"/>
  <c r="BU33" i="37"/>
  <c r="BY33" i="37"/>
  <c r="BW33" i="25"/>
  <c r="BN53" i="25"/>
  <c r="CD53" i="37"/>
  <c r="BS53" i="25"/>
  <c r="CI53" i="37"/>
  <c r="BS53" i="37"/>
  <c r="CA53" i="37"/>
  <c r="BC53" i="25"/>
  <c r="BA53" i="37"/>
  <c r="AH53" i="37"/>
  <c r="BB53" i="25"/>
  <c r="AZ53" i="37"/>
  <c r="AK53" i="37"/>
  <c r="BQ52" i="25"/>
  <c r="CG52" i="37"/>
  <c r="AP52" i="25"/>
  <c r="AB52" i="37"/>
  <c r="BS52" i="25"/>
  <c r="CI52" i="37"/>
  <c r="AU52" i="25"/>
  <c r="AG52" i="37"/>
  <c r="BD52" i="25"/>
  <c r="BB52" i="37"/>
  <c r="X52" i="37"/>
  <c r="BW52" i="25"/>
  <c r="AV52" i="25"/>
  <c r="AT52" i="37"/>
  <c r="BV52" i="37"/>
  <c r="AM52" i="37"/>
  <c r="S50" i="37"/>
  <c r="AU50" i="25"/>
  <c r="AG50" i="37"/>
  <c r="BK50" i="25"/>
  <c r="BO50" i="37"/>
  <c r="BK50" i="37"/>
  <c r="BU50" i="37"/>
  <c r="BB50" i="25"/>
  <c r="AZ50" i="37"/>
  <c r="Q50" i="37"/>
  <c r="BY50" i="37"/>
  <c r="BV50" i="37"/>
  <c r="R74" i="37"/>
  <c r="AZ74" i="25"/>
  <c r="AX74" i="37"/>
  <c r="BW74" i="25"/>
  <c r="BX74" i="25"/>
  <c r="BB74" i="25"/>
  <c r="AZ74" i="37"/>
  <c r="BW74" i="37"/>
  <c r="AJ74" i="37"/>
  <c r="BY74" i="37"/>
  <c r="AS74" i="37"/>
  <c r="AM74" i="37"/>
  <c r="W74" i="37"/>
  <c r="BV71" i="37"/>
  <c r="AW71" i="25"/>
  <c r="AU71" i="37"/>
  <c r="BR71" i="37"/>
  <c r="BL71" i="25"/>
  <c r="BP71" i="37"/>
  <c r="AH71" i="37"/>
  <c r="BJ71" i="37"/>
  <c r="BG71" i="37"/>
  <c r="Y71" i="37"/>
  <c r="BW71" i="25"/>
  <c r="AQ71" i="37"/>
  <c r="BK71" i="37"/>
  <c r="Q24" i="37"/>
  <c r="BZ24" i="37"/>
  <c r="AP24" i="25"/>
  <c r="AB24" i="37"/>
  <c r="BS24" i="37"/>
  <c r="BT24" i="37"/>
  <c r="BI24" i="37"/>
  <c r="AV24" i="25"/>
  <c r="AT24" i="37"/>
  <c r="AT24" i="25"/>
  <c r="AF24" i="37"/>
  <c r="BD24" i="25"/>
  <c r="BB24" i="37"/>
  <c r="AO24" i="37"/>
  <c r="BO24" i="25"/>
  <c r="CE24" i="37"/>
  <c r="P59" i="37"/>
  <c r="AT59" i="25"/>
  <c r="AF59" i="37"/>
  <c r="BH59" i="25"/>
  <c r="BL59" i="37"/>
  <c r="AS59" i="37"/>
  <c r="AS59" i="25"/>
  <c r="AE59" i="37"/>
  <c r="BJ59" i="37"/>
  <c r="Q59" i="37"/>
  <c r="AK59" i="37"/>
  <c r="BG59" i="37"/>
  <c r="BU59" i="37"/>
  <c r="AT56" i="25"/>
  <c r="AF56" i="37"/>
  <c r="BW56" i="37"/>
  <c r="AK14" i="37"/>
  <c r="BS14" i="25"/>
  <c r="CI14" i="37"/>
  <c r="AL14" i="37"/>
  <c r="BD14" i="25"/>
  <c r="BB14" i="37"/>
  <c r="AW14" i="25"/>
  <c r="AU14" i="37"/>
  <c r="X43" i="37"/>
  <c r="AK43" i="37"/>
  <c r="Q43" i="37"/>
  <c r="BC43" i="25"/>
  <c r="BA43" i="37"/>
  <c r="BT43" i="37"/>
  <c r="BX43" i="25"/>
  <c r="BU26" i="25"/>
  <c r="BH26" i="37"/>
  <c r="AI58" i="37"/>
  <c r="BF58" i="37"/>
  <c r="BH58" i="25"/>
  <c r="BL58" i="37"/>
  <c r="BA29" i="25"/>
  <c r="AY29" i="37"/>
  <c r="BE29" i="25"/>
  <c r="BC29" i="37"/>
  <c r="BS29" i="25"/>
  <c r="CI29" i="37"/>
  <c r="BJ29" i="25"/>
  <c r="BN29" i="37"/>
  <c r="Z33" i="37"/>
  <c r="R33" i="37"/>
  <c r="AH33" i="37"/>
  <c r="AN33" i="37"/>
  <c r="AS53" i="37"/>
  <c r="AS52" i="25"/>
  <c r="AE52" i="37"/>
  <c r="BL52" i="25"/>
  <c r="BP52" i="37"/>
  <c r="AA50" i="37"/>
  <c r="BN50" i="25"/>
  <c r="CD50" i="37"/>
  <c r="CC50" i="37"/>
  <c r="AN74" i="37"/>
  <c r="BV74" i="25"/>
  <c r="AV10" i="25"/>
  <c r="AT10" i="37"/>
  <c r="AP10" i="25"/>
  <c r="AB10" i="37"/>
  <c r="AZ10" i="25"/>
  <c r="AX10" i="37"/>
  <c r="BJ10" i="37"/>
  <c r="AU49" i="25"/>
  <c r="AG49" i="37"/>
  <c r="BW49" i="25"/>
  <c r="AR49" i="25"/>
  <c r="AD49" i="37"/>
  <c r="Y66" i="37"/>
  <c r="Z66" i="37"/>
  <c r="BN66" i="25"/>
  <c r="CD66" i="37"/>
  <c r="BH66" i="37"/>
  <c r="R66" i="37"/>
  <c r="CA7" i="37"/>
  <c r="AY7" i="25"/>
  <c r="AW7" i="37"/>
  <c r="BT23" i="37"/>
  <c r="BQ23" i="25"/>
  <c r="CG23" i="37"/>
  <c r="BV23" i="37"/>
  <c r="AO23" i="37"/>
  <c r="S54" i="37"/>
  <c r="BF54" i="25"/>
  <c r="BD54" i="37"/>
  <c r="BL54" i="25"/>
  <c r="BP54" i="37"/>
  <c r="CA9" i="37"/>
  <c r="P9" i="37"/>
  <c r="AZ9" i="25"/>
  <c r="AX9" i="37"/>
  <c r="BY9" i="37"/>
  <c r="BX9" i="37"/>
  <c r="AY65" i="25"/>
  <c r="AW65" i="37"/>
  <c r="BR65" i="37"/>
  <c r="BF65" i="37"/>
  <c r="BM65" i="25"/>
  <c r="BQ65" i="37"/>
  <c r="BF12" i="25"/>
  <c r="BD12" i="37"/>
  <c r="BW12" i="37"/>
  <c r="BB8" i="25"/>
  <c r="AZ8" i="37"/>
  <c r="AS8" i="25"/>
  <c r="AE8" i="37"/>
  <c r="CC37" i="37"/>
  <c r="AK37" i="37"/>
  <c r="T34" i="37"/>
  <c r="AP4" i="25"/>
  <c r="AB4" i="37"/>
  <c r="AN4" i="37"/>
  <c r="BX28" i="25"/>
  <c r="BS28" i="37"/>
  <c r="AH28" i="37"/>
  <c r="BW55" i="25"/>
  <c r="BH55" i="25"/>
  <c r="BL55" i="37"/>
  <c r="S55" i="37"/>
  <c r="BH72" i="37"/>
  <c r="Q72" i="37"/>
  <c r="AP72" i="25"/>
  <c r="AB72" i="37"/>
  <c r="BX14" i="37"/>
  <c r="BV14" i="37"/>
  <c r="AT43" i="25"/>
  <c r="AF43" i="37"/>
  <c r="BG43" i="25"/>
  <c r="BE43" i="37"/>
  <c r="AU43" i="25"/>
  <c r="AG43" i="37"/>
  <c r="BB43" i="25"/>
  <c r="AZ43" i="37"/>
  <c r="BK10" i="37"/>
  <c r="CC10" i="37"/>
  <c r="BG10" i="25"/>
  <c r="BE10" i="37"/>
  <c r="CB10" i="37"/>
  <c r="U10" i="37"/>
  <c r="BX49" i="37"/>
  <c r="BU49" i="25"/>
  <c r="BO49" i="25"/>
  <c r="CE49" i="37"/>
  <c r="T49" i="37"/>
  <c r="AM49" i="37"/>
  <c r="AJ49" i="37"/>
  <c r="R49" i="37"/>
  <c r="AW49" i="25"/>
  <c r="AU49" i="37"/>
  <c r="AK66" i="37"/>
  <c r="AY66" i="25"/>
  <c r="AW66" i="37"/>
  <c r="AP66" i="37"/>
  <c r="BU66" i="37"/>
  <c r="AR7" i="37"/>
  <c r="AS7" i="37"/>
  <c r="BS7" i="25"/>
  <c r="CI7" i="37"/>
  <c r="BZ23" i="37"/>
  <c r="BN23" i="25"/>
  <c r="CD23" i="37"/>
  <c r="BY54" i="25"/>
  <c r="AJ54" i="37"/>
  <c r="AS54" i="25"/>
  <c r="AE54" i="37"/>
  <c r="BN54" i="25"/>
  <c r="CD54" i="37"/>
  <c r="AR54" i="37"/>
  <c r="AT54" i="25"/>
  <c r="AF54" i="37"/>
  <c r="AN54" i="37"/>
  <c r="BW9" i="25"/>
  <c r="BK9" i="37"/>
  <c r="AI9" i="37"/>
  <c r="Z12" i="37"/>
  <c r="BF10" i="25"/>
  <c r="BD10" i="37"/>
  <c r="AT10" i="25"/>
  <c r="AF10" i="37"/>
  <c r="BS10" i="25"/>
  <c r="CI10" i="37"/>
  <c r="AH10" i="37"/>
  <c r="BV10" i="25"/>
  <c r="BY10" i="25"/>
  <c r="AX10" i="25"/>
  <c r="AV10" i="37"/>
  <c r="BB10" i="25"/>
  <c r="AZ10" i="37"/>
  <c r="AU10" i="25"/>
  <c r="AG10" i="37"/>
  <c r="BM10" i="25"/>
  <c r="BQ10" i="37"/>
  <c r="BN10" i="25"/>
  <c r="CD10" i="37"/>
  <c r="BU49" i="37"/>
  <c r="AK49" i="37"/>
  <c r="AL49" i="37"/>
  <c r="BF49" i="37"/>
  <c r="AX49" i="25"/>
  <c r="AV49" i="37"/>
  <c r="BE49" i="25"/>
  <c r="BC49" i="37"/>
  <c r="BP49" i="25"/>
  <c r="CF49" i="37"/>
  <c r="BC49" i="25"/>
  <c r="BA49" i="37"/>
  <c r="CA49" i="37"/>
  <c r="BG66" i="37"/>
  <c r="BX66" i="37"/>
  <c r="BF66" i="25"/>
  <c r="BD66" i="37"/>
  <c r="U66" i="37"/>
  <c r="AV66" i="25"/>
  <c r="AT66" i="37"/>
  <c r="BQ66" i="25"/>
  <c r="CG66" i="37"/>
  <c r="AW66" i="25"/>
  <c r="AU66" i="37"/>
  <c r="W66" i="37"/>
  <c r="CC66" i="37"/>
  <c r="P7" i="37"/>
  <c r="Y7" i="37"/>
  <c r="AP7" i="25"/>
  <c r="AB7" i="37"/>
  <c r="BD7" i="25"/>
  <c r="BB7" i="37"/>
  <c r="BM7" i="25"/>
  <c r="BQ7" i="37"/>
  <c r="BX7" i="37"/>
  <c r="BJ7" i="25"/>
  <c r="BN7" i="37"/>
  <c r="AQ7" i="25"/>
  <c r="AC7" i="37"/>
  <c r="BI7" i="37"/>
  <c r="BR23" i="37"/>
  <c r="AA23" i="37"/>
  <c r="AY23" i="25"/>
  <c r="AW23" i="37"/>
  <c r="BO23" i="25"/>
  <c r="CE23" i="37"/>
  <c r="X23" i="37"/>
  <c r="BY23" i="37"/>
  <c r="BW23" i="37"/>
  <c r="AM23" i="37"/>
  <c r="BT23" i="25"/>
  <c r="T23" i="37"/>
  <c r="Q54" i="37"/>
  <c r="BU54" i="37"/>
  <c r="U54" i="37"/>
  <c r="CA54" i="37"/>
  <c r="BT54" i="25"/>
  <c r="AU54" i="25"/>
  <c r="AG54" i="37"/>
  <c r="AP54" i="37"/>
  <c r="CC54" i="37"/>
  <c r="AZ54" i="25"/>
  <c r="AX54" i="37"/>
  <c r="AH9" i="37"/>
  <c r="AV9" i="25"/>
  <c r="AT9" i="37"/>
  <c r="X9" i="37"/>
  <c r="AO9" i="37"/>
  <c r="BH9" i="37"/>
  <c r="AN9" i="37"/>
  <c r="AR9" i="37"/>
  <c r="BU9" i="37"/>
  <c r="BK65" i="37"/>
  <c r="T65" i="37"/>
  <c r="BH65" i="37"/>
  <c r="AV65" i="25"/>
  <c r="AT65" i="37"/>
  <c r="BT65" i="25"/>
  <c r="AH65" i="37"/>
  <c r="BT65" i="37"/>
  <c r="BZ65" i="37"/>
  <c r="BI65" i="25"/>
  <c r="BM65" i="37"/>
  <c r="AJ65" i="37"/>
  <c r="BG12" i="37"/>
  <c r="AI12" i="37"/>
  <c r="BI12" i="37"/>
  <c r="BC12" i="25"/>
  <c r="BA12" i="37"/>
  <c r="BH12" i="37"/>
  <c r="BA12" i="25"/>
  <c r="AY12" i="37"/>
  <c r="AH12" i="37"/>
  <c r="BJ12" i="25"/>
  <c r="BN12" i="37"/>
  <c r="BB12" i="25"/>
  <c r="AZ12" i="37"/>
  <c r="AZ12" i="25"/>
  <c r="AX12" i="37"/>
  <c r="CC12" i="37"/>
  <c r="BX8" i="37"/>
  <c r="BG8" i="25"/>
  <c r="BE8" i="37"/>
  <c r="BD8" i="25"/>
  <c r="BB8" i="37"/>
  <c r="BT8" i="37"/>
  <c r="Q8" i="37"/>
  <c r="BY8" i="25"/>
  <c r="AM8" i="37"/>
  <c r="BH8" i="25"/>
  <c r="BL8" i="37"/>
  <c r="BY8" i="37"/>
  <c r="BA8" i="25"/>
  <c r="AY8" i="37"/>
  <c r="AX8" i="25"/>
  <c r="AV8" i="37"/>
  <c r="CB8" i="37"/>
  <c r="BW37" i="25"/>
  <c r="BA37" i="25"/>
  <c r="AY37" i="37"/>
  <c r="BQ37" i="25"/>
  <c r="CG37" i="37"/>
  <c r="BE37" i="25"/>
  <c r="BC37" i="37"/>
  <c r="BG37" i="37"/>
  <c r="BC37" i="25"/>
  <c r="BA37" i="37"/>
  <c r="AS37" i="25"/>
  <c r="AE37" i="37"/>
  <c r="BR37" i="37"/>
  <c r="BU37" i="37"/>
  <c r="V37" i="37"/>
  <c r="Q34" i="37"/>
  <c r="AQ34" i="37"/>
  <c r="AU34" i="25"/>
  <c r="AG34" i="37"/>
  <c r="AP34" i="37"/>
  <c r="BJ34" i="25"/>
  <c r="BN34" i="37"/>
  <c r="BX34" i="37"/>
  <c r="AA34" i="37"/>
  <c r="BM34" i="25"/>
  <c r="BQ34" i="37"/>
  <c r="BT4" i="25"/>
  <c r="BH4" i="25"/>
  <c r="BL4" i="37"/>
  <c r="BY4" i="25"/>
  <c r="AU4" i="25"/>
  <c r="AG4" i="37"/>
  <c r="CC4" i="37"/>
  <c r="AJ4" i="37"/>
  <c r="S4" i="37"/>
  <c r="BV4" i="25"/>
  <c r="BJ4" i="37"/>
  <c r="AZ4" i="25"/>
  <c r="AX4" i="37"/>
  <c r="P4" i="37"/>
  <c r="AR4" i="37"/>
  <c r="AP28" i="37"/>
  <c r="BG28" i="37"/>
  <c r="BM28" i="25"/>
  <c r="BQ28" i="37"/>
  <c r="AZ28" i="25"/>
  <c r="AX28" i="37"/>
  <c r="BH28" i="25"/>
  <c r="BL28" i="37"/>
  <c r="AL28" i="37"/>
  <c r="Z28" i="37"/>
  <c r="BD28" i="25"/>
  <c r="BB28" i="37"/>
  <c r="BB28" i="25"/>
  <c r="AZ28" i="37"/>
  <c r="AY28" i="25"/>
  <c r="AW28" i="37"/>
  <c r="AM28" i="37"/>
  <c r="AO28" i="37"/>
  <c r="BA55" i="25"/>
  <c r="AY55" i="37"/>
  <c r="BT55" i="37"/>
  <c r="AU55" i="25"/>
  <c r="AG55" i="37"/>
  <c r="AR55" i="25"/>
  <c r="AD55" i="37"/>
  <c r="AP55" i="37"/>
  <c r="CA55" i="37"/>
  <c r="BW55" i="37"/>
  <c r="BV72" i="25"/>
  <c r="CC72" i="37"/>
  <c r="AM72" i="37"/>
  <c r="V72" i="37"/>
  <c r="AQ72" i="25"/>
  <c r="AC72" i="37"/>
  <c r="BT72" i="25"/>
  <c r="AZ72" i="25"/>
  <c r="AX72" i="37"/>
  <c r="AO72" i="37"/>
  <c r="BL72" i="25"/>
  <c r="BP72" i="37"/>
  <c r="BC72" i="25"/>
  <c r="BA72" i="37"/>
  <c r="BI72" i="25"/>
  <c r="BM72" i="37"/>
  <c r="AO14" i="37"/>
  <c r="AY14" i="25"/>
  <c r="AW14" i="37"/>
  <c r="BI14" i="25"/>
  <c r="BM14" i="37"/>
  <c r="BU14" i="37"/>
  <c r="BS14" i="37"/>
  <c r="BY14" i="37"/>
  <c r="AT14" i="25"/>
  <c r="AF14" i="37"/>
  <c r="BI14" i="37"/>
  <c r="Y14" i="37"/>
  <c r="BA14" i="25"/>
  <c r="AY14" i="37"/>
  <c r="AA43" i="37"/>
  <c r="AL43" i="37"/>
  <c r="BE43" i="25"/>
  <c r="BC43" i="37"/>
  <c r="AY43" i="25"/>
  <c r="AW43" i="37"/>
  <c r="Z43" i="37"/>
  <c r="BR43" i="37"/>
  <c r="BK43" i="37"/>
  <c r="BF43" i="25"/>
  <c r="BD43" i="37"/>
  <c r="BV43" i="37"/>
  <c r="BX43" i="37"/>
  <c r="BN43" i="25"/>
  <c r="CD43" i="37"/>
  <c r="AX26" i="25"/>
  <c r="AV26" i="37"/>
  <c r="BI26" i="25"/>
  <c r="BM26" i="37"/>
  <c r="BF26" i="37"/>
  <c r="AN26" i="37"/>
  <c r="Y26" i="37"/>
  <c r="BV26" i="37"/>
  <c r="AS26" i="37"/>
  <c r="BJ26" i="25"/>
  <c r="BN26" i="37"/>
  <c r="W58" i="37"/>
  <c r="AT58" i="25"/>
  <c r="AF58" i="37"/>
  <c r="BA58" i="25"/>
  <c r="AY58" i="37"/>
  <c r="AK58" i="37"/>
  <c r="BG58" i="25"/>
  <c r="BE58" i="37"/>
  <c r="BK58" i="25"/>
  <c r="BO58" i="37"/>
  <c r="BY58" i="25"/>
  <c r="BB58" i="25"/>
  <c r="AZ58" i="37"/>
  <c r="BU58" i="37"/>
  <c r="BX58" i="25"/>
  <c r="AR58" i="37"/>
  <c r="BI58" i="25"/>
  <c r="BM58" i="37"/>
  <c r="BZ58" i="37"/>
  <c r="BG29" i="25"/>
  <c r="BE29" i="37"/>
  <c r="Z29" i="37"/>
  <c r="AP29" i="37"/>
  <c r="AZ29" i="25"/>
  <c r="AX29" i="37"/>
  <c r="CA29" i="37"/>
  <c r="BY29" i="25"/>
  <c r="BS29" i="37"/>
  <c r="AK29" i="37"/>
  <c r="BM29" i="25"/>
  <c r="BQ29" i="37"/>
  <c r="AQ29" i="37"/>
  <c r="AY29" i="25"/>
  <c r="AW29" i="37"/>
  <c r="CA33" i="37"/>
  <c r="Q33" i="37"/>
  <c r="BJ33" i="25"/>
  <c r="BN33" i="37"/>
  <c r="BE33" i="25"/>
  <c r="BC33" i="37"/>
  <c r="BP33" i="25"/>
  <c r="CF33" i="37"/>
  <c r="AY33" i="25"/>
  <c r="AW33" i="37"/>
  <c r="BV33" i="25"/>
  <c r="BF33" i="37"/>
  <c r="BJ33" i="37"/>
  <c r="BX33" i="37"/>
  <c r="BD53" i="25"/>
  <c r="BB53" i="37"/>
  <c r="AZ53" i="25"/>
  <c r="AX53" i="37"/>
  <c r="AL53" i="37"/>
  <c r="X53" i="37"/>
  <c r="AQ53" i="37"/>
  <c r="AO53" i="37"/>
  <c r="AX53" i="25"/>
  <c r="AV53" i="37"/>
  <c r="CB53" i="37"/>
  <c r="BT53" i="25"/>
  <c r="AS53" i="25"/>
  <c r="AE53" i="37"/>
  <c r="BF53" i="25"/>
  <c r="BD53" i="37"/>
  <c r="AQ53" i="25"/>
  <c r="AC53" i="37"/>
  <c r="BR53" i="25"/>
  <c r="CH53" i="37"/>
  <c r="AI52" i="37"/>
  <c r="BU52" i="37"/>
  <c r="BF52" i="37"/>
  <c r="AN52" i="37"/>
  <c r="AO52" i="37"/>
  <c r="BH52" i="37"/>
  <c r="BC52" i="25"/>
  <c r="BA52" i="37"/>
  <c r="Y52" i="37"/>
  <c r="BM52" i="25"/>
  <c r="BQ52" i="37"/>
  <c r="AP50" i="25"/>
  <c r="AB50" i="37"/>
  <c r="BT50" i="37"/>
  <c r="BW50" i="37"/>
  <c r="AX50" i="25"/>
  <c r="AV50" i="37"/>
  <c r="BS50" i="37"/>
  <c r="CA50" i="37"/>
  <c r="BC50" i="25"/>
  <c r="BA50" i="37"/>
  <c r="BF50" i="37"/>
  <c r="BU50" i="25"/>
  <c r="BH50" i="25"/>
  <c r="BL50" i="37"/>
  <c r="BI74" i="25"/>
  <c r="BM74" i="37"/>
  <c r="BH74" i="37"/>
  <c r="BF74" i="25"/>
  <c r="BD74" i="37"/>
  <c r="BY74" i="25"/>
  <c r="CB74" i="37"/>
  <c r="BS74" i="37"/>
  <c r="BK74" i="25"/>
  <c r="BO74" i="37"/>
  <c r="BF74" i="37"/>
  <c r="BC74" i="25"/>
  <c r="BA74" i="37"/>
  <c r="BR74" i="25"/>
  <c r="CH74" i="37"/>
  <c r="T71" i="37"/>
  <c r="AM71" i="37"/>
  <c r="BF71" i="25"/>
  <c r="BD71" i="37"/>
  <c r="AQ71" i="25"/>
  <c r="AC71" i="37"/>
  <c r="BS71" i="37"/>
  <c r="BD71" i="25"/>
  <c r="BB71" i="37"/>
  <c r="AA71" i="37"/>
  <c r="BN71" i="25"/>
  <c r="CD71" i="37"/>
  <c r="BW71" i="37"/>
  <c r="BH71" i="25"/>
  <c r="BL71" i="37"/>
  <c r="BC71" i="25"/>
  <c r="BA71" i="37"/>
  <c r="S71" i="37"/>
  <c r="BV24" i="37"/>
  <c r="AN24" i="37"/>
  <c r="BG24" i="37"/>
  <c r="AW24" i="25"/>
  <c r="AU24" i="37"/>
  <c r="BW24" i="37"/>
  <c r="BG24" i="25"/>
  <c r="BE24" i="37"/>
  <c r="V24" i="37"/>
  <c r="Y24" i="37"/>
  <c r="BN24" i="25"/>
  <c r="CD24" i="37"/>
  <c r="AU24" i="25"/>
  <c r="AG24" i="37"/>
  <c r="BV24" i="25"/>
  <c r="CC59" i="37"/>
  <c r="BU59" i="25"/>
  <c r="BJ59" i="25"/>
  <c r="BN59" i="37"/>
  <c r="BS59" i="25"/>
  <c r="CI59" i="37"/>
  <c r="BI59" i="37"/>
  <c r="CA59" i="37"/>
  <c r="U59" i="37"/>
  <c r="BA59" i="25"/>
  <c r="AY59" i="37"/>
  <c r="BI59" i="25"/>
  <c r="BM59" i="37"/>
  <c r="BF59" i="25"/>
  <c r="BD59" i="37"/>
  <c r="AV50" i="25"/>
  <c r="AT50" i="37"/>
  <c r="BJ50" i="37"/>
  <c r="Z50" i="37"/>
  <c r="BG50" i="25"/>
  <c r="BE50" i="37"/>
  <c r="BP50" i="25"/>
  <c r="CF50" i="37"/>
  <c r="BZ50" i="37"/>
  <c r="BT50" i="25"/>
  <c r="AP50" i="37"/>
  <c r="AR50" i="25"/>
  <c r="AD50" i="37"/>
  <c r="BE74" i="25"/>
  <c r="BC74" i="37"/>
  <c r="CC74" i="37"/>
  <c r="AA74" i="37"/>
  <c r="AK74" i="37"/>
  <c r="BI74" i="37"/>
  <c r="BM74" i="25"/>
  <c r="BQ74" i="37"/>
  <c r="BQ74" i="25"/>
  <c r="CG74" i="37"/>
  <c r="U74" i="37"/>
  <c r="AP74" i="25"/>
  <c r="AB74" i="37"/>
  <c r="V74" i="37"/>
  <c r="AX74" i="25"/>
  <c r="AV74" i="37"/>
  <c r="AP71" i="25"/>
  <c r="AB71" i="37"/>
  <c r="CB71" i="37"/>
  <c r="AN71" i="37"/>
  <c r="AV71" i="25"/>
  <c r="AT71" i="37"/>
  <c r="AX71" i="25"/>
  <c r="AV71" i="37"/>
  <c r="AP71" i="37"/>
  <c r="AJ71" i="37"/>
  <c r="BE71" i="25"/>
  <c r="BC71" i="37"/>
  <c r="BT71" i="37"/>
  <c r="BY24" i="37"/>
  <c r="BF24" i="25"/>
  <c r="BD24" i="37"/>
  <c r="BQ24" i="25"/>
  <c r="CG24" i="37"/>
  <c r="BB24" i="25"/>
  <c r="AZ24" i="37"/>
  <c r="AS24" i="25"/>
  <c r="AE24" i="37"/>
  <c r="CC24" i="37"/>
  <c r="AH24" i="37"/>
  <c r="BU24" i="25"/>
  <c r="BF24" i="37"/>
  <c r="AH59" i="37"/>
  <c r="AP59" i="37"/>
  <c r="BF59" i="37"/>
  <c r="AP59" i="25"/>
  <c r="AB59" i="37"/>
  <c r="AO59" i="37"/>
  <c r="AI59" i="37"/>
  <c r="AQ59" i="25"/>
  <c r="AC59" i="37"/>
  <c r="AX59" i="25"/>
  <c r="AV59" i="37"/>
  <c r="AQ59" i="37"/>
  <c r="BG59" i="25"/>
  <c r="BE59" i="37"/>
  <c r="AN59" i="37"/>
  <c r="BX59" i="37"/>
  <c r="Z59" i="37"/>
  <c r="AH56" i="37"/>
  <c r="S56" i="37"/>
  <c r="BM56" i="25"/>
  <c r="BQ56" i="37"/>
  <c r="AP56" i="25"/>
  <c r="AB56" i="37"/>
  <c r="BU56" i="25"/>
  <c r="BB56" i="25"/>
  <c r="AZ56" i="37"/>
  <c r="P56" i="37"/>
  <c r="BG56" i="37"/>
  <c r="BD66" i="25"/>
  <c r="BB66" i="37"/>
  <c r="AT66" i="25"/>
  <c r="AF66" i="37"/>
  <c r="BC66" i="25"/>
  <c r="BA66" i="37"/>
  <c r="BP66" i="25"/>
  <c r="CF66" i="37"/>
  <c r="BH66" i="25"/>
  <c r="BL66" i="37"/>
  <c r="BF7" i="25"/>
  <c r="BD7" i="37"/>
  <c r="AZ7" i="25"/>
  <c r="AX7" i="37"/>
  <c r="BG7" i="37"/>
  <c r="BS7" i="37"/>
  <c r="BT7" i="37"/>
  <c r="X7" i="37"/>
  <c r="BY7" i="25"/>
  <c r="AL7" i="37"/>
  <c r="AA7" i="37"/>
  <c r="BQ7" i="25"/>
  <c r="CG7" i="37"/>
  <c r="BA7" i="25"/>
  <c r="AY7" i="37"/>
  <c r="BR7" i="37"/>
  <c r="BC23" i="25"/>
  <c r="BA23" i="37"/>
  <c r="BI23" i="37"/>
  <c r="AQ23" i="37"/>
  <c r="BE23" i="25"/>
  <c r="BC23" i="37"/>
  <c r="BL23" i="25"/>
  <c r="BP23" i="37"/>
  <c r="BX54" i="25"/>
  <c r="BH54" i="25"/>
  <c r="BL54" i="37"/>
  <c r="AK9" i="37"/>
  <c r="AW9" i="25"/>
  <c r="AU9" i="37"/>
  <c r="BX9" i="25"/>
  <c r="W9" i="37"/>
  <c r="BA9" i="25"/>
  <c r="AY9" i="37"/>
  <c r="Z9" i="37"/>
  <c r="BU65" i="37"/>
  <c r="P65" i="37"/>
  <c r="BN65" i="25"/>
  <c r="CD65" i="37"/>
  <c r="BF65" i="25"/>
  <c r="BD65" i="37"/>
  <c r="BP12" i="25"/>
  <c r="CF12" i="37"/>
  <c r="CB12" i="37"/>
  <c r="BD12" i="25"/>
  <c r="BB12" i="37"/>
  <c r="AX12" i="25"/>
  <c r="AV12" i="37"/>
  <c r="AL12" i="37"/>
  <c r="BS8" i="25"/>
  <c r="CI8" i="37"/>
  <c r="AP8" i="25"/>
  <c r="AB8" i="37"/>
  <c r="P8" i="37"/>
  <c r="BW8" i="25"/>
  <c r="BU8" i="37"/>
  <c r="BH8" i="37"/>
  <c r="AQ8" i="25"/>
  <c r="AC8" i="37"/>
  <c r="T8" i="37"/>
  <c r="AJ8" i="37"/>
  <c r="AV37" i="25"/>
  <c r="AT37" i="37"/>
  <c r="BK37" i="37"/>
  <c r="BD34" i="25"/>
  <c r="BB34" i="37"/>
  <c r="AM34" i="37"/>
  <c r="BQ34" i="25"/>
  <c r="CG34" i="37"/>
  <c r="BZ34" i="37"/>
  <c r="BA4" i="25"/>
  <c r="AY4" i="37"/>
  <c r="BZ4" i="37"/>
  <c r="BG4" i="37"/>
  <c r="AR28" i="25"/>
  <c r="AD28" i="37"/>
  <c r="R28" i="37"/>
  <c r="AQ55" i="25"/>
  <c r="AC55" i="37"/>
  <c r="BF55" i="25"/>
  <c r="BD55" i="37"/>
  <c r="BZ55" i="37"/>
  <c r="BS55" i="37"/>
  <c r="AN55" i="37"/>
  <c r="AQ72" i="37"/>
  <c r="BJ72" i="25"/>
  <c r="BN72" i="37"/>
  <c r="BT72" i="37"/>
  <c r="BY72" i="37"/>
  <c r="BH72" i="25"/>
  <c r="BL72" i="37"/>
  <c r="AR72" i="37"/>
  <c r="BI72" i="37"/>
  <c r="BF14" i="25"/>
  <c r="BD14" i="37"/>
  <c r="BT14" i="37"/>
  <c r="BK14" i="25"/>
  <c r="BO14" i="37"/>
  <c r="BZ14" i="37"/>
  <c r="Q14" i="37"/>
  <c r="BU14" i="25"/>
  <c r="BU43" i="25"/>
  <c r="AW43" i="25"/>
  <c r="AU43" i="37"/>
  <c r="BJ43" i="25"/>
  <c r="BN43" i="37"/>
  <c r="U43" i="37"/>
  <c r="AQ43" i="25"/>
  <c r="AC43" i="37"/>
  <c r="T26" i="37"/>
  <c r="AL26" i="37"/>
  <c r="BG26" i="25"/>
  <c r="BE26" i="37"/>
  <c r="BV58" i="25"/>
  <c r="Z58" i="37"/>
  <c r="AN58" i="37"/>
  <c r="BC58" i="25"/>
  <c r="BA58" i="37"/>
  <c r="BJ58" i="37"/>
  <c r="AX58" i="25"/>
  <c r="AV58" i="37"/>
  <c r="S58" i="37"/>
  <c r="BS58" i="37"/>
  <c r="AJ58" i="37"/>
  <c r="R29" i="37"/>
  <c r="AL29" i="37"/>
  <c r="Q29" i="37"/>
  <c r="S29" i="37"/>
  <c r="AT29" i="25"/>
  <c r="AF29" i="37"/>
  <c r="BY29" i="37"/>
  <c r="CB29" i="37"/>
  <c r="AI29" i="37"/>
  <c r="AO29" i="37"/>
  <c r="S33" i="37"/>
  <c r="BB33" i="25"/>
  <c r="AZ33" i="37"/>
  <c r="AM33" i="37"/>
  <c r="BF33" i="25"/>
  <c r="BD33" i="37"/>
  <c r="AP33" i="25"/>
  <c r="AB33" i="37"/>
  <c r="BS33" i="25"/>
  <c r="CI33" i="37"/>
  <c r="BA33" i="25"/>
  <c r="AY33" i="37"/>
  <c r="AW33" i="25"/>
  <c r="AU33" i="37"/>
  <c r="BG53" i="25"/>
  <c r="BE53" i="37"/>
  <c r="BW53" i="37"/>
  <c r="BR53" i="37"/>
  <c r="BI53" i="25"/>
  <c r="BM53" i="37"/>
  <c r="AT53" i="25"/>
  <c r="AF53" i="37"/>
  <c r="BY53" i="25"/>
  <c r="BH53" i="37"/>
  <c r="BE53" i="25"/>
  <c r="BC53" i="37"/>
  <c r="BO52" i="25"/>
  <c r="CE52" i="37"/>
  <c r="AX52" i="25"/>
  <c r="AV52" i="37"/>
  <c r="BS52" i="37"/>
  <c r="AR52" i="25"/>
  <c r="AD52" i="37"/>
  <c r="BA52" i="25"/>
  <c r="AY52" i="37"/>
  <c r="BU52" i="25"/>
  <c r="BG52" i="25"/>
  <c r="BE52" i="37"/>
  <c r="AQ52" i="25"/>
  <c r="AC52" i="37"/>
  <c r="AW52" i="25"/>
  <c r="AU52" i="37"/>
  <c r="V52" i="37"/>
  <c r="BU10" i="25"/>
  <c r="V10" i="37"/>
  <c r="BF10" i="37"/>
  <c r="AK10" i="37"/>
  <c r="BX10" i="25"/>
  <c r="BS10" i="37"/>
  <c r="BU10" i="37"/>
  <c r="AJ10" i="37"/>
  <c r="BJ10" i="25"/>
  <c r="BN10" i="37"/>
  <c r="S10" i="37"/>
  <c r="Q49" i="37"/>
  <c r="AI49" i="37"/>
  <c r="BY49" i="25"/>
  <c r="AP49" i="25"/>
  <c r="AB49" i="37"/>
  <c r="BY49" i="37"/>
  <c r="BR49" i="37"/>
  <c r="BN49" i="25"/>
  <c r="CD49" i="37"/>
  <c r="AS66" i="25"/>
  <c r="AE66" i="37"/>
  <c r="BY66" i="25"/>
  <c r="BV66" i="25"/>
  <c r="BW66" i="37"/>
  <c r="S66" i="37"/>
  <c r="BF66" i="37"/>
  <c r="BI66" i="37"/>
  <c r="AA66" i="37"/>
  <c r="AZ66" i="25"/>
  <c r="AX66" i="37"/>
  <c r="V7" i="37"/>
  <c r="AU7" i="25"/>
  <c r="AG7" i="37"/>
  <c r="AW7" i="25"/>
  <c r="AU7" i="37"/>
  <c r="AM7" i="37"/>
  <c r="BV7" i="37"/>
  <c r="S7" i="37"/>
  <c r="AV7" i="25"/>
  <c r="AT7" i="37"/>
  <c r="AR7" i="25"/>
  <c r="AD7" i="37"/>
  <c r="BJ7" i="37"/>
  <c r="T7" i="37"/>
  <c r="CC23" i="37"/>
  <c r="BH23" i="37"/>
  <c r="BD23" i="25"/>
  <c r="BB23" i="37"/>
  <c r="AI23" i="37"/>
  <c r="BW23" i="25"/>
  <c r="AR23" i="25"/>
  <c r="AD23" i="37"/>
  <c r="BS23" i="25"/>
  <c r="CI23" i="37"/>
  <c r="AK23" i="37"/>
  <c r="BM23" i="25"/>
  <c r="BQ23" i="37"/>
  <c r="AW54" i="25"/>
  <c r="AU54" i="37"/>
  <c r="BH54" i="37"/>
  <c r="BT54" i="37"/>
  <c r="BW54" i="37"/>
  <c r="BM54" i="25"/>
  <c r="BQ54" i="37"/>
  <c r="AY54" i="25"/>
  <c r="AW54" i="37"/>
  <c r="BS54" i="37"/>
  <c r="BG54" i="37"/>
  <c r="V54" i="37"/>
  <c r="BK54" i="25"/>
  <c r="BO54" i="37"/>
  <c r="Y9" i="37"/>
  <c r="BD9" i="25"/>
  <c r="BB9" i="37"/>
  <c r="AU9" i="25"/>
  <c r="AG9" i="37"/>
  <c r="AT9" i="25"/>
  <c r="AF9" i="37"/>
  <c r="BR9" i="37"/>
  <c r="BG9" i="37"/>
  <c r="BG9" i="25"/>
  <c r="BE9" i="37"/>
  <c r="AP9" i="25"/>
  <c r="AB9" i="37"/>
  <c r="R9" i="37"/>
  <c r="AQ9" i="25"/>
  <c r="AC9" i="37"/>
  <c r="BV9" i="25"/>
  <c r="BE65" i="25"/>
  <c r="BC65" i="37"/>
  <c r="BP65" i="25"/>
  <c r="CF65" i="37"/>
  <c r="AO65" i="37"/>
  <c r="BS65" i="37"/>
  <c r="AQ65" i="37"/>
  <c r="BI65" i="37"/>
  <c r="BS65" i="25"/>
  <c r="CI65" i="37"/>
  <c r="BJ12" i="37"/>
  <c r="AS12" i="25"/>
  <c r="AE12" i="37"/>
  <c r="AS12" i="37"/>
  <c r="BS12" i="37"/>
  <c r="S12" i="37"/>
  <c r="AV12" i="25"/>
  <c r="AT12" i="37"/>
  <c r="BR12" i="25"/>
  <c r="CH12" i="37"/>
  <c r="V12" i="37"/>
  <c r="CA8" i="37"/>
  <c r="BC8" i="25"/>
  <c r="BA8" i="37"/>
  <c r="U8" i="37"/>
  <c r="BK8" i="25"/>
  <c r="BO8" i="37"/>
  <c r="BN8" i="25"/>
  <c r="CD8" i="37"/>
  <c r="BE8" i="25"/>
  <c r="BC8" i="37"/>
  <c r="BL8" i="25"/>
  <c r="BP8" i="37"/>
  <c r="AT8" i="25"/>
  <c r="AF8" i="37"/>
  <c r="BF8" i="25"/>
  <c r="BD8" i="37"/>
  <c r="BP8" i="25"/>
  <c r="CF8" i="37"/>
  <c r="AA8" i="37"/>
  <c r="BS37" i="37"/>
  <c r="Y37" i="37"/>
  <c r="BS37" i="25"/>
  <c r="CI37" i="37"/>
  <c r="BF37" i="37"/>
  <c r="CA37" i="37"/>
  <c r="BT37" i="25"/>
  <c r="AX37" i="25"/>
  <c r="AV37" i="37"/>
  <c r="BR34" i="37"/>
  <c r="AJ34" i="37"/>
  <c r="BV34" i="25"/>
  <c r="Z34" i="37"/>
  <c r="BL34" i="25"/>
  <c r="BP34" i="37"/>
  <c r="BI34" i="25"/>
  <c r="BM34" i="37"/>
  <c r="BB34" i="25"/>
  <c r="AZ34" i="37"/>
  <c r="BU34" i="25"/>
  <c r="BG34" i="25"/>
  <c r="BE34" i="37"/>
  <c r="U34" i="37"/>
  <c r="AW4" i="25"/>
  <c r="AU4" i="37"/>
  <c r="AY4" i="25"/>
  <c r="AW4" i="37"/>
  <c r="BV4" i="37"/>
  <c r="AQ4" i="37"/>
  <c r="BU4" i="25"/>
  <c r="BI4" i="37"/>
  <c r="BX4" i="37"/>
  <c r="V4" i="37"/>
  <c r="BG4" i="25"/>
  <c r="BE4" i="37"/>
  <c r="Q4" i="37"/>
  <c r="AV4" i="25"/>
  <c r="AT4" i="37"/>
  <c r="BY28" i="37"/>
  <c r="BC28" i="25"/>
  <c r="BA28" i="37"/>
  <c r="AI28" i="37"/>
  <c r="BE28" i="25"/>
  <c r="BC28" i="37"/>
  <c r="CA28" i="37"/>
  <c r="BT28" i="37"/>
  <c r="AX28" i="25"/>
  <c r="AV28" i="37"/>
  <c r="S28" i="37"/>
  <c r="CC28" i="37"/>
  <c r="BN28" i="25"/>
  <c r="CD28" i="37"/>
  <c r="BV55" i="37"/>
  <c r="V55" i="37"/>
  <c r="BK55" i="37"/>
  <c r="AR55" i="37"/>
  <c r="AY55" i="25"/>
  <c r="AW55" i="37"/>
  <c r="U55" i="37"/>
  <c r="BU55" i="25"/>
  <c r="AW55" i="25"/>
  <c r="AU55" i="37"/>
  <c r="AQ55" i="37"/>
  <c r="AT55" i="25"/>
  <c r="AF55" i="37"/>
  <c r="AJ55" i="37"/>
  <c r="BY72" i="25"/>
  <c r="AL72" i="37"/>
  <c r="BU72" i="25"/>
  <c r="AA72" i="37"/>
  <c r="Y72" i="37"/>
  <c r="CA72" i="37"/>
  <c r="BE72" i="25"/>
  <c r="BC72" i="37"/>
  <c r="AS72" i="37"/>
  <c r="BR72" i="25"/>
  <c r="CH72" i="37"/>
  <c r="BX72" i="37"/>
  <c r="S14" i="37"/>
  <c r="BP14" i="25"/>
  <c r="CF14" i="37"/>
  <c r="CB14" i="37"/>
  <c r="BF14" i="37"/>
  <c r="BW14" i="25"/>
  <c r="AI14" i="37"/>
  <c r="CC14" i="37"/>
  <c r="X14" i="37"/>
  <c r="BL14" i="25"/>
  <c r="BP14" i="37"/>
  <c r="Z14" i="37"/>
  <c r="BV43" i="25"/>
  <c r="BI43" i="37"/>
  <c r="T43" i="37"/>
  <c r="AP43" i="37"/>
  <c r="BG43" i="37"/>
  <c r="BQ43" i="25"/>
  <c r="CG43" i="37"/>
  <c r="BP43" i="25"/>
  <c r="CF43" i="37"/>
  <c r="BY43" i="25"/>
  <c r="BE26" i="25"/>
  <c r="BC26" i="37"/>
  <c r="BI26" i="37"/>
  <c r="BC26" i="25"/>
  <c r="BA26" i="37"/>
  <c r="Z26" i="37"/>
  <c r="BF26" i="25"/>
  <c r="BD26" i="37"/>
  <c r="CB26" i="37"/>
  <c r="AY26" i="25"/>
  <c r="AW26" i="37"/>
  <c r="AT26" i="25"/>
  <c r="AF26" i="37"/>
  <c r="CC58" i="37"/>
  <c r="AS58" i="25"/>
  <c r="AE58" i="37"/>
  <c r="R58" i="37"/>
  <c r="AV58" i="25"/>
  <c r="AT58" i="37"/>
  <c r="AO58" i="37"/>
  <c r="BO58" i="25"/>
  <c r="CE58" i="37"/>
  <c r="BY58" i="37"/>
  <c r="V58" i="37"/>
  <c r="AL58" i="37"/>
  <c r="AS29" i="37"/>
  <c r="BU29" i="25"/>
  <c r="BK29" i="37"/>
  <c r="AR29" i="25"/>
  <c r="AD29" i="37"/>
  <c r="BT29" i="37"/>
  <c r="AJ29" i="37"/>
  <c r="AA29" i="37"/>
  <c r="AU29" i="25"/>
  <c r="AG29" i="37"/>
  <c r="BH29" i="37"/>
  <c r="AS33" i="37"/>
  <c r="BC33" i="25"/>
  <c r="BA33" i="37"/>
  <c r="BO33" i="25"/>
  <c r="CE33" i="37"/>
  <c r="AX33" i="25"/>
  <c r="AV33" i="37"/>
  <c r="CC33" i="37"/>
  <c r="BT33" i="37"/>
  <c r="AK33" i="37"/>
  <c r="AR33" i="37"/>
  <c r="X33" i="37"/>
  <c r="W53" i="37"/>
  <c r="BK53" i="25"/>
  <c r="BO53" i="37"/>
  <c r="BF53" i="37"/>
  <c r="P53" i="37"/>
  <c r="BG53" i="37"/>
  <c r="BW53" i="25"/>
  <c r="AU53" i="25"/>
  <c r="AG53" i="37"/>
  <c r="S53" i="37"/>
  <c r="BU53" i="37"/>
  <c r="AW53" i="25"/>
  <c r="AU53" i="37"/>
  <c r="Z52" i="37"/>
  <c r="BP52" i="25"/>
  <c r="CF52" i="37"/>
  <c r="BE52" i="25"/>
  <c r="BC52" i="37"/>
  <c r="BX52" i="25"/>
  <c r="P52" i="37"/>
  <c r="AQ52" i="37"/>
  <c r="AT52" i="25"/>
  <c r="AF52" i="37"/>
  <c r="BR52" i="37"/>
  <c r="BH52" i="25"/>
  <c r="BL52" i="37"/>
  <c r="BR52" i="25"/>
  <c r="CH52" i="37"/>
  <c r="AL50" i="37"/>
  <c r="X50" i="37"/>
  <c r="BV50" i="25"/>
  <c r="R50" i="37"/>
  <c r="U50" i="37"/>
  <c r="BM50" i="25"/>
  <c r="BQ50" i="37"/>
  <c r="AZ50" i="25"/>
  <c r="AX50" i="37"/>
  <c r="BA50" i="25"/>
  <c r="AY50" i="37"/>
  <c r="AM50" i="37"/>
  <c r="T50" i="37"/>
  <c r="BJ74" i="37"/>
  <c r="AR74" i="25"/>
  <c r="AD74" i="37"/>
  <c r="T74" i="37"/>
  <c r="BD74" i="25"/>
  <c r="BB74" i="37"/>
  <c r="AU74" i="25"/>
  <c r="AG74" i="37"/>
  <c r="CA74" i="37"/>
  <c r="BU74" i="25"/>
  <c r="AS74" i="25"/>
  <c r="AE74" i="37"/>
  <c r="BG74" i="37"/>
  <c r="BY71" i="37"/>
  <c r="BM71" i="25"/>
  <c r="BQ71" i="37"/>
  <c r="BH71" i="37"/>
  <c r="AY71" i="25"/>
  <c r="AW71" i="37"/>
  <c r="BQ71" i="25"/>
  <c r="CG71" i="37"/>
  <c r="AT71" i="25"/>
  <c r="AF71" i="37"/>
  <c r="BB71" i="25"/>
  <c r="AZ71" i="37"/>
  <c r="BI71" i="37"/>
  <c r="AU71" i="25"/>
  <c r="AG71" i="37"/>
  <c r="BA24" i="25"/>
  <c r="AY24" i="37"/>
  <c r="AY24" i="25"/>
  <c r="AW24" i="37"/>
  <c r="BU24" i="37"/>
  <c r="AR24" i="37"/>
  <c r="AP24" i="37"/>
  <c r="AZ24" i="25"/>
  <c r="AX24" i="37"/>
  <c r="BK24" i="25"/>
  <c r="BO24" i="37"/>
  <c r="AV59" i="25"/>
  <c r="AT59" i="37"/>
  <c r="AL59" i="37"/>
  <c r="BB59" i="25"/>
  <c r="AZ59" i="37"/>
  <c r="S59" i="37"/>
  <c r="AU59" i="25"/>
  <c r="AG59" i="37"/>
  <c r="X59" i="37"/>
  <c r="BL59" i="25"/>
  <c r="BP59" i="37"/>
  <c r="R59" i="37"/>
  <c r="AR59" i="25"/>
  <c r="AD59" i="37"/>
  <c r="BV59" i="25"/>
  <c r="BC56" i="25"/>
  <c r="BA56" i="37"/>
  <c r="AY56" i="25"/>
  <c r="AW56" i="37"/>
  <c r="CC56" i="37"/>
  <c r="BS56" i="37"/>
  <c r="BZ56" i="37"/>
  <c r="CB56" i="37"/>
  <c r="BK56" i="37"/>
  <c r="BG56" i="25"/>
  <c r="BE56" i="37"/>
  <c r="W56" i="37"/>
  <c r="BN56" i="25"/>
  <c r="CD56" i="37"/>
  <c r="BI11" i="37"/>
  <c r="AR11" i="37"/>
  <c r="W11" i="37"/>
  <c r="BU11" i="37"/>
  <c r="AQ11" i="37"/>
  <c r="BW11" i="25"/>
  <c r="AM11" i="37"/>
  <c r="BG11" i="37"/>
  <c r="AO11" i="37"/>
  <c r="AN11" i="37"/>
  <c r="AS11" i="25"/>
  <c r="AE11" i="37"/>
  <c r="BL11" i="25"/>
  <c r="BP11" i="37"/>
  <c r="BX64" i="37"/>
  <c r="AR64" i="25"/>
  <c r="AD64" i="37"/>
  <c r="W64" i="37"/>
  <c r="BW64" i="37"/>
  <c r="BL64" i="25"/>
  <c r="BP64" i="37"/>
  <c r="P64" i="37"/>
  <c r="AA64" i="37"/>
  <c r="BK64" i="37"/>
  <c r="CA64" i="37"/>
  <c r="BG64" i="37"/>
  <c r="AO64" i="37"/>
  <c r="AL64" i="37"/>
  <c r="AR23" i="37"/>
  <c r="R23" i="37"/>
  <c r="AZ23" i="25"/>
  <c r="AX23" i="37"/>
  <c r="BP23" i="25"/>
  <c r="CF23" i="37"/>
  <c r="BR54" i="25"/>
  <c r="CH54" i="37"/>
  <c r="Z54" i="37"/>
  <c r="BE54" i="25"/>
  <c r="BC54" i="37"/>
  <c r="BK54" i="37"/>
  <c r="AH54" i="37"/>
  <c r="BF9" i="37"/>
  <c r="CC9" i="37"/>
  <c r="BI9" i="25"/>
  <c r="BM9" i="37"/>
  <c r="AZ65" i="25"/>
  <c r="AX65" i="37"/>
  <c r="U65" i="37"/>
  <c r="BX65" i="25"/>
  <c r="BW65" i="25"/>
  <c r="AR65" i="37"/>
  <c r="AY12" i="25"/>
  <c r="AW12" i="37"/>
  <c r="BW12" i="25"/>
  <c r="T12" i="37"/>
  <c r="BX8" i="25"/>
  <c r="BZ37" i="37"/>
  <c r="T37" i="37"/>
  <c r="BX37" i="37"/>
  <c r="AI37" i="37"/>
  <c r="CB37" i="37"/>
  <c r="AW37" i="25"/>
  <c r="AU37" i="37"/>
  <c r="AM37" i="37"/>
  <c r="P37" i="37"/>
  <c r="BR37" i="25"/>
  <c r="CH37" i="37"/>
  <c r="BF34" i="37"/>
  <c r="BU34" i="37"/>
  <c r="AR34" i="25"/>
  <c r="AD34" i="37"/>
  <c r="AT34" i="25"/>
  <c r="AF34" i="37"/>
  <c r="AR4" i="25"/>
  <c r="AD4" i="37"/>
  <c r="BF4" i="37"/>
  <c r="U4" i="37"/>
  <c r="BB4" i="25"/>
  <c r="AZ4" i="37"/>
  <c r="X4" i="37"/>
  <c r="BI4" i="25"/>
  <c r="BM4" i="37"/>
  <c r="AS4" i="25"/>
  <c r="AE4" i="37"/>
  <c r="BU28" i="37"/>
  <c r="BI28" i="37"/>
  <c r="Y28" i="37"/>
  <c r="AT28" i="25"/>
  <c r="AF28" i="37"/>
  <c r="BJ28" i="37"/>
  <c r="AS28" i="37"/>
  <c r="AA28" i="37"/>
  <c r="AU28" i="25"/>
  <c r="AG28" i="37"/>
  <c r="AZ55" i="25"/>
  <c r="AX55" i="37"/>
  <c r="BK55" i="25"/>
  <c r="BO55" i="37"/>
  <c r="Z55" i="37"/>
  <c r="BG55" i="37"/>
  <c r="BX72" i="25"/>
  <c r="S72" i="37"/>
  <c r="BG14" i="37"/>
  <c r="BJ14" i="37"/>
  <c r="BY14" i="25"/>
  <c r="AQ14" i="37"/>
  <c r="AN14" i="37"/>
  <c r="AR43" i="37"/>
  <c r="AZ43" i="25"/>
  <c r="AX43" i="37"/>
  <c r="CA43" i="37"/>
  <c r="AJ43" i="37"/>
  <c r="CB43" i="37"/>
  <c r="P26" i="37"/>
  <c r="BR26" i="37"/>
  <c r="BN26" i="25"/>
  <c r="CD26" i="37"/>
  <c r="BK26" i="25"/>
  <c r="BO26" i="37"/>
  <c r="AJ26" i="37"/>
  <c r="AA26" i="37"/>
  <c r="BV26" i="25"/>
  <c r="BT26" i="25"/>
  <c r="BJ58" i="25"/>
  <c r="BN58" i="37"/>
  <c r="BX10" i="37"/>
  <c r="BQ10" i="25"/>
  <c r="CG10" i="37"/>
  <c r="AQ10" i="37"/>
  <c r="AR10" i="37"/>
  <c r="AW10" i="25"/>
  <c r="AU10" i="37"/>
  <c r="CA10" i="37"/>
  <c r="AP10" i="37"/>
  <c r="AA10" i="37"/>
  <c r="BZ10" i="37"/>
  <c r="BH49" i="37"/>
  <c r="BQ49" i="25"/>
  <c r="CG49" i="37"/>
  <c r="BI49" i="37"/>
  <c r="BL49" i="25"/>
  <c r="BP49" i="37"/>
  <c r="BT49" i="37"/>
  <c r="AH49" i="37"/>
  <c r="AS49" i="25"/>
  <c r="AE49" i="37"/>
  <c r="BS49" i="25"/>
  <c r="CI49" i="37"/>
  <c r="X49" i="37"/>
  <c r="BG49" i="37"/>
  <c r="AV49" i="25"/>
  <c r="AT49" i="37"/>
  <c r="AJ66" i="37"/>
  <c r="BT66" i="37"/>
  <c r="BL66" i="25"/>
  <c r="BP66" i="37"/>
  <c r="BM66" i="25"/>
  <c r="BQ66" i="37"/>
  <c r="BS66" i="25"/>
  <c r="CI66" i="37"/>
  <c r="BU66" i="25"/>
  <c r="CA66" i="37"/>
  <c r="BT66" i="25"/>
  <c r="CB66" i="37"/>
  <c r="Q66" i="37"/>
  <c r="CC7" i="37"/>
  <c r="BU7" i="37"/>
  <c r="BW7" i="37"/>
  <c r="CB7" i="37"/>
  <c r="W7" i="37"/>
  <c r="AJ7" i="37"/>
  <c r="Q7" i="37"/>
  <c r="BX7" i="25"/>
  <c r="BL7" i="25"/>
  <c r="BP7" i="37"/>
  <c r="BC7" i="25"/>
  <c r="BA7" i="37"/>
  <c r="BP7" i="25"/>
  <c r="CF7" i="37"/>
  <c r="AP23" i="25"/>
  <c r="AB23" i="37"/>
  <c r="AN23" i="37"/>
  <c r="BB23" i="25"/>
  <c r="AZ23" i="37"/>
  <c r="AS23" i="37"/>
  <c r="BI23" i="25"/>
  <c r="BM23" i="37"/>
  <c r="CA23" i="37"/>
  <c r="BX23" i="37"/>
  <c r="Y23" i="37"/>
  <c r="AX23" i="25"/>
  <c r="AV23" i="37"/>
  <c r="V23" i="37"/>
  <c r="AL23" i="37"/>
  <c r="BO54" i="25"/>
  <c r="CE54" i="37"/>
  <c r="BV54" i="25"/>
  <c r="BD54" i="25"/>
  <c r="BB54" i="37"/>
  <c r="AQ54" i="37"/>
  <c r="BS54" i="25"/>
  <c r="CI54" i="37"/>
  <c r="BQ54" i="25"/>
  <c r="CG54" i="37"/>
  <c r="BI54" i="25"/>
  <c r="BM54" i="37"/>
  <c r="BV54" i="37"/>
  <c r="BA54" i="25"/>
  <c r="AY54" i="37"/>
  <c r="Y54" i="37"/>
  <c r="AO54" i="37"/>
  <c r="T54" i="37"/>
  <c r="BS9" i="25"/>
  <c r="CI9" i="37"/>
  <c r="BI9" i="37"/>
  <c r="BZ9" i="37"/>
  <c r="BU9" i="25"/>
  <c r="BS9" i="37"/>
  <c r="Q9" i="37"/>
  <c r="BT9" i="37"/>
  <c r="U9" i="37"/>
  <c r="BN9" i="25"/>
  <c r="CD9" i="37"/>
  <c r="BY9" i="25"/>
  <c r="BD65" i="25"/>
  <c r="BB65" i="37"/>
  <c r="BB65" i="25"/>
  <c r="AZ65" i="37"/>
  <c r="BX65" i="37"/>
  <c r="BV65" i="25"/>
  <c r="BY65" i="25"/>
  <c r="BA65" i="25"/>
  <c r="AY65" i="37"/>
  <c r="AR65" i="25"/>
  <c r="AD65" i="37"/>
  <c r="W65" i="37"/>
  <c r="CA65" i="37"/>
  <c r="AT65" i="25"/>
  <c r="AF65" i="37"/>
  <c r="Q65" i="37"/>
  <c r="Y65" i="37"/>
  <c r="BH12" i="25"/>
  <c r="BL12" i="37"/>
  <c r="U12" i="37"/>
  <c r="AM12" i="37"/>
  <c r="BY12" i="37"/>
  <c r="AW12" i="25"/>
  <c r="AU12" i="37"/>
  <c r="AQ12" i="37"/>
  <c r="BV12" i="37"/>
  <c r="AK8" i="37"/>
  <c r="AQ8" i="37"/>
  <c r="Y8" i="37"/>
  <c r="AU8" i="25"/>
  <c r="AG8" i="37"/>
  <c r="BS8" i="37"/>
  <c r="AR8" i="37"/>
  <c r="BO8" i="25"/>
  <c r="CE8" i="37"/>
  <c r="AW8" i="25"/>
  <c r="AU8" i="37"/>
  <c r="BQ8" i="25"/>
  <c r="CG8" i="37"/>
  <c r="BK8" i="37"/>
  <c r="BI37" i="25"/>
  <c r="BM37" i="37"/>
  <c r="BH37" i="37"/>
  <c r="BU37" i="25"/>
  <c r="BY37" i="37"/>
  <c r="BX37" i="25"/>
  <c r="R37" i="37"/>
  <c r="BT37" i="37"/>
  <c r="AU37" i="25"/>
  <c r="AG37" i="37"/>
  <c r="X34" i="37"/>
  <c r="P34" i="37"/>
  <c r="AI34" i="37"/>
  <c r="BY34" i="25"/>
  <c r="W34" i="37"/>
  <c r="BT34" i="37"/>
  <c r="BT34" i="25"/>
  <c r="BW34" i="37"/>
  <c r="S34" i="37"/>
  <c r="AQ34" i="25"/>
  <c r="AC34" i="37"/>
  <c r="BW4" i="37"/>
  <c r="AL4" i="37"/>
  <c r="BR4" i="37"/>
  <c r="Y4" i="37"/>
  <c r="AQ4" i="25"/>
  <c r="AC4" i="37"/>
  <c r="R4" i="37"/>
  <c r="T4" i="37"/>
  <c r="AS28" i="25"/>
  <c r="AE28" i="37"/>
  <c r="BZ28" i="37"/>
  <c r="AW28" i="25"/>
  <c r="AU28" i="37"/>
  <c r="BU28" i="25"/>
  <c r="AR28" i="37"/>
  <c r="P28" i="37"/>
  <c r="W28" i="37"/>
  <c r="BQ28" i="25"/>
  <c r="CG28" i="37"/>
  <c r="AK28" i="37"/>
  <c r="BJ28" i="25"/>
  <c r="BN28" i="37"/>
  <c r="AJ28" i="37"/>
  <c r="BA28" i="25"/>
  <c r="AY28" i="37"/>
  <c r="BW28" i="37"/>
  <c r="AM55" i="37"/>
  <c r="BL55" i="25"/>
  <c r="BP55" i="37"/>
  <c r="BQ55" i="25"/>
  <c r="CG55" i="37"/>
  <c r="AP55" i="25"/>
  <c r="AB55" i="37"/>
  <c r="R55" i="37"/>
  <c r="AX55" i="25"/>
  <c r="AV55" i="37"/>
  <c r="AL55" i="37"/>
  <c r="X55" i="37"/>
  <c r="AH55" i="37"/>
  <c r="BJ55" i="25"/>
  <c r="BN55" i="37"/>
  <c r="BC55" i="25"/>
  <c r="BA55" i="37"/>
  <c r="BO72" i="25"/>
  <c r="CE72" i="37"/>
  <c r="AW72" i="25"/>
  <c r="AU72" i="37"/>
  <c r="BJ72" i="37"/>
  <c r="BW72" i="25"/>
  <c r="BF72" i="37"/>
  <c r="AV72" i="25"/>
  <c r="AT72" i="37"/>
  <c r="Z72" i="37"/>
  <c r="W14" i="37"/>
  <c r="BK14" i="37"/>
  <c r="AA14" i="37"/>
  <c r="BM14" i="25"/>
  <c r="BQ14" i="37"/>
  <c r="BG14" i="25"/>
  <c r="BE14" i="37"/>
  <c r="BH14" i="37"/>
  <c r="R14" i="37"/>
  <c r="BR14" i="37"/>
  <c r="BV14" i="25"/>
  <c r="AN43" i="37"/>
  <c r="BH43" i="25"/>
  <c r="BL43" i="37"/>
  <c r="BJ43" i="37"/>
  <c r="BH43" i="37"/>
  <c r="BO43" i="25"/>
  <c r="CE43" i="37"/>
  <c r="BY43" i="37"/>
  <c r="BL43" i="25"/>
  <c r="BP43" i="37"/>
  <c r="V43" i="37"/>
  <c r="BW43" i="25"/>
  <c r="AR43" i="25"/>
  <c r="AD43" i="37"/>
  <c r="BP26" i="25"/>
  <c r="CF26" i="37"/>
  <c r="BU26" i="37"/>
  <c r="BY26" i="25"/>
  <c r="AR26" i="25"/>
  <c r="AD26" i="37"/>
  <c r="AK26" i="37"/>
  <c r="AZ26" i="25"/>
  <c r="AX26" i="37"/>
  <c r="AP26" i="37"/>
  <c r="AO26" i="37"/>
  <c r="AH26" i="37"/>
  <c r="BL26" i="25"/>
  <c r="BP26" i="37"/>
  <c r="BH58" i="37"/>
  <c r="AR58" i="25"/>
  <c r="AD58" i="37"/>
  <c r="CB58" i="37"/>
  <c r="AW58" i="25"/>
  <c r="AU58" i="37"/>
  <c r="BE58" i="25"/>
  <c r="BC58" i="37"/>
  <c r="BM58" i="25"/>
  <c r="BQ58" i="37"/>
  <c r="BI29" i="37"/>
  <c r="BG29" i="37"/>
  <c r="BW29" i="37"/>
  <c r="BQ29" i="25"/>
  <c r="CG29" i="37"/>
  <c r="X29" i="37"/>
  <c r="BJ29" i="37"/>
  <c r="BK29" i="25"/>
  <c r="BO29" i="37"/>
  <c r="BU29" i="37"/>
  <c r="BW29" i="25"/>
  <c r="BB29" i="25"/>
  <c r="AZ29" i="37"/>
  <c r="V29" i="37"/>
  <c r="BV29" i="37"/>
  <c r="BZ33" i="37"/>
  <c r="P33" i="37"/>
  <c r="BG33" i="37"/>
  <c r="BM33" i="25"/>
  <c r="BQ33" i="37"/>
  <c r="BV33" i="37"/>
  <c r="BN33" i="25"/>
  <c r="CD33" i="37"/>
  <c r="BQ33" i="25"/>
  <c r="CG33" i="37"/>
  <c r="U33" i="37"/>
  <c r="BG33" i="25"/>
  <c r="BE33" i="37"/>
  <c r="AR33" i="25"/>
  <c r="AD33" i="37"/>
  <c r="BT33" i="25"/>
  <c r="AY53" i="25"/>
  <c r="AW53" i="37"/>
  <c r="AA53" i="37"/>
  <c r="BP53" i="25"/>
  <c r="CF53" i="37"/>
  <c r="BJ53" i="25"/>
  <c r="BN53" i="37"/>
  <c r="BX53" i="37"/>
  <c r="BX53" i="25"/>
  <c r="AJ53" i="37"/>
  <c r="Z53" i="37"/>
  <c r="BT53" i="37"/>
  <c r="AP52" i="37"/>
  <c r="AR52" i="37"/>
  <c r="S52" i="37"/>
  <c r="CA52" i="37"/>
  <c r="W52" i="37"/>
  <c r="T52" i="37"/>
  <c r="BJ52" i="25"/>
  <c r="BN52" i="37"/>
  <c r="AY52" i="25"/>
  <c r="AW52" i="37"/>
  <c r="CC52" i="37"/>
  <c r="BL50" i="25"/>
  <c r="BP50" i="37"/>
  <c r="W50" i="37"/>
  <c r="AI50" i="37"/>
  <c r="CB50" i="37"/>
  <c r="AK50" i="37"/>
  <c r="BX50" i="25"/>
  <c r="BY50" i="25"/>
  <c r="AJ50" i="37"/>
  <c r="P50" i="37"/>
  <c r="BO50" i="25"/>
  <c r="CE50" i="37"/>
  <c r="AW50" i="25"/>
  <c r="AU50" i="37"/>
  <c r="AH74" i="37"/>
  <c r="BZ74" i="37"/>
  <c r="BH74" i="25"/>
  <c r="BL74" i="37"/>
  <c r="BJ74" i="25"/>
  <c r="BN74" i="37"/>
  <c r="P74" i="37"/>
  <c r="AI74" i="37"/>
  <c r="Q74" i="37"/>
  <c r="AY74" i="25"/>
  <c r="AW74" i="37"/>
  <c r="BV74" i="37"/>
  <c r="BS74" i="25"/>
  <c r="CI74" i="37"/>
  <c r="BF71" i="37"/>
  <c r="BA71" i="25"/>
  <c r="AY71" i="37"/>
  <c r="BX71" i="25"/>
  <c r="BT71" i="25"/>
  <c r="BZ71" i="37"/>
  <c r="Z71" i="37"/>
  <c r="AZ71" i="25"/>
  <c r="AX71" i="37"/>
  <c r="BO71" i="25"/>
  <c r="CE71" i="37"/>
  <c r="AS71" i="37"/>
  <c r="AR24" i="25"/>
  <c r="AD24" i="37"/>
  <c r="BX24" i="25"/>
  <c r="R24" i="37"/>
  <c r="BH24" i="25"/>
  <c r="BL24" i="37"/>
  <c r="BJ24" i="25"/>
  <c r="BN24" i="37"/>
  <c r="BP24" i="25"/>
  <c r="CF24" i="37"/>
  <c r="BM24" i="25"/>
  <c r="BQ24" i="37"/>
  <c r="AI24" i="37"/>
  <c r="AQ24" i="37"/>
  <c r="BX24" i="37"/>
  <c r="BQ59" i="25"/>
  <c r="CG59" i="37"/>
  <c r="BY59" i="25"/>
  <c r="CB59" i="37"/>
  <c r="BS59" i="37"/>
  <c r="BT59" i="37"/>
  <c r="BR59" i="37"/>
  <c r="BO59" i="25"/>
  <c r="CE59" i="37"/>
  <c r="BH59" i="37"/>
  <c r="V59" i="37"/>
  <c r="BN59" i="25"/>
  <c r="CD59" i="37"/>
  <c r="BT56" i="37"/>
  <c r="BK74" i="37"/>
  <c r="BT74" i="25"/>
  <c r="BX74" i="37"/>
  <c r="BO74" i="25"/>
  <c r="CE74" i="37"/>
  <c r="BL74" i="25"/>
  <c r="BP74" i="37"/>
  <c r="AV74" i="25"/>
  <c r="AT74" i="37"/>
  <c r="AO71" i="37"/>
  <c r="V71" i="37"/>
  <c r="BU71" i="25"/>
  <c r="BV71" i="25"/>
  <c r="AL71" i="37"/>
  <c r="AS71" i="25"/>
  <c r="AE71" i="37"/>
  <c r="CA71" i="37"/>
  <c r="T24" i="37"/>
  <c r="BW24" i="25"/>
  <c r="AS24" i="37"/>
  <c r="BR24" i="25"/>
  <c r="CH24" i="37"/>
  <c r="BR24" i="37"/>
  <c r="BT24" i="25"/>
  <c r="BH24" i="37"/>
  <c r="W24" i="37"/>
  <c r="BL24" i="25"/>
  <c r="BP24" i="37"/>
  <c r="AA24" i="37"/>
  <c r="AK24" i="37"/>
  <c r="BK59" i="25"/>
  <c r="BO59" i="37"/>
  <c r="BW59" i="37"/>
  <c r="BW59" i="25"/>
  <c r="Y59" i="37"/>
  <c r="BC59" i="25"/>
  <c r="BA59" i="37"/>
  <c r="AJ59" i="37"/>
  <c r="BV59" i="37"/>
  <c r="BR59" i="25"/>
  <c r="CH59" i="37"/>
  <c r="BE59" i="25"/>
  <c r="BC59" i="37"/>
  <c r="AQ56" i="25"/>
  <c r="AC56" i="37"/>
  <c r="BS56" i="25"/>
  <c r="CI56" i="37"/>
  <c r="AJ56" i="37"/>
  <c r="AS56" i="25"/>
  <c r="AE56" i="37"/>
  <c r="BA56" i="25"/>
  <c r="AY56" i="37"/>
  <c r="AL56" i="37"/>
  <c r="AW56" i="25"/>
  <c r="AU56" i="37"/>
  <c r="AR56" i="25"/>
  <c r="AD56" i="37"/>
  <c r="AO56" i="37"/>
  <c r="BJ56" i="37"/>
  <c r="BY56" i="25"/>
  <c r="BI56" i="37"/>
  <c r="BF56" i="25"/>
  <c r="BD56" i="37"/>
  <c r="V11" i="37"/>
  <c r="AK11" i="37"/>
  <c r="BK11" i="25"/>
  <c r="BO11" i="37"/>
  <c r="Y11" i="37"/>
  <c r="BN11" i="25"/>
  <c r="CD11" i="37"/>
  <c r="BX11" i="25"/>
  <c r="BM11" i="25"/>
  <c r="BQ11" i="37"/>
  <c r="BW11" i="37"/>
  <c r="BR64" i="37"/>
  <c r="AT64" i="25"/>
  <c r="AF64" i="37"/>
  <c r="BM64" i="25"/>
  <c r="BQ64" i="37"/>
  <c r="AX64" i="25"/>
  <c r="AV64" i="37"/>
  <c r="AN64" i="37"/>
  <c r="AP64" i="25"/>
  <c r="AB64" i="37"/>
  <c r="BI64" i="25"/>
  <c r="BM64" i="37"/>
  <c r="AJ64" i="37"/>
  <c r="BU64" i="25"/>
  <c r="BH64" i="25"/>
  <c r="BL64" i="37"/>
  <c r="AH6" i="37"/>
  <c r="T6" i="37"/>
  <c r="V6" i="37"/>
  <c r="AQ6" i="25"/>
  <c r="AC6" i="37"/>
  <c r="BX6" i="37"/>
  <c r="BH6" i="25"/>
  <c r="BL6" i="37"/>
  <c r="AP6" i="25"/>
  <c r="AB6" i="37"/>
  <c r="BV6" i="37"/>
  <c r="AK36" i="37"/>
  <c r="AW36" i="25"/>
  <c r="AU36" i="37"/>
  <c r="BY36" i="25"/>
  <c r="AM36" i="37"/>
  <c r="BS36" i="37"/>
  <c r="AL36" i="37"/>
  <c r="AP36" i="25"/>
  <c r="AB36" i="37"/>
  <c r="AS36" i="25"/>
  <c r="AE36" i="37"/>
  <c r="AA36" i="37"/>
  <c r="BE36" i="25"/>
  <c r="BC36" i="37"/>
  <c r="AI51" i="37"/>
  <c r="AQ51" i="25"/>
  <c r="AC51" i="37"/>
  <c r="AA51" i="37"/>
  <c r="BO51" i="25"/>
  <c r="CE51" i="37"/>
  <c r="BK51" i="37"/>
  <c r="CA51" i="37"/>
  <c r="BF51" i="25"/>
  <c r="BD51" i="37"/>
  <c r="V51" i="37"/>
  <c r="BZ51" i="37"/>
  <c r="BU51" i="37"/>
  <c r="BM51" i="25"/>
  <c r="BQ51" i="37"/>
  <c r="BS41" i="37"/>
  <c r="BF41" i="25"/>
  <c r="BD41" i="37"/>
  <c r="BG41" i="37"/>
  <c r="AM41" i="37"/>
  <c r="AU41" i="25"/>
  <c r="AG41" i="37"/>
  <c r="AV41" i="25"/>
  <c r="AT41" i="37"/>
  <c r="BQ41" i="25"/>
  <c r="CG41" i="37"/>
  <c r="BW41" i="25"/>
  <c r="AQ41" i="37"/>
  <c r="BX41" i="25"/>
  <c r="BX67" i="37"/>
  <c r="BG67" i="37"/>
  <c r="AP67" i="37"/>
  <c r="BH67" i="25"/>
  <c r="BL67" i="37"/>
  <c r="Z67" i="37"/>
  <c r="BC67" i="25"/>
  <c r="BA67" i="37"/>
  <c r="AR67" i="25"/>
  <c r="AD67" i="37"/>
  <c r="BO67" i="25"/>
  <c r="CE67" i="37"/>
  <c r="BS67" i="37"/>
  <c r="AS67" i="37"/>
  <c r="AZ67" i="25"/>
  <c r="AX67" i="37"/>
  <c r="BE42" i="25"/>
  <c r="BC42" i="37"/>
  <c r="AS42" i="37"/>
  <c r="AI42" i="37"/>
  <c r="AJ42" i="37"/>
  <c r="AQ42" i="37"/>
  <c r="BH42" i="37"/>
  <c r="BT42" i="37"/>
  <c r="AY42" i="25"/>
  <c r="AW42" i="37"/>
  <c r="U42" i="37"/>
  <c r="BO42" i="25"/>
  <c r="CE42" i="37"/>
  <c r="BV3" i="37"/>
  <c r="W3" i="37"/>
  <c r="Y3" i="37"/>
  <c r="AM3" i="37"/>
  <c r="BR3" i="37"/>
  <c r="BH3" i="25"/>
  <c r="BL3" i="37"/>
  <c r="AP3" i="37"/>
  <c r="AI3" i="37"/>
  <c r="AJ3" i="37"/>
  <c r="AA38" i="37"/>
  <c r="BG38" i="37"/>
  <c r="BY38" i="25"/>
  <c r="BW38" i="25"/>
  <c r="BH38" i="25"/>
  <c r="BL38" i="37"/>
  <c r="AH38" i="37"/>
  <c r="AR38" i="37"/>
  <c r="X38" i="37"/>
  <c r="AL38" i="37"/>
  <c r="BQ38" i="25"/>
  <c r="CG38" i="37"/>
  <c r="AK38" i="37"/>
  <c r="X73" i="37"/>
  <c r="AU73" i="25"/>
  <c r="AG73" i="37"/>
  <c r="BE73" i="25"/>
  <c r="BC73" i="37"/>
  <c r="BL73" i="25"/>
  <c r="BP73" i="37"/>
  <c r="BG73" i="37"/>
  <c r="BY73" i="25"/>
  <c r="Q73" i="37"/>
  <c r="BW73" i="37"/>
  <c r="AZ73" i="25"/>
  <c r="AX73" i="37"/>
  <c r="AK73" i="37"/>
  <c r="BU73" i="37"/>
  <c r="AT73" i="25"/>
  <c r="AF73" i="37"/>
  <c r="BY73" i="37"/>
  <c r="W5" i="37"/>
  <c r="BH5" i="37"/>
  <c r="BT5" i="37"/>
  <c r="BP5" i="25"/>
  <c r="CF5" i="37"/>
  <c r="AI5" i="37"/>
  <c r="AQ5" i="37"/>
  <c r="X5" i="37"/>
  <c r="CC5" i="37"/>
  <c r="R5" i="37"/>
  <c r="AY5" i="25"/>
  <c r="AW5" i="37"/>
  <c r="BW5" i="25"/>
  <c r="BP35" i="25"/>
  <c r="CF35" i="37"/>
  <c r="R35" i="37"/>
  <c r="AI35" i="37"/>
  <c r="BF35" i="25"/>
  <c r="BD35" i="37"/>
  <c r="BS35" i="37"/>
  <c r="AP35" i="25"/>
  <c r="AB35" i="37"/>
  <c r="BJ35" i="25"/>
  <c r="BN35" i="37"/>
  <c r="BD35" i="25"/>
  <c r="BB35" i="37"/>
  <c r="AQ69" i="37"/>
  <c r="AW69" i="25"/>
  <c r="AU69" i="37"/>
  <c r="X69" i="37"/>
  <c r="AK69" i="37"/>
  <c r="BA69" i="25"/>
  <c r="AY69" i="37"/>
  <c r="BV69" i="25"/>
  <c r="BC69" i="25"/>
  <c r="BA69" i="37"/>
  <c r="BX69" i="37"/>
  <c r="W69" i="37"/>
  <c r="AI57" i="37"/>
  <c r="BA57" i="25"/>
  <c r="AY57" i="37"/>
  <c r="BD57" i="25"/>
  <c r="BB57" i="37"/>
  <c r="BR57" i="37"/>
  <c r="AA57" i="37"/>
  <c r="AR57" i="37"/>
  <c r="BO57" i="25"/>
  <c r="CE57" i="37"/>
  <c r="S57" i="37"/>
  <c r="BN27" i="25"/>
  <c r="CD27" i="37"/>
  <c r="BF27" i="25"/>
  <c r="BD27" i="37"/>
  <c r="BA27" i="25"/>
  <c r="AY27" i="37"/>
  <c r="BI27" i="37"/>
  <c r="BG27" i="25"/>
  <c r="BE27" i="37"/>
  <c r="BP27" i="25"/>
  <c r="CF27" i="37"/>
  <c r="BH27" i="37"/>
  <c r="CC27" i="37"/>
  <c r="Z27" i="37"/>
  <c r="AN27" i="37"/>
  <c r="BM27" i="25"/>
  <c r="BQ27" i="37"/>
  <c r="BQ40" i="25"/>
  <c r="CG40" i="37"/>
  <c r="CB40" i="37"/>
  <c r="BC40" i="25"/>
  <c r="BA40" i="37"/>
  <c r="BX40" i="37"/>
  <c r="BN40" i="25"/>
  <c r="CD40" i="37"/>
  <c r="BH40" i="25"/>
  <c r="BL40" i="37"/>
  <c r="BI40" i="37"/>
  <c r="AV40" i="25"/>
  <c r="AT40" i="37"/>
  <c r="BA40" i="25"/>
  <c r="AY40" i="37"/>
  <c r="W40" i="37"/>
  <c r="BH44" i="37"/>
  <c r="BF44" i="37"/>
  <c r="AT44" i="25"/>
  <c r="AF44" i="37"/>
  <c r="AL44" i="37"/>
  <c r="BU44" i="37"/>
  <c r="BG44" i="37"/>
  <c r="AZ44" i="25"/>
  <c r="AX44" i="37"/>
  <c r="AN44" i="37"/>
  <c r="T44" i="37"/>
  <c r="Z39" i="37"/>
  <c r="T39" i="37"/>
  <c r="BC39" i="25"/>
  <c r="BA39" i="37"/>
  <c r="AO39" i="37"/>
  <c r="BB39" i="25"/>
  <c r="AZ39" i="37"/>
  <c r="BQ39" i="25"/>
  <c r="CG39" i="37"/>
  <c r="BS39" i="37"/>
  <c r="AR39" i="37"/>
  <c r="AS39" i="25"/>
  <c r="AE39" i="37"/>
  <c r="BF39" i="25"/>
  <c r="BD39" i="37"/>
  <c r="AO63" i="37"/>
  <c r="AR63" i="37"/>
  <c r="AP63" i="37"/>
  <c r="BX63" i="37"/>
  <c r="AP63" i="25"/>
  <c r="AB63" i="37"/>
  <c r="BN63" i="25"/>
  <c r="CD63" i="37"/>
  <c r="BH63" i="37"/>
  <c r="AI13" i="37"/>
  <c r="W13" i="37"/>
  <c r="BE13" i="25"/>
  <c r="BC13" i="37"/>
  <c r="BU13" i="37"/>
  <c r="AM13" i="37"/>
  <c r="AW13" i="25"/>
  <c r="AU13" i="37"/>
  <c r="BI13" i="25"/>
  <c r="BM13" i="37"/>
  <c r="AK13" i="37"/>
  <c r="BL13" i="25"/>
  <c r="BP13" i="37"/>
  <c r="BY13" i="25"/>
  <c r="BS13" i="37"/>
  <c r="BE68" i="25"/>
  <c r="BC68" i="37"/>
  <c r="AL68" i="37"/>
  <c r="CC68" i="37"/>
  <c r="BI68" i="25"/>
  <c r="BM68" i="37"/>
  <c r="BU68" i="37"/>
  <c r="AU68" i="25"/>
  <c r="AG68" i="37"/>
  <c r="AX68" i="25"/>
  <c r="AV68" i="37"/>
  <c r="BA68" i="25"/>
  <c r="AY68" i="37"/>
  <c r="BW48" i="25"/>
  <c r="BE48" i="25"/>
  <c r="BC48" i="37"/>
  <c r="AN48" i="37"/>
  <c r="AS48" i="25"/>
  <c r="AE48" i="37"/>
  <c r="BT48" i="25"/>
  <c r="AA48" i="37"/>
  <c r="BA48" i="25"/>
  <c r="AY48" i="37"/>
  <c r="AX48" i="25"/>
  <c r="AV48" i="37"/>
  <c r="AR48" i="25"/>
  <c r="AD48" i="37"/>
  <c r="BH48" i="37"/>
  <c r="BF48" i="25"/>
  <c r="BD48" i="37"/>
  <c r="AI56" i="37"/>
  <c r="AQ56" i="37"/>
  <c r="CA56" i="37"/>
  <c r="BT56" i="25"/>
  <c r="Z56" i="37"/>
  <c r="AZ56" i="25"/>
  <c r="AX56" i="37"/>
  <c r="BD56" i="25"/>
  <c r="BB56" i="37"/>
  <c r="BP56" i="25"/>
  <c r="CF56" i="37"/>
  <c r="BO56" i="25"/>
  <c r="CE56" i="37"/>
  <c r="AX56" i="25"/>
  <c r="AV56" i="37"/>
  <c r="AZ11" i="25"/>
  <c r="AX11" i="37"/>
  <c r="T11" i="37"/>
  <c r="BR11" i="25"/>
  <c r="CH11" i="37"/>
  <c r="BT11" i="37"/>
  <c r="Z11" i="37"/>
  <c r="AJ11" i="37"/>
  <c r="BS11" i="37"/>
  <c r="AS11" i="37"/>
  <c r="BK11" i="37"/>
  <c r="AP11" i="37"/>
  <c r="BB64" i="25"/>
  <c r="AZ64" i="37"/>
  <c r="BJ64" i="37"/>
  <c r="AS64" i="37"/>
  <c r="AM64" i="37"/>
  <c r="AQ64" i="37"/>
  <c r="CB64" i="37"/>
  <c r="BH64" i="37"/>
  <c r="BY64" i="25"/>
  <c r="BT64" i="25"/>
  <c r="Y64" i="37"/>
  <c r="AQ64" i="25"/>
  <c r="AC64" i="37"/>
  <c r="CA6" i="37"/>
  <c r="AL6" i="37"/>
  <c r="BB6" i="25"/>
  <c r="AZ6" i="37"/>
  <c r="BC6" i="25"/>
  <c r="BA6" i="37"/>
  <c r="CC6" i="37"/>
  <c r="BF6" i="37"/>
  <c r="AS6" i="37"/>
  <c r="BA6" i="25"/>
  <c r="AY6" i="37"/>
  <c r="AU6" i="25"/>
  <c r="AG6" i="37"/>
  <c r="BQ6" i="25"/>
  <c r="CG6" i="37"/>
  <c r="BN6" i="25"/>
  <c r="CD6" i="37"/>
  <c r="AV6" i="25"/>
  <c r="AT6" i="37"/>
  <c r="CC36" i="37"/>
  <c r="AN36" i="37"/>
  <c r="BF36" i="25"/>
  <c r="BD36" i="37"/>
  <c r="AQ36" i="25"/>
  <c r="AC36" i="37"/>
  <c r="CB36" i="37"/>
  <c r="BO36" i="25"/>
  <c r="CE36" i="37"/>
  <c r="BS36" i="25"/>
  <c r="CI36" i="37"/>
  <c r="BH36" i="37"/>
  <c r="AZ36" i="25"/>
  <c r="AX36" i="37"/>
  <c r="BK36" i="37"/>
  <c r="AT36" i="25"/>
  <c r="AF36" i="37"/>
  <c r="AS51" i="37"/>
  <c r="BS51" i="25"/>
  <c r="CI51" i="37"/>
  <c r="BT51" i="37"/>
  <c r="BI51" i="37"/>
  <c r="BX51" i="25"/>
  <c r="AU51" i="25"/>
  <c r="AG51" i="37"/>
  <c r="W51" i="37"/>
  <c r="Z51" i="37"/>
  <c r="BR51" i="37"/>
  <c r="BW51" i="37"/>
  <c r="BO41" i="25"/>
  <c r="CE41" i="37"/>
  <c r="CB41" i="37"/>
  <c r="BT41" i="25"/>
  <c r="AH41" i="37"/>
  <c r="AZ41" i="25"/>
  <c r="AX41" i="37"/>
  <c r="AL41" i="37"/>
  <c r="BY41" i="37"/>
  <c r="BZ41" i="37"/>
  <c r="AX41" i="25"/>
  <c r="AV41" i="37"/>
  <c r="Y67" i="37"/>
  <c r="AV67" i="25"/>
  <c r="AT67" i="37"/>
  <c r="BR67" i="37"/>
  <c r="BL67" i="25"/>
  <c r="BP67" i="37"/>
  <c r="AX67" i="25"/>
  <c r="AV67" i="37"/>
  <c r="BJ67" i="37"/>
  <c r="AO42" i="37"/>
  <c r="AR42" i="37"/>
  <c r="BD42" i="25"/>
  <c r="BB42" i="37"/>
  <c r="BJ42" i="25"/>
  <c r="BN42" i="37"/>
  <c r="BJ42" i="37"/>
  <c r="BY42" i="37"/>
  <c r="BQ42" i="25"/>
  <c r="CG42" i="37"/>
  <c r="AH42" i="37"/>
  <c r="BV3" i="25"/>
  <c r="BR3" i="25"/>
  <c r="CH3" i="37"/>
  <c r="BX3" i="37"/>
  <c r="AR3" i="37"/>
  <c r="BE3" i="25"/>
  <c r="BC3" i="37"/>
  <c r="AS3" i="25"/>
  <c r="AE3" i="37"/>
  <c r="AY3" i="25"/>
  <c r="AW3" i="37"/>
  <c r="AA3" i="37"/>
  <c r="AL3" i="37"/>
  <c r="T3" i="37"/>
  <c r="BI38" i="37"/>
  <c r="BV38" i="25"/>
  <c r="BN38" i="25"/>
  <c r="CD38" i="37"/>
  <c r="BI38" i="25"/>
  <c r="BM38" i="37"/>
  <c r="AP38" i="37"/>
  <c r="BD38" i="25"/>
  <c r="BB38" i="37"/>
  <c r="BJ38" i="25"/>
  <c r="BN38" i="37"/>
  <c r="Q38" i="37"/>
  <c r="BY38" i="37"/>
  <c r="AM38" i="37"/>
  <c r="BF73" i="25"/>
  <c r="BD73" i="37"/>
  <c r="BT73" i="37"/>
  <c r="BX73" i="37"/>
  <c r="BG73" i="25"/>
  <c r="BE73" i="37"/>
  <c r="BV73" i="37"/>
  <c r="BK73" i="37"/>
  <c r="AP73" i="25"/>
  <c r="AB73" i="37"/>
  <c r="BB73" i="25"/>
  <c r="AZ73" i="37"/>
  <c r="AV73" i="25"/>
  <c r="AT73" i="37"/>
  <c r="AM73" i="37"/>
  <c r="V73" i="37"/>
  <c r="AL5" i="37"/>
  <c r="AV5" i="25"/>
  <c r="AT5" i="37"/>
  <c r="BC5" i="25"/>
  <c r="BA5" i="37"/>
  <c r="BS5" i="37"/>
  <c r="BG5" i="25"/>
  <c r="BE5" i="37"/>
  <c r="AJ5" i="37"/>
  <c r="BN5" i="25"/>
  <c r="CD5" i="37"/>
  <c r="BA5" i="25"/>
  <c r="AY5" i="37"/>
  <c r="BR5" i="25"/>
  <c r="CH5" i="37"/>
  <c r="BU5" i="37"/>
  <c r="AR5" i="37"/>
  <c r="U35" i="37"/>
  <c r="AU35" i="25"/>
  <c r="AG35" i="37"/>
  <c r="BZ35" i="37"/>
  <c r="BR35" i="25"/>
  <c r="CH35" i="37"/>
  <c r="V35" i="37"/>
  <c r="AL35" i="37"/>
  <c r="BI35" i="37"/>
  <c r="BW35" i="37"/>
  <c r="BI35" i="25"/>
  <c r="BM35" i="37"/>
  <c r="BH69" i="25"/>
  <c r="BL69" i="37"/>
  <c r="BL69" i="25"/>
  <c r="BP69" i="37"/>
  <c r="BR69" i="25"/>
  <c r="CH69" i="37"/>
  <c r="AL69" i="37"/>
  <c r="BJ69" i="37"/>
  <c r="BF69" i="25"/>
  <c r="BD69" i="37"/>
  <c r="AP69" i="25"/>
  <c r="AB69" i="37"/>
  <c r="BR69" i="37"/>
  <c r="BW69" i="25"/>
  <c r="BX69" i="25"/>
  <c r="BH57" i="37"/>
  <c r="BR57" i="25"/>
  <c r="CH57" i="37"/>
  <c r="AP57" i="37"/>
  <c r="BV57" i="25"/>
  <c r="BV57" i="37"/>
  <c r="AY57" i="25"/>
  <c r="AW57" i="37"/>
  <c r="U57" i="37"/>
  <c r="AJ57" i="37"/>
  <c r="BW57" i="37"/>
  <c r="BI57" i="37"/>
  <c r="CA27" i="37"/>
  <c r="BO27" i="25"/>
  <c r="CE27" i="37"/>
  <c r="AS27" i="25"/>
  <c r="AE27" i="37"/>
  <c r="BT27" i="25"/>
  <c r="BV27" i="25"/>
  <c r="BC27" i="25"/>
  <c r="BA27" i="37"/>
  <c r="BI27" i="25"/>
  <c r="BM27" i="37"/>
  <c r="AP27" i="37"/>
  <c r="AL27" i="37"/>
  <c r="BU27" i="37"/>
  <c r="BJ40" i="37"/>
  <c r="T40" i="37"/>
  <c r="BV40" i="25"/>
  <c r="AS40" i="25"/>
  <c r="AE40" i="37"/>
  <c r="AZ40" i="25"/>
  <c r="AX40" i="37"/>
  <c r="BL40" i="25"/>
  <c r="BP40" i="37"/>
  <c r="AK40" i="37"/>
  <c r="BP40" i="25"/>
  <c r="CF40" i="37"/>
  <c r="AL40" i="37"/>
  <c r="AI40" i="37"/>
  <c r="BG40" i="25"/>
  <c r="BE40" i="37"/>
  <c r="BS40" i="25"/>
  <c r="CI40" i="37"/>
  <c r="BX44" i="37"/>
  <c r="BM44" i="25"/>
  <c r="BQ44" i="37"/>
  <c r="R44" i="37"/>
  <c r="AA44" i="37"/>
  <c r="AK44" i="37"/>
  <c r="BJ44" i="37"/>
  <c r="CC44" i="37"/>
  <c r="AR44" i="37"/>
  <c r="BD44" i="25"/>
  <c r="BB44" i="37"/>
  <c r="BL39" i="25"/>
  <c r="BP39" i="37"/>
  <c r="BR39" i="37"/>
  <c r="BT39" i="25"/>
  <c r="BD39" i="25"/>
  <c r="BB39" i="37"/>
  <c r="BY39" i="25"/>
  <c r="BK39" i="37"/>
  <c r="BS39" i="25"/>
  <c r="CI39" i="37"/>
  <c r="AX39" i="25"/>
  <c r="AV39" i="37"/>
  <c r="AV39" i="25"/>
  <c r="AT39" i="37"/>
  <c r="BV39" i="37"/>
  <c r="AY63" i="25"/>
  <c r="AW63" i="37"/>
  <c r="AM63" i="37"/>
  <c r="BJ63" i="37"/>
  <c r="S63" i="37"/>
  <c r="BS63" i="37"/>
  <c r="Y63" i="37"/>
  <c r="T63" i="37"/>
  <c r="CA63" i="37"/>
  <c r="BX63" i="25"/>
  <c r="BD13" i="25"/>
  <c r="BB13" i="37"/>
  <c r="BH13" i="37"/>
  <c r="CC13" i="37"/>
  <c r="BA13" i="25"/>
  <c r="AY13" i="37"/>
  <c r="AS13" i="37"/>
  <c r="AP13" i="37"/>
  <c r="BT13" i="25"/>
  <c r="CA13" i="37"/>
  <c r="CB13" i="37"/>
  <c r="BG13" i="25"/>
  <c r="BE13" i="37"/>
  <c r="BP68" i="25"/>
  <c r="CF68" i="37"/>
  <c r="AR68" i="37"/>
  <c r="AQ68" i="25"/>
  <c r="AC68" i="37"/>
  <c r="BV68" i="37"/>
  <c r="BX68" i="25"/>
  <c r="AS68" i="37"/>
  <c r="BI68" i="37"/>
  <c r="BH68" i="37"/>
  <c r="CB48" i="37"/>
  <c r="BR48" i="37"/>
  <c r="BX48" i="25"/>
  <c r="BV48" i="37"/>
  <c r="Z48" i="37"/>
  <c r="X48" i="37"/>
  <c r="T48" i="37"/>
  <c r="BB48" i="25"/>
  <c r="AZ48" i="37"/>
  <c r="AU48" i="25"/>
  <c r="AG48" i="37"/>
  <c r="Y48" i="37"/>
  <c r="BF56" i="37"/>
  <c r="V56" i="37"/>
  <c r="AS56" i="37"/>
  <c r="BH56" i="25"/>
  <c r="BL56" i="37"/>
  <c r="U56" i="37"/>
  <c r="AR56" i="37"/>
  <c r="BX56" i="25"/>
  <c r="AN56" i="37"/>
  <c r="BY56" i="37"/>
  <c r="AA56" i="37"/>
  <c r="BU56" i="37"/>
  <c r="BI11" i="25"/>
  <c r="BM11" i="37"/>
  <c r="BA11" i="25"/>
  <c r="AY11" i="37"/>
  <c r="BS11" i="25"/>
  <c r="CI11" i="37"/>
  <c r="AH11" i="37"/>
  <c r="BU11" i="25"/>
  <c r="BC11" i="25"/>
  <c r="BA11" i="37"/>
  <c r="X11" i="37"/>
  <c r="P11" i="37"/>
  <c r="BV11" i="25"/>
  <c r="AW11" i="25"/>
  <c r="AU11" i="37"/>
  <c r="BG11" i="25"/>
  <c r="BE11" i="37"/>
  <c r="BW64" i="25"/>
  <c r="BI64" i="37"/>
  <c r="BZ64" i="37"/>
  <c r="BR64" i="25"/>
  <c r="CH64" i="37"/>
  <c r="BS64" i="25"/>
  <c r="CI64" i="37"/>
  <c r="Z64" i="37"/>
  <c r="BJ64" i="25"/>
  <c r="BN64" i="37"/>
  <c r="BI6" i="25"/>
  <c r="BM6" i="37"/>
  <c r="BI6" i="37"/>
  <c r="BF6" i="25"/>
  <c r="BD6" i="37"/>
  <c r="BT6" i="25"/>
  <c r="BR6" i="25"/>
  <c r="CH6" i="37"/>
  <c r="BK6" i="37"/>
  <c r="AI6" i="37"/>
  <c r="AR6" i="25"/>
  <c r="AD6" i="37"/>
  <c r="BO6" i="25"/>
  <c r="CE6" i="37"/>
  <c r="AS6" i="25"/>
  <c r="AE6" i="37"/>
  <c r="BI36" i="37"/>
  <c r="BU36" i="25"/>
  <c r="X36" i="37"/>
  <c r="Z36" i="37"/>
  <c r="BI36" i="25"/>
  <c r="BM36" i="37"/>
  <c r="BZ36" i="37"/>
  <c r="BT36" i="25"/>
  <c r="BL36" i="25"/>
  <c r="BP36" i="37"/>
  <c r="S36" i="37"/>
  <c r="BY36" i="37"/>
  <c r="AO51" i="37"/>
  <c r="AH51" i="37"/>
  <c r="S51" i="37"/>
  <c r="BR51" i="25"/>
  <c r="CH51" i="37"/>
  <c r="BX51" i="37"/>
  <c r="BY51" i="37"/>
  <c r="BW51" i="25"/>
  <c r="BV51" i="37"/>
  <c r="X51" i="37"/>
  <c r="T51" i="37"/>
  <c r="BE51" i="25"/>
  <c r="BC51" i="37"/>
  <c r="BR41" i="37"/>
  <c r="BX41" i="37"/>
  <c r="AR41" i="25"/>
  <c r="AD41" i="37"/>
  <c r="BH41" i="25"/>
  <c r="BL41" i="37"/>
  <c r="Z41" i="37"/>
  <c r="V41" i="37"/>
  <c r="AP41" i="25"/>
  <c r="AB41" i="37"/>
  <c r="BP41" i="25"/>
  <c r="CF41" i="37"/>
  <c r="BK41" i="25"/>
  <c r="BO41" i="37"/>
  <c r="AR41" i="37"/>
  <c r="AN41" i="37"/>
  <c r="BJ67" i="25"/>
  <c r="BN67" i="37"/>
  <c r="BY67" i="37"/>
  <c r="AQ67" i="25"/>
  <c r="AC67" i="37"/>
  <c r="BZ67" i="37"/>
  <c r="BG67" i="25"/>
  <c r="BE67" i="37"/>
  <c r="S67" i="37"/>
  <c r="AP67" i="25"/>
  <c r="AB67" i="37"/>
  <c r="AL67" i="37"/>
  <c r="BT67" i="25"/>
  <c r="BI67" i="37"/>
  <c r="AT42" i="25"/>
  <c r="AF42" i="37"/>
  <c r="X42" i="37"/>
  <c r="BK42" i="37"/>
  <c r="BI42" i="37"/>
  <c r="V42" i="37"/>
  <c r="AR42" i="25"/>
  <c r="AD42" i="37"/>
  <c r="BT3" i="25"/>
  <c r="BJ3" i="25"/>
  <c r="BN3" i="37"/>
  <c r="AW3" i="25"/>
  <c r="AU3" i="37"/>
  <c r="BJ3" i="37"/>
  <c r="BF3" i="25"/>
  <c r="BD3" i="37"/>
  <c r="AX3" i="25"/>
  <c r="AV3" i="37"/>
  <c r="BF3" i="37"/>
  <c r="AR3" i="25"/>
  <c r="AD3" i="37"/>
  <c r="BX3" i="25"/>
  <c r="BY3" i="37"/>
  <c r="BR38" i="37"/>
  <c r="AU38" i="25"/>
  <c r="AG38" i="37"/>
  <c r="BS38" i="25"/>
  <c r="CI38" i="37"/>
  <c r="AQ38" i="37"/>
  <c r="BA38" i="25"/>
  <c r="AY38" i="37"/>
  <c r="BJ38" i="37"/>
  <c r="BX38" i="25"/>
  <c r="BK38" i="37"/>
  <c r="BX38" i="37"/>
  <c r="BE38" i="25"/>
  <c r="BC38" i="37"/>
  <c r="BA73" i="25"/>
  <c r="AY73" i="37"/>
  <c r="BH73" i="37"/>
  <c r="BR73" i="25"/>
  <c r="CH73" i="37"/>
  <c r="BT73" i="25"/>
  <c r="BX73" i="25"/>
  <c r="AH73" i="37"/>
  <c r="CB73" i="37"/>
  <c r="T73" i="37"/>
  <c r="CA5" i="37"/>
  <c r="BK5" i="37"/>
  <c r="BF5" i="25"/>
  <c r="BD5" i="37"/>
  <c r="S5" i="37"/>
  <c r="AK5" i="37"/>
  <c r="AQ5" i="25"/>
  <c r="AC5" i="37"/>
  <c r="BB5" i="25"/>
  <c r="AZ5" i="37"/>
  <c r="BK5" i="25"/>
  <c r="BO5" i="37"/>
  <c r="AT35" i="25"/>
  <c r="AF35" i="37"/>
  <c r="BW35" i="25"/>
  <c r="Z35" i="37"/>
  <c r="BO35" i="25"/>
  <c r="CE35" i="37"/>
  <c r="AZ35" i="25"/>
  <c r="AX35" i="37"/>
  <c r="AP35" i="37"/>
  <c r="W35" i="37"/>
  <c r="X35" i="37"/>
  <c r="AS35" i="25"/>
  <c r="AE35" i="37"/>
  <c r="BH35" i="25"/>
  <c r="BL35" i="37"/>
  <c r="AJ35" i="37"/>
  <c r="BS35" i="25"/>
  <c r="CI35" i="37"/>
  <c r="BH35" i="37"/>
  <c r="BJ69" i="25"/>
  <c r="BN69" i="37"/>
  <c r="BS69" i="25"/>
  <c r="CI69" i="37"/>
  <c r="V69" i="37"/>
  <c r="AS69" i="37"/>
  <c r="Z69" i="37"/>
  <c r="BF69" i="37"/>
  <c r="Q69" i="37"/>
  <c r="AR69" i="25"/>
  <c r="AD69" i="37"/>
  <c r="AJ69" i="37"/>
  <c r="BM57" i="25"/>
  <c r="BQ57" i="37"/>
  <c r="BS57" i="25"/>
  <c r="CI57" i="37"/>
  <c r="BI57" i="25"/>
  <c r="BM57" i="37"/>
  <c r="BX57" i="25"/>
  <c r="BE57" i="25"/>
  <c r="BC57" i="37"/>
  <c r="BY57" i="37"/>
  <c r="BP57" i="25"/>
  <c r="CF57" i="37"/>
  <c r="T57" i="37"/>
  <c r="BG57" i="37"/>
  <c r="AK27" i="37"/>
  <c r="AI27" i="37"/>
  <c r="R27" i="37"/>
  <c r="BK27" i="25"/>
  <c r="BO27" i="37"/>
  <c r="BQ27" i="25"/>
  <c r="CG27" i="37"/>
  <c r="BS27" i="25"/>
  <c r="CI27" i="37"/>
  <c r="BS27" i="37"/>
  <c r="BZ27" i="37"/>
  <c r="BH27" i="25"/>
  <c r="BL27" i="37"/>
  <c r="BX40" i="25"/>
  <c r="BU40" i="37"/>
  <c r="AS40" i="37"/>
  <c r="AJ40" i="37"/>
  <c r="AR40" i="37"/>
  <c r="S40" i="37"/>
  <c r="AO40" i="37"/>
  <c r="CA40" i="37"/>
  <c r="BF40" i="37"/>
  <c r="BF44" i="25"/>
  <c r="BD44" i="37"/>
  <c r="BI44" i="37"/>
  <c r="BP44" i="25"/>
  <c r="CF44" i="37"/>
  <c r="BB44" i="25"/>
  <c r="AZ44" i="37"/>
  <c r="BQ44" i="25"/>
  <c r="CG44" i="37"/>
  <c r="Y44" i="37"/>
  <c r="AM44" i="37"/>
  <c r="BR44" i="25"/>
  <c r="CH44" i="37"/>
  <c r="U44" i="37"/>
  <c r="BL44" i="25"/>
  <c r="BP44" i="37"/>
  <c r="BP39" i="25"/>
  <c r="CF39" i="37"/>
  <c r="AY39" i="25"/>
  <c r="AW39" i="37"/>
  <c r="X39" i="37"/>
  <c r="AT39" i="25"/>
  <c r="AF39" i="37"/>
  <c r="AQ39" i="25"/>
  <c r="AC39" i="37"/>
  <c r="BI39" i="25"/>
  <c r="BM39" i="37"/>
  <c r="BG39" i="25"/>
  <c r="BE39" i="37"/>
  <c r="AU39" i="25"/>
  <c r="AG39" i="37"/>
  <c r="BJ39" i="25"/>
  <c r="BN39" i="37"/>
  <c r="AW39" i="25"/>
  <c r="AU39" i="37"/>
  <c r="AA39" i="37"/>
  <c r="AN63" i="37"/>
  <c r="AH63" i="37"/>
  <c r="AQ63" i="25"/>
  <c r="AC63" i="37"/>
  <c r="BH63" i="25"/>
  <c r="BL63" i="37"/>
  <c r="BL63" i="25"/>
  <c r="BP63" i="37"/>
  <c r="Q63" i="37"/>
  <c r="BQ63" i="25"/>
  <c r="CG63" i="37"/>
  <c r="AR63" i="25"/>
  <c r="AD63" i="37"/>
  <c r="V63" i="37"/>
  <c r="BK63" i="25"/>
  <c r="BO63" i="37"/>
  <c r="BR63" i="25"/>
  <c r="CH63" i="37"/>
  <c r="BG13" i="37"/>
  <c r="BJ13" i="37"/>
  <c r="BQ13" i="25"/>
  <c r="CG13" i="37"/>
  <c r="X13" i="37"/>
  <c r="Y13" i="37"/>
  <c r="BH13" i="25"/>
  <c r="BL13" i="37"/>
  <c r="BS13" i="25"/>
  <c r="CI13" i="37"/>
  <c r="AJ13" i="37"/>
  <c r="AP13" i="25"/>
  <c r="AB13" i="37"/>
  <c r="P13" i="37"/>
  <c r="CA68" i="37"/>
  <c r="AR68" i="25"/>
  <c r="AD68" i="37"/>
  <c r="BD68" i="25"/>
  <c r="BB68" i="37"/>
  <c r="BY68" i="37"/>
  <c r="BY68" i="25"/>
  <c r="BH68" i="25"/>
  <c r="BL68" i="37"/>
  <c r="W68" i="37"/>
  <c r="AS68" i="25"/>
  <c r="AE68" i="37"/>
  <c r="AV68" i="25"/>
  <c r="AT68" i="37"/>
  <c r="BW68" i="37"/>
  <c r="BI48" i="25"/>
  <c r="BM48" i="37"/>
  <c r="AQ48" i="25"/>
  <c r="AC48" i="37"/>
  <c r="BY48" i="25"/>
  <c r="Q48" i="37"/>
  <c r="BQ48" i="25"/>
  <c r="CG48" i="37"/>
  <c r="U48" i="37"/>
  <c r="CA48" i="37"/>
  <c r="BU48" i="25"/>
  <c r="BI56" i="25"/>
  <c r="BM56" i="37"/>
  <c r="R56" i="37"/>
  <c r="BR11" i="37"/>
  <c r="AV11" i="25"/>
  <c r="AT11" i="37"/>
  <c r="AX11" i="25"/>
  <c r="AV11" i="37"/>
  <c r="BZ11" i="37"/>
  <c r="BJ11" i="25"/>
  <c r="BN11" i="37"/>
  <c r="AY11" i="25"/>
  <c r="AW11" i="37"/>
  <c r="V64" i="37"/>
  <c r="BA64" i="25"/>
  <c r="AY64" i="37"/>
  <c r="Q64" i="37"/>
  <c r="AZ64" i="25"/>
  <c r="AX64" i="37"/>
  <c r="AK64" i="37"/>
  <c r="BG64" i="25"/>
  <c r="BE64" i="37"/>
  <c r="BO64" i="25"/>
  <c r="CE64" i="37"/>
  <c r="AP64" i="37"/>
  <c r="AK6" i="37"/>
  <c r="AA6" i="37"/>
  <c r="BG6" i="37"/>
  <c r="AM6" i="37"/>
  <c r="W6" i="37"/>
  <c r="X6" i="37"/>
  <c r="BD6" i="25"/>
  <c r="BB6" i="37"/>
  <c r="BS6" i="37"/>
  <c r="AJ6" i="37"/>
  <c r="BJ6" i="25"/>
  <c r="BN6" i="37"/>
  <c r="BZ6" i="37"/>
  <c r="BM6" i="25"/>
  <c r="BQ6" i="37"/>
  <c r="BA36" i="25"/>
  <c r="AY36" i="37"/>
  <c r="BN36" i="25"/>
  <c r="CD36" i="37"/>
  <c r="BG36" i="25"/>
  <c r="BE36" i="37"/>
  <c r="AH36" i="37"/>
  <c r="BU36" i="37"/>
  <c r="BQ36" i="25"/>
  <c r="CG36" i="37"/>
  <c r="BW36" i="25"/>
  <c r="AV36" i="25"/>
  <c r="AT36" i="37"/>
  <c r="AY36" i="25"/>
  <c r="AW36" i="37"/>
  <c r="BL51" i="25"/>
  <c r="BP51" i="37"/>
  <c r="AS51" i="25"/>
  <c r="AE51" i="37"/>
  <c r="BU51" i="25"/>
  <c r="BC51" i="25"/>
  <c r="BA51" i="37"/>
  <c r="AJ51" i="37"/>
  <c r="AV51" i="25"/>
  <c r="AT51" i="37"/>
  <c r="U51" i="37"/>
  <c r="BG51" i="37"/>
  <c r="AT51" i="25"/>
  <c r="AF51" i="37"/>
  <c r="CC41" i="37"/>
  <c r="BS41" i="25"/>
  <c r="CI41" i="37"/>
  <c r="BK41" i="37"/>
  <c r="BJ41" i="37"/>
  <c r="BA41" i="25"/>
  <c r="AY41" i="37"/>
  <c r="BY41" i="25"/>
  <c r="AT41" i="25"/>
  <c r="AF41" i="37"/>
  <c r="BR41" i="25"/>
  <c r="CH41" i="37"/>
  <c r="BI41" i="25"/>
  <c r="BM41" i="37"/>
  <c r="BY67" i="25"/>
  <c r="BD67" i="25"/>
  <c r="BB67" i="37"/>
  <c r="BU67" i="37"/>
  <c r="BW67" i="25"/>
  <c r="AI67" i="37"/>
  <c r="AR67" i="37"/>
  <c r="AQ67" i="37"/>
  <c r="AY67" i="25"/>
  <c r="AW67" i="37"/>
  <c r="BX42" i="25"/>
  <c r="BG42" i="25"/>
  <c r="BE42" i="37"/>
  <c r="BR42" i="37"/>
  <c r="BB42" i="25"/>
  <c r="AZ42" i="37"/>
  <c r="AA42" i="37"/>
  <c r="BW42" i="25"/>
  <c r="BS42" i="37"/>
  <c r="BR42" i="25"/>
  <c r="CH42" i="37"/>
  <c r="AQ42" i="25"/>
  <c r="AC42" i="37"/>
  <c r="BO3" i="25"/>
  <c r="CE3" i="37"/>
  <c r="BS3" i="25"/>
  <c r="CI3" i="37"/>
  <c r="AQ3" i="25"/>
  <c r="AC3" i="37"/>
  <c r="AQ3" i="37"/>
  <c r="AU3" i="25"/>
  <c r="AG3" i="37"/>
  <c r="AO3" i="37"/>
  <c r="AK3" i="37"/>
  <c r="Z3" i="37"/>
  <c r="BK3" i="25"/>
  <c r="BO3" i="37"/>
  <c r="BP3" i="25"/>
  <c r="CF3" i="37"/>
  <c r="BS3" i="37"/>
  <c r="BQ3" i="25"/>
  <c r="CG3" i="37"/>
  <c r="BB38" i="25"/>
  <c r="AZ38" i="37"/>
  <c r="AR38" i="25"/>
  <c r="AD38" i="37"/>
  <c r="BH38" i="37"/>
  <c r="BP38" i="25"/>
  <c r="CF38" i="37"/>
  <c r="AQ38" i="25"/>
  <c r="AC38" i="37"/>
  <c r="BR38" i="25"/>
  <c r="CH38" i="37"/>
  <c r="AT38" i="25"/>
  <c r="AF38" i="37"/>
  <c r="BF38" i="25"/>
  <c r="BD38" i="37"/>
  <c r="AZ38" i="25"/>
  <c r="AX38" i="37"/>
  <c r="AQ73" i="25"/>
  <c r="AC73" i="37"/>
  <c r="CC73" i="37"/>
  <c r="AP73" i="37"/>
  <c r="BJ73" i="25"/>
  <c r="BN73" i="37"/>
  <c r="AR73" i="37"/>
  <c r="AA73" i="37"/>
  <c r="W73" i="37"/>
  <c r="BM73" i="25"/>
  <c r="BQ73" i="37"/>
  <c r="BW5" i="37"/>
  <c r="BO5" i="25"/>
  <c r="CE5" i="37"/>
  <c r="BJ5" i="37"/>
  <c r="U5" i="37"/>
  <c r="AS5" i="37"/>
  <c r="BT5" i="25"/>
  <c r="AS5" i="25"/>
  <c r="AE5" i="37"/>
  <c r="AP5" i="25"/>
  <c r="AB5" i="37"/>
  <c r="AH5" i="37"/>
  <c r="BY5" i="37"/>
  <c r="BJ35" i="37"/>
  <c r="AQ35" i="25"/>
  <c r="AC35" i="37"/>
  <c r="BT35" i="25"/>
  <c r="BF35" i="37"/>
  <c r="Q35" i="37"/>
  <c r="AV35" i="25"/>
  <c r="AT35" i="37"/>
  <c r="AY35" i="25"/>
  <c r="AW35" i="37"/>
  <c r="BY35" i="37"/>
  <c r="BV35" i="37"/>
  <c r="BT69" i="37"/>
  <c r="BE69" i="25"/>
  <c r="BC69" i="37"/>
  <c r="CB69" i="37"/>
  <c r="AR69" i="37"/>
  <c r="BN69" i="25"/>
  <c r="CD69" i="37"/>
  <c r="BS69" i="37"/>
  <c r="BU69" i="37"/>
  <c r="AS69" i="25"/>
  <c r="AE69" i="37"/>
  <c r="BT57" i="37"/>
  <c r="BU57" i="25"/>
  <c r="BK57" i="37"/>
  <c r="AQ57" i="25"/>
  <c r="AC57" i="37"/>
  <c r="AK57" i="37"/>
  <c r="AT57" i="25"/>
  <c r="AF57" i="37"/>
  <c r="AR57" i="25"/>
  <c r="AD57" i="37"/>
  <c r="V57" i="37"/>
  <c r="BJ57" i="25"/>
  <c r="BN57" i="37"/>
  <c r="Q57" i="37"/>
  <c r="U27" i="37"/>
  <c r="Y27" i="37"/>
  <c r="AS27" i="37"/>
  <c r="CB27" i="37"/>
  <c r="Q27" i="37"/>
  <c r="AW27" i="25"/>
  <c r="AU27" i="37"/>
  <c r="BX27" i="25"/>
  <c r="AA27" i="37"/>
  <c r="U40" i="37"/>
  <c r="AQ40" i="25"/>
  <c r="AC40" i="37"/>
  <c r="BV40" i="37"/>
  <c r="BT40" i="37"/>
  <c r="BZ40" i="37"/>
  <c r="Y40" i="37"/>
  <c r="BS40" i="37"/>
  <c r="AP40" i="37"/>
  <c r="BG40" i="37"/>
  <c r="AI44" i="37"/>
  <c r="BH44" i="25"/>
  <c r="BL44" i="37"/>
  <c r="AJ44" i="37"/>
  <c r="BZ44" i="37"/>
  <c r="S44" i="37"/>
  <c r="BU44" i="25"/>
  <c r="CB44" i="37"/>
  <c r="X44" i="37"/>
  <c r="AV44" i="25"/>
  <c r="AT44" i="37"/>
  <c r="AS44" i="25"/>
  <c r="AE44" i="37"/>
  <c r="AO44" i="37"/>
  <c r="BE44" i="25"/>
  <c r="BC44" i="37"/>
  <c r="BY39" i="37"/>
  <c r="BX39" i="25"/>
  <c r="AR39" i="25"/>
  <c r="AD39" i="37"/>
  <c r="W39" i="37"/>
  <c r="AM39" i="37"/>
  <c r="AI39" i="37"/>
  <c r="AH39" i="37"/>
  <c r="AN39" i="37"/>
  <c r="U39" i="37"/>
  <c r="BF39" i="37"/>
  <c r="AJ39" i="37"/>
  <c r="S39" i="37"/>
  <c r="AL39" i="37"/>
  <c r="BW39" i="25"/>
  <c r="BO63" i="25"/>
  <c r="CE63" i="37"/>
  <c r="AA63" i="37"/>
  <c r="AZ63" i="25"/>
  <c r="AX63" i="37"/>
  <c r="BW63" i="37"/>
  <c r="BU63" i="37"/>
  <c r="BV63" i="25"/>
  <c r="BP63" i="25"/>
  <c r="CF63" i="37"/>
  <c r="BR63" i="37"/>
  <c r="AU63" i="25"/>
  <c r="AG63" i="37"/>
  <c r="AW63" i="25"/>
  <c r="AU63" i="37"/>
  <c r="AK63" i="37"/>
  <c r="CC63" i="37"/>
  <c r="BM63" i="25"/>
  <c r="BQ63" i="37"/>
  <c r="AU13" i="25"/>
  <c r="AG13" i="37"/>
  <c r="BO13" i="25"/>
  <c r="CE13" i="37"/>
  <c r="BB13" i="25"/>
  <c r="AZ13" i="37"/>
  <c r="BN13" i="25"/>
  <c r="CD13" i="37"/>
  <c r="AQ13" i="37"/>
  <c r="BJ13" i="25"/>
  <c r="BN13" i="37"/>
  <c r="BI13" i="37"/>
  <c r="BV13" i="25"/>
  <c r="T13" i="37"/>
  <c r="AA13" i="37"/>
  <c r="BF68" i="25"/>
  <c r="BD68" i="37"/>
  <c r="BF68" i="37"/>
  <c r="AN68" i="37"/>
  <c r="BL68" i="25"/>
  <c r="BP68" i="37"/>
  <c r="BC68" i="25"/>
  <c r="BA68" i="37"/>
  <c r="BN68" i="25"/>
  <c r="CD68" i="37"/>
  <c r="AO68" i="37"/>
  <c r="T68" i="37"/>
  <c r="AY68" i="25"/>
  <c r="AW68" i="37"/>
  <c r="AZ68" i="25"/>
  <c r="AX68" i="37"/>
  <c r="Y68" i="37"/>
  <c r="BG48" i="25"/>
  <c r="BE48" i="37"/>
  <c r="BL48" i="25"/>
  <c r="BP48" i="37"/>
  <c r="BK48" i="37"/>
  <c r="BZ48" i="37"/>
  <c r="AH48" i="37"/>
  <c r="AL48" i="37"/>
  <c r="BN48" i="25"/>
  <c r="CD48" i="37"/>
  <c r="BH48" i="25"/>
  <c r="BL48" i="37"/>
  <c r="BF48" i="37"/>
  <c r="BX6" i="25"/>
  <c r="AY6" i="25"/>
  <c r="AW6" i="37"/>
  <c r="AP6" i="37"/>
  <c r="AX6" i="25"/>
  <c r="AV6" i="37"/>
  <c r="BR6" i="37"/>
  <c r="P6" i="37"/>
  <c r="BU6" i="25"/>
  <c r="Q6" i="37"/>
  <c r="AN6" i="37"/>
  <c r="BY6" i="25"/>
  <c r="BE6" i="25"/>
  <c r="BC6" i="37"/>
  <c r="BW6" i="37"/>
  <c r="AT6" i="25"/>
  <c r="AF6" i="37"/>
  <c r="BK36" i="25"/>
  <c r="BO36" i="37"/>
  <c r="BR36" i="25"/>
  <c r="CH36" i="37"/>
  <c r="P36" i="37"/>
  <c r="W36" i="37"/>
  <c r="BC36" i="25"/>
  <c r="BA36" i="37"/>
  <c r="AI36" i="37"/>
  <c r="AO36" i="37"/>
  <c r="AP36" i="37"/>
  <c r="BT36" i="37"/>
  <c r="BD51" i="25"/>
  <c r="BB51" i="37"/>
  <c r="AZ51" i="25"/>
  <c r="AX51" i="37"/>
  <c r="P51" i="37"/>
  <c r="AQ51" i="37"/>
  <c r="BQ51" i="25"/>
  <c r="CG51" i="37"/>
  <c r="AP51" i="25"/>
  <c r="AB51" i="37"/>
  <c r="AR51" i="25"/>
  <c r="AD51" i="37"/>
  <c r="BI51" i="25"/>
  <c r="BM51" i="37"/>
  <c r="AL51" i="37"/>
  <c r="AA41" i="37"/>
  <c r="AO41" i="37"/>
  <c r="BI41" i="37"/>
  <c r="BM41" i="25"/>
  <c r="BQ41" i="37"/>
  <c r="BT41" i="37"/>
  <c r="BL41" i="25"/>
  <c r="BP41" i="37"/>
  <c r="BW41" i="37"/>
  <c r="BG41" i="25"/>
  <c r="BE41" i="37"/>
  <c r="BD41" i="25"/>
  <c r="BB41" i="37"/>
  <c r="R41" i="37"/>
  <c r="AT67" i="25"/>
  <c r="AF67" i="37"/>
  <c r="T67" i="37"/>
  <c r="AH67" i="37"/>
  <c r="BV67" i="37"/>
  <c r="V67" i="37"/>
  <c r="AW67" i="25"/>
  <c r="AU67" i="37"/>
  <c r="BW67" i="37"/>
  <c r="BK67" i="37"/>
  <c r="AN67" i="37"/>
  <c r="BE67" i="25"/>
  <c r="BC67" i="37"/>
  <c r="Q67" i="37"/>
  <c r="W67" i="37"/>
  <c r="BP67" i="25"/>
  <c r="CF67" i="37"/>
  <c r="AX42" i="25"/>
  <c r="AV42" i="37"/>
  <c r="AN42" i="37"/>
  <c r="CA42" i="37"/>
  <c r="BT42" i="25"/>
  <c r="T42" i="37"/>
  <c r="BL42" i="25"/>
  <c r="BP42" i="37"/>
  <c r="BP42" i="25"/>
  <c r="CF42" i="37"/>
  <c r="W42" i="37"/>
  <c r="BW42" i="37"/>
  <c r="AS42" i="25"/>
  <c r="AE42" i="37"/>
  <c r="AM42" i="37"/>
  <c r="BY42" i="25"/>
  <c r="BU3" i="25"/>
  <c r="AV3" i="25"/>
  <c r="AT3" i="37"/>
  <c r="BB3" i="25"/>
  <c r="AZ3" i="37"/>
  <c r="AH3" i="37"/>
  <c r="BL3" i="25"/>
  <c r="BP3" i="37"/>
  <c r="BK3" i="37"/>
  <c r="BM3" i="25"/>
  <c r="BQ3" i="37"/>
  <c r="AN3" i="37"/>
  <c r="BM38" i="25"/>
  <c r="BQ38" i="37"/>
  <c r="AO38" i="37"/>
  <c r="BS38" i="37"/>
  <c r="AS38" i="37"/>
  <c r="BZ38" i="37"/>
  <c r="Z38" i="37"/>
  <c r="BT38" i="37"/>
  <c r="P73" i="37"/>
  <c r="BR73" i="37"/>
  <c r="CA73" i="37"/>
  <c r="BV73" i="25"/>
  <c r="BW73" i="25"/>
  <c r="AY73" i="25"/>
  <c r="AW73" i="37"/>
  <c r="AS73" i="37"/>
  <c r="AQ73" i="37"/>
  <c r="BD73" i="25"/>
  <c r="BB73" i="37"/>
  <c r="AR5" i="25"/>
  <c r="AD5" i="37"/>
  <c r="BL5" i="25"/>
  <c r="BP5" i="37"/>
  <c r="Z5" i="37"/>
  <c r="AP5" i="37"/>
  <c r="AX5" i="25"/>
  <c r="AV5" i="37"/>
  <c r="BG5" i="37"/>
  <c r="AO5" i="37"/>
  <c r="BG35" i="37"/>
  <c r="BG35" i="25"/>
  <c r="BE35" i="37"/>
  <c r="BE35" i="25"/>
  <c r="BC35" i="37"/>
  <c r="BT35" i="37"/>
  <c r="AN35" i="37"/>
  <c r="AK35" i="37"/>
  <c r="AQ35" i="37"/>
  <c r="AX35" i="25"/>
  <c r="AV35" i="37"/>
  <c r="AU69" i="25"/>
  <c r="AG69" i="37"/>
  <c r="BV69" i="37"/>
  <c r="AV69" i="25"/>
  <c r="AT69" i="37"/>
  <c r="Y69" i="37"/>
  <c r="R69" i="37"/>
  <c r="T69" i="37"/>
  <c r="BD69" i="25"/>
  <c r="BB69" i="37"/>
  <c r="BB69" i="25"/>
  <c r="AZ69" i="37"/>
  <c r="AN69" i="37"/>
  <c r="BI69" i="25"/>
  <c r="BM69" i="37"/>
  <c r="CC69" i="37"/>
  <c r="AZ57" i="25"/>
  <c r="AX57" i="37"/>
  <c r="X57" i="37"/>
  <c r="BU57" i="37"/>
  <c r="P57" i="37"/>
  <c r="BF57" i="25"/>
  <c r="BD57" i="37"/>
  <c r="AH57" i="37"/>
  <c r="BY57" i="25"/>
  <c r="BZ57" i="37"/>
  <c r="Z57" i="37"/>
  <c r="AP27" i="25"/>
  <c r="AB27" i="37"/>
  <c r="BD27" i="25"/>
  <c r="BB27" i="37"/>
  <c r="AR27" i="25"/>
  <c r="AD27" i="37"/>
  <c r="AZ27" i="25"/>
  <c r="AX27" i="37"/>
  <c r="BL27" i="25"/>
  <c r="BP27" i="37"/>
  <c r="BR27" i="25"/>
  <c r="CH27" i="37"/>
  <c r="BB27" i="25"/>
  <c r="AZ27" i="37"/>
  <c r="BK27" i="37"/>
  <c r="AM27" i="37"/>
  <c r="BW27" i="25"/>
  <c r="BJ27" i="37"/>
  <c r="R40" i="37"/>
  <c r="BW40" i="25"/>
  <c r="AM40" i="37"/>
  <c r="AP40" i="25"/>
  <c r="AB40" i="37"/>
  <c r="BF40" i="25"/>
  <c r="BD40" i="37"/>
  <c r="V40" i="37"/>
  <c r="AW40" i="25"/>
  <c r="AU40" i="37"/>
  <c r="Z40" i="37"/>
  <c r="AQ40" i="37"/>
  <c r="BI40" i="25"/>
  <c r="BM40" i="37"/>
  <c r="AN40" i="37"/>
  <c r="AY44" i="25"/>
  <c r="AW44" i="37"/>
  <c r="BT44" i="25"/>
  <c r="BR44" i="37"/>
  <c r="Z44" i="37"/>
  <c r="BK44" i="25"/>
  <c r="BO44" i="37"/>
  <c r="Q44" i="37"/>
  <c r="AX44" i="25"/>
  <c r="AV44" i="37"/>
  <c r="BV44" i="37"/>
  <c r="BT44" i="37"/>
  <c r="AZ39" i="25"/>
  <c r="AX39" i="37"/>
  <c r="BE39" i="25"/>
  <c r="BC39" i="37"/>
  <c r="BU39" i="37"/>
  <c r="BT39" i="37"/>
  <c r="BI39" i="37"/>
  <c r="AQ39" i="37"/>
  <c r="AP39" i="37"/>
  <c r="V39" i="37"/>
  <c r="Y39" i="37"/>
  <c r="BO39" i="25"/>
  <c r="CE39" i="37"/>
  <c r="AP39" i="25"/>
  <c r="AB39" i="37"/>
  <c r="BG63" i="25"/>
  <c r="BE63" i="37"/>
  <c r="AJ63" i="37"/>
  <c r="Z63" i="37"/>
  <c r="BB63" i="25"/>
  <c r="AZ63" i="37"/>
  <c r="BT63" i="25"/>
  <c r="AS63" i="25"/>
  <c r="AE63" i="37"/>
  <c r="BI63" i="25"/>
  <c r="BM63" i="37"/>
  <c r="BY63" i="25"/>
  <c r="W63" i="37"/>
  <c r="BS63" i="25"/>
  <c r="CI63" i="37"/>
  <c r="AR13" i="37"/>
  <c r="AY13" i="25"/>
  <c r="AW13" i="37"/>
  <c r="R13" i="37"/>
  <c r="BT13" i="37"/>
  <c r="AT13" i="25"/>
  <c r="AF13" i="37"/>
  <c r="BF13" i="25"/>
  <c r="BD13" i="37"/>
  <c r="AR13" i="25"/>
  <c r="AD13" i="37"/>
  <c r="BP13" i="25"/>
  <c r="CF13" i="37"/>
  <c r="BY13" i="37"/>
  <c r="BR13" i="25"/>
  <c r="CH13" i="37"/>
  <c r="BZ68" i="37"/>
  <c r="BJ68" i="25"/>
  <c r="BN68" i="37"/>
  <c r="BG68" i="37"/>
  <c r="BX68" i="37"/>
  <c r="S68" i="37"/>
  <c r="BV68" i="25"/>
  <c r="U68" i="37"/>
  <c r="X68" i="37"/>
  <c r="BR68" i="25"/>
  <c r="CH68" i="37"/>
  <c r="BU68" i="25"/>
  <c r="BT68" i="25"/>
  <c r="BO48" i="25"/>
  <c r="CE48" i="37"/>
  <c r="BJ48" i="25"/>
  <c r="BN48" i="37"/>
  <c r="CC48" i="37"/>
  <c r="AJ48" i="37"/>
  <c r="AQ48" i="37"/>
  <c r="S48" i="37"/>
  <c r="AM48" i="37"/>
  <c r="AK48" i="37"/>
  <c r="BK48" i="25"/>
  <c r="BO48" i="37"/>
  <c r="AO48" i="37"/>
  <c r="BY48" i="37"/>
  <c r="AI48" i="37"/>
  <c r="AM56" i="37"/>
  <c r="AV56" i="25"/>
  <c r="AT56" i="37"/>
  <c r="BW56" i="25"/>
  <c r="BH56" i="37"/>
  <c r="AU56" i="25"/>
  <c r="AG56" i="37"/>
  <c r="BQ56" i="25"/>
  <c r="CG56" i="37"/>
  <c r="BV56" i="37"/>
  <c r="BY11" i="25"/>
  <c r="BH11" i="25"/>
  <c r="BL11" i="37"/>
  <c r="BF11" i="37"/>
  <c r="AU11" i="25"/>
  <c r="AG11" i="37"/>
  <c r="BD11" i="25"/>
  <c r="BB11" i="37"/>
  <c r="R11" i="37"/>
  <c r="Q11" i="37"/>
  <c r="BH11" i="37"/>
  <c r="AT11" i="25"/>
  <c r="AF11" i="37"/>
  <c r="U11" i="37"/>
  <c r="BU64" i="37"/>
  <c r="BS64" i="37"/>
  <c r="X64" i="37"/>
  <c r="BE64" i="25"/>
  <c r="BC64" i="37"/>
  <c r="AI64" i="37"/>
  <c r="AY64" i="25"/>
  <c r="AW64" i="37"/>
  <c r="BQ64" i="25"/>
  <c r="CG64" i="37"/>
  <c r="BK64" i="25"/>
  <c r="BO64" i="37"/>
  <c r="U64" i="37"/>
  <c r="BY6" i="37"/>
  <c r="BP6" i="25"/>
  <c r="CF6" i="37"/>
  <c r="R6" i="37"/>
  <c r="BV6" i="25"/>
  <c r="Y6" i="37"/>
  <c r="BJ6" i="37"/>
  <c r="BD36" i="25"/>
  <c r="BB36" i="37"/>
  <c r="BX36" i="25"/>
  <c r="U36" i="37"/>
  <c r="R36" i="37"/>
  <c r="Q36" i="37"/>
  <c r="BX36" i="37"/>
  <c r="AS36" i="37"/>
  <c r="AQ36" i="37"/>
  <c r="AR36" i="37"/>
  <c r="AU36" i="25"/>
  <c r="AG36" i="37"/>
  <c r="BP36" i="25"/>
  <c r="CF36" i="37"/>
  <c r="BF36" i="37"/>
  <c r="CC51" i="37"/>
  <c r="AP51" i="37"/>
  <c r="BH51" i="37"/>
  <c r="Q51" i="37"/>
  <c r="AK51" i="37"/>
  <c r="BT51" i="25"/>
  <c r="BB51" i="25"/>
  <c r="AZ51" i="37"/>
  <c r="BJ51" i="37"/>
  <c r="R51" i="37"/>
  <c r="AM51" i="37"/>
  <c r="BY51" i="25"/>
  <c r="AY51" i="25"/>
  <c r="AW51" i="37"/>
  <c r="Q41" i="37"/>
  <c r="U41" i="37"/>
  <c r="BU41" i="37"/>
  <c r="T41" i="37"/>
  <c r="AJ41" i="37"/>
  <c r="AK41" i="37"/>
  <c r="AW41" i="25"/>
  <c r="AU41" i="37"/>
  <c r="Y41" i="37"/>
  <c r="AY41" i="25"/>
  <c r="AW41" i="37"/>
  <c r="AS41" i="25"/>
  <c r="AE41" i="37"/>
  <c r="BN41" i="25"/>
  <c r="CD41" i="37"/>
  <c r="AU67" i="25"/>
  <c r="AG67" i="37"/>
  <c r="CB67" i="37"/>
  <c r="BM67" i="25"/>
  <c r="BQ67" i="37"/>
  <c r="BR67" i="25"/>
  <c r="CH67" i="37"/>
  <c r="CC67" i="37"/>
  <c r="BX67" i="25"/>
  <c r="BB67" i="25"/>
  <c r="AZ67" i="37"/>
  <c r="BQ67" i="25"/>
  <c r="CG67" i="37"/>
  <c r="P67" i="37"/>
  <c r="BV67" i="25"/>
  <c r="AP42" i="37"/>
  <c r="BU42" i="37"/>
  <c r="BF42" i="25"/>
  <c r="BD42" i="37"/>
  <c r="CB42" i="37"/>
  <c r="BU42" i="25"/>
  <c r="BF42" i="37"/>
  <c r="BA42" i="25"/>
  <c r="AY42" i="37"/>
  <c r="AL42" i="37"/>
  <c r="BT3" i="37"/>
  <c r="U3" i="37"/>
  <c r="P3" i="37"/>
  <c r="Q3" i="37"/>
  <c r="BC3" i="25"/>
  <c r="BA3" i="37"/>
  <c r="BA3" i="25"/>
  <c r="AY3" i="37"/>
  <c r="X3" i="37"/>
  <c r="BY3" i="25"/>
  <c r="AT3" i="25"/>
  <c r="AF3" i="37"/>
  <c r="R3" i="37"/>
  <c r="BV38" i="37"/>
  <c r="AX38" i="25"/>
  <c r="AV38" i="37"/>
  <c r="S38" i="37"/>
  <c r="BW38" i="37"/>
  <c r="CB38" i="37"/>
  <c r="W38" i="37"/>
  <c r="T38" i="37"/>
  <c r="V38" i="37"/>
  <c r="AI38" i="37"/>
  <c r="BU38" i="37"/>
  <c r="AV38" i="25"/>
  <c r="AT38" i="37"/>
  <c r="Y38" i="37"/>
  <c r="BF73" i="37"/>
  <c r="AX73" i="25"/>
  <c r="AV73" i="37"/>
  <c r="BU73" i="25"/>
  <c r="U73" i="37"/>
  <c r="BI73" i="37"/>
  <c r="AS73" i="25"/>
  <c r="AE73" i="37"/>
  <c r="BS73" i="25"/>
  <c r="CI73" i="37"/>
  <c r="BQ73" i="25"/>
  <c r="CG73" i="37"/>
  <c r="BP73" i="25"/>
  <c r="CF73" i="37"/>
  <c r="AZ5" i="25"/>
  <c r="AX5" i="37"/>
  <c r="AM5" i="37"/>
  <c r="AT5" i="25"/>
  <c r="AF5" i="37"/>
  <c r="BI5" i="37"/>
  <c r="BZ5" i="37"/>
  <c r="BU5" i="25"/>
  <c r="CB5" i="37"/>
  <c r="BE5" i="25"/>
  <c r="BC5" i="37"/>
  <c r="BV5" i="25"/>
  <c r="T5" i="37"/>
  <c r="BJ5" i="25"/>
  <c r="BN5" i="37"/>
  <c r="BQ5" i="25"/>
  <c r="CG5" i="37"/>
  <c r="BR5" i="37"/>
  <c r="P35" i="37"/>
  <c r="AM35" i="37"/>
  <c r="S35" i="37"/>
  <c r="BB35" i="25"/>
  <c r="AZ35" i="37"/>
  <c r="BV35" i="25"/>
  <c r="BK35" i="25"/>
  <c r="BO35" i="37"/>
  <c r="BC35" i="25"/>
  <c r="BA35" i="37"/>
  <c r="CA35" i="37"/>
  <c r="AR35" i="37"/>
  <c r="BN35" i="25"/>
  <c r="CD35" i="37"/>
  <c r="AR35" i="25"/>
  <c r="AD35" i="37"/>
  <c r="AP69" i="37"/>
  <c r="AA69" i="37"/>
  <c r="BZ69" i="37"/>
  <c r="AX69" i="25"/>
  <c r="AV69" i="37"/>
  <c r="BU69" i="25"/>
  <c r="AH69" i="37"/>
  <c r="BQ69" i="25"/>
  <c r="CG69" i="37"/>
  <c r="AZ69" i="25"/>
  <c r="AX69" i="37"/>
  <c r="BY69" i="37"/>
  <c r="BT69" i="25"/>
  <c r="AY69" i="25"/>
  <c r="AW69" i="37"/>
  <c r="BT57" i="25"/>
  <c r="AQ57" i="37"/>
  <c r="BN57" i="25"/>
  <c r="CD57" i="37"/>
  <c r="BQ57" i="25"/>
  <c r="CG57" i="37"/>
  <c r="AU57" i="25"/>
  <c r="AG57" i="37"/>
  <c r="BC57" i="25"/>
  <c r="BA57" i="37"/>
  <c r="CB57" i="37"/>
  <c r="BF57" i="37"/>
  <c r="W57" i="37"/>
  <c r="AX57" i="25"/>
  <c r="AV57" i="37"/>
  <c r="Y57" i="37"/>
  <c r="AN57" i="37"/>
  <c r="BG27" i="37"/>
  <c r="AH27" i="37"/>
  <c r="X27" i="37"/>
  <c r="BJ27" i="25"/>
  <c r="BN27" i="37"/>
  <c r="AY27" i="25"/>
  <c r="AW27" i="37"/>
  <c r="BV27" i="37"/>
  <c r="BX27" i="37"/>
  <c r="AT27" i="25"/>
  <c r="AF27" i="37"/>
  <c r="P27" i="37"/>
  <c r="CC40" i="37"/>
  <c r="BK40" i="25"/>
  <c r="BO40" i="37"/>
  <c r="AY40" i="25"/>
  <c r="AW40" i="37"/>
  <c r="AX40" i="25"/>
  <c r="AV40" i="37"/>
  <c r="AR40" i="25"/>
  <c r="AD40" i="37"/>
  <c r="BE40" i="25"/>
  <c r="BC40" i="37"/>
  <c r="AA40" i="37"/>
  <c r="AU40" i="25"/>
  <c r="AG40" i="37"/>
  <c r="AT40" i="25"/>
  <c r="AF40" i="37"/>
  <c r="BI44" i="25"/>
  <c r="BM44" i="37"/>
  <c r="CA44" i="37"/>
  <c r="BY44" i="37"/>
  <c r="BA44" i="25"/>
  <c r="AY44" i="37"/>
  <c r="BV44" i="25"/>
  <c r="BC44" i="25"/>
  <c r="BA44" i="37"/>
  <c r="BN44" i="25"/>
  <c r="CD44" i="37"/>
  <c r="AU44" i="25"/>
  <c r="AG44" i="37"/>
  <c r="AW44" i="25"/>
  <c r="AU44" i="37"/>
  <c r="V44" i="37"/>
  <c r="AP44" i="37"/>
  <c r="BU39" i="25"/>
  <c r="CA39" i="37"/>
  <c r="BZ39" i="37"/>
  <c r="AK39" i="37"/>
  <c r="BA39" i="25"/>
  <c r="AY39" i="37"/>
  <c r="BV39" i="25"/>
  <c r="BW39" i="37"/>
  <c r="AV63" i="25"/>
  <c r="AT63" i="37"/>
  <c r="BE63" i="25"/>
  <c r="BC63" i="37"/>
  <c r="AI63" i="37"/>
  <c r="BI63" i="37"/>
  <c r="BK63" i="37"/>
  <c r="BY63" i="37"/>
  <c r="X63" i="37"/>
  <c r="BA63" i="25"/>
  <c r="AY63" i="37"/>
  <c r="P63" i="37"/>
  <c r="BU63" i="25"/>
  <c r="AX63" i="25"/>
  <c r="AV63" i="37"/>
  <c r="BK13" i="25"/>
  <c r="BO13" i="37"/>
  <c r="BR13" i="37"/>
  <c r="AV13" i="25"/>
  <c r="AT13" i="37"/>
  <c r="AX13" i="25"/>
  <c r="AV13" i="37"/>
  <c r="AH13" i="37"/>
  <c r="BC13" i="25"/>
  <c r="BA13" i="37"/>
  <c r="BK13" i="37"/>
  <c r="AO13" i="37"/>
  <c r="BF13" i="37"/>
  <c r="AA68" i="37"/>
  <c r="BK68" i="37"/>
  <c r="AJ68" i="37"/>
  <c r="BG68" i="25"/>
  <c r="BE68" i="37"/>
  <c r="AP68" i="25"/>
  <c r="AB68" i="37"/>
  <c r="AI68" i="37"/>
  <c r="Z68" i="37"/>
  <c r="BS68" i="37"/>
  <c r="BI48" i="37"/>
  <c r="AV48" i="25"/>
  <c r="AT48" i="37"/>
  <c r="AW48" i="25"/>
  <c r="AU48" i="37"/>
  <c r="AR48" i="37"/>
  <c r="AT48" i="25"/>
  <c r="AF48" i="37"/>
  <c r="V48" i="37"/>
  <c r="R48" i="37"/>
  <c r="BD48" i="25"/>
  <c r="BB48" i="37"/>
  <c r="BL56" i="25"/>
  <c r="BP56" i="37"/>
  <c r="BR56" i="25"/>
  <c r="CH56" i="37"/>
  <c r="BJ56" i="25"/>
  <c r="BN56" i="37"/>
  <c r="BP11" i="25"/>
  <c r="CF11" i="37"/>
  <c r="BX11" i="37"/>
  <c r="BO11" i="25"/>
  <c r="CE11" i="37"/>
  <c r="AR11" i="25"/>
  <c r="AD11" i="37"/>
  <c r="CC11" i="37"/>
  <c r="BE11" i="25"/>
  <c r="BC11" i="37"/>
  <c r="BB11" i="25"/>
  <c r="AZ11" i="37"/>
  <c r="S11" i="37"/>
  <c r="BV11" i="37"/>
  <c r="BQ11" i="25"/>
  <c r="CG11" i="37"/>
  <c r="CC64" i="37"/>
  <c r="BY64" i="37"/>
  <c r="BC64" i="25"/>
  <c r="BA64" i="37"/>
  <c r="BF64" i="37"/>
  <c r="BT64" i="37"/>
  <c r="BV64" i="25"/>
  <c r="AW64" i="25"/>
  <c r="AU64" i="37"/>
  <c r="R64" i="37"/>
  <c r="BV64" i="37"/>
  <c r="AU64" i="25"/>
  <c r="AG64" i="37"/>
  <c r="AH64" i="37"/>
  <c r="BK6" i="25"/>
  <c r="BO6" i="37"/>
  <c r="AZ6" i="25"/>
  <c r="AX6" i="37"/>
  <c r="BL6" i="25"/>
  <c r="BP6" i="37"/>
  <c r="U6" i="37"/>
  <c r="Z6" i="37"/>
  <c r="AW6" i="25"/>
  <c r="AU6" i="37"/>
  <c r="BT6" i="37"/>
  <c r="BH6" i="37"/>
  <c r="BG6" i="25"/>
  <c r="BE6" i="37"/>
  <c r="BJ36" i="37"/>
  <c r="AJ36" i="37"/>
  <c r="CA36" i="37"/>
  <c r="T36" i="37"/>
  <c r="BH36" i="25"/>
  <c r="BL36" i="37"/>
  <c r="AR36" i="25"/>
  <c r="AD36" i="37"/>
  <c r="BM36" i="25"/>
  <c r="BQ36" i="37"/>
  <c r="BG51" i="25"/>
  <c r="BE51" i="37"/>
  <c r="BH51" i="25"/>
  <c r="BL51" i="37"/>
  <c r="AX51" i="25"/>
  <c r="AV51" i="37"/>
  <c r="BJ51" i="25"/>
  <c r="BN51" i="37"/>
  <c r="AW51" i="25"/>
  <c r="AU51" i="37"/>
  <c r="BV51" i="25"/>
  <c r="AN51" i="37"/>
  <c r="W41" i="37"/>
  <c r="X41" i="37"/>
  <c r="BH41" i="37"/>
  <c r="BB41" i="25"/>
  <c r="AZ41" i="37"/>
  <c r="BE41" i="25"/>
  <c r="BC41" i="37"/>
  <c r="BU41" i="25"/>
  <c r="BV41" i="37"/>
  <c r="AM67" i="37"/>
  <c r="CA67" i="37"/>
  <c r="BI67" i="25"/>
  <c r="BM67" i="37"/>
  <c r="AJ67" i="37"/>
  <c r="X67" i="37"/>
  <c r="BK67" i="25"/>
  <c r="BO67" i="37"/>
  <c r="BN67" i="25"/>
  <c r="CD67" i="37"/>
  <c r="AK42" i="37"/>
  <c r="S42" i="37"/>
  <c r="BH42" i="25"/>
  <c r="BL42" i="37"/>
  <c r="CC42" i="37"/>
  <c r="BV42" i="37"/>
  <c r="BX42" i="37"/>
  <c r="BK42" i="25"/>
  <c r="BO42" i="37"/>
  <c r="P42" i="37"/>
  <c r="R42" i="37"/>
  <c r="Z42" i="37"/>
  <c r="AU42" i="25"/>
  <c r="AG42" i="37"/>
  <c r="BW3" i="37"/>
  <c r="BG3" i="25"/>
  <c r="BE3" i="37"/>
  <c r="AP3" i="25"/>
  <c r="AB3" i="37"/>
  <c r="BH3" i="37"/>
  <c r="S3" i="37"/>
  <c r="BZ3" i="37"/>
  <c r="BU3" i="37"/>
  <c r="BN3" i="25"/>
  <c r="CD3" i="37"/>
  <c r="CA38" i="37"/>
  <c r="AN38" i="37"/>
  <c r="BG38" i="25"/>
  <c r="BE38" i="37"/>
  <c r="CC38" i="37"/>
  <c r="P38" i="37"/>
  <c r="BC38" i="25"/>
  <c r="BA38" i="37"/>
  <c r="AJ38" i="37"/>
  <c r="BK38" i="25"/>
  <c r="BO38" i="37"/>
  <c r="BU38" i="25"/>
  <c r="AO73" i="37"/>
  <c r="AR73" i="25"/>
  <c r="AD73" i="37"/>
  <c r="AI73" i="37"/>
  <c r="Z73" i="37"/>
  <c r="AJ73" i="37"/>
  <c r="BI73" i="25"/>
  <c r="BM73" i="37"/>
  <c r="AL73" i="37"/>
  <c r="BS73" i="37"/>
  <c r="BO73" i="25"/>
  <c r="CE73" i="37"/>
  <c r="BY5" i="25"/>
  <c r="BX5" i="37"/>
  <c r="AW5" i="25"/>
  <c r="AU5" i="37"/>
  <c r="P5" i="37"/>
  <c r="BF5" i="37"/>
  <c r="Q5" i="37"/>
  <c r="Y5" i="37"/>
  <c r="BX5" i="25"/>
  <c r="V5" i="37"/>
  <c r="AN5" i="37"/>
  <c r="BK35" i="37"/>
  <c r="AH35" i="37"/>
  <c r="BU35" i="25"/>
  <c r="CC35" i="37"/>
  <c r="BL35" i="25"/>
  <c r="BP35" i="37"/>
  <c r="BQ35" i="25"/>
  <c r="CG35" i="37"/>
  <c r="AO35" i="37"/>
  <c r="BY35" i="25"/>
  <c r="BM35" i="25"/>
  <c r="BQ35" i="37"/>
  <c r="AM69" i="37"/>
  <c r="BW69" i="37"/>
  <c r="U69" i="37"/>
  <c r="BP69" i="25"/>
  <c r="CF69" i="37"/>
  <c r="BI69" i="37"/>
  <c r="BH69" i="37"/>
  <c r="BG69" i="37"/>
  <c r="BO69" i="25"/>
  <c r="CE69" i="37"/>
  <c r="AT69" i="25"/>
  <c r="AF69" i="37"/>
  <c r="AO69" i="37"/>
  <c r="BL57" i="25"/>
  <c r="BP57" i="37"/>
  <c r="BW57" i="25"/>
  <c r="AS57" i="25"/>
  <c r="AE57" i="37"/>
  <c r="AV57" i="25"/>
  <c r="AT57" i="37"/>
  <c r="R57" i="37"/>
  <c r="CC57" i="37"/>
  <c r="BS57" i="37"/>
  <c r="AP57" i="25"/>
  <c r="AB57" i="37"/>
  <c r="AW57" i="25"/>
  <c r="AU57" i="37"/>
  <c r="BK57" i="25"/>
  <c r="BO57" i="37"/>
  <c r="BJ57" i="37"/>
  <c r="BR27" i="37"/>
  <c r="T27" i="37"/>
  <c r="BT27" i="37"/>
  <c r="BE27" i="25"/>
  <c r="BC27" i="37"/>
  <c r="AJ27" i="37"/>
  <c r="AO27" i="37"/>
  <c r="BU27" i="25"/>
  <c r="BF27" i="37"/>
  <c r="W27" i="37"/>
  <c r="AQ27" i="37"/>
  <c r="BR40" i="25"/>
  <c r="CH40" i="37"/>
  <c r="BR40" i="37"/>
  <c r="P40" i="37"/>
  <c r="BU40" i="25"/>
  <c r="BY40" i="25"/>
  <c r="X40" i="37"/>
  <c r="AH40" i="37"/>
  <c r="BJ40" i="25"/>
  <c r="BN40" i="37"/>
  <c r="BY40" i="37"/>
  <c r="BG44" i="25"/>
  <c r="BE44" i="37"/>
  <c r="BS44" i="37"/>
  <c r="W44" i="37"/>
  <c r="AQ44" i="25"/>
  <c r="AC44" i="37"/>
  <c r="AR44" i="25"/>
  <c r="AD44" i="37"/>
  <c r="BS44" i="25"/>
  <c r="CI44" i="37"/>
  <c r="BX44" i="25"/>
  <c r="P39" i="37"/>
  <c r="BG39" i="37"/>
  <c r="CB39" i="37"/>
  <c r="BJ39" i="37"/>
  <c r="Q39" i="37"/>
  <c r="BM39" i="25"/>
  <c r="BQ39" i="37"/>
  <c r="CC39" i="37"/>
  <c r="BK39" i="25"/>
  <c r="BO39" i="37"/>
  <c r="AS39" i="37"/>
  <c r="BT63" i="37"/>
  <c r="U63" i="37"/>
  <c r="BF63" i="25"/>
  <c r="BD63" i="37"/>
  <c r="BJ63" i="25"/>
  <c r="BN63" i="37"/>
  <c r="AS63" i="37"/>
  <c r="BD63" i="25"/>
  <c r="BB63" i="37"/>
  <c r="BV63" i="37"/>
  <c r="BF63" i="37"/>
  <c r="CB63" i="37"/>
  <c r="BZ13" i="37"/>
  <c r="AZ13" i="25"/>
  <c r="AX13" i="37"/>
  <c r="AL13" i="37"/>
  <c r="AN13" i="37"/>
  <c r="BW13" i="25"/>
  <c r="S13" i="37"/>
  <c r="BX13" i="25"/>
  <c r="BX13" i="37"/>
  <c r="BU13" i="25"/>
  <c r="V68" i="37"/>
  <c r="R68" i="37"/>
  <c r="BK68" i="25"/>
  <c r="BO68" i="37"/>
  <c r="BT68" i="37"/>
  <c r="BO68" i="25"/>
  <c r="CE68" i="37"/>
  <c r="AH68" i="37"/>
  <c r="BM68" i="25"/>
  <c r="BQ68" i="37"/>
  <c r="CB68" i="37"/>
  <c r="AK68" i="37"/>
  <c r="BS68" i="25"/>
  <c r="CI68" i="37"/>
  <c r="BJ48" i="37"/>
  <c r="BU48" i="37"/>
  <c r="AZ48" i="25"/>
  <c r="AX48" i="37"/>
  <c r="AY48" i="25"/>
  <c r="AW48" i="37"/>
  <c r="BV48" i="25"/>
  <c r="W48" i="37"/>
  <c r="BX48" i="37"/>
  <c r="W14" i="36"/>
  <c r="AB9" i="26"/>
  <c r="K9" i="36" s="1"/>
  <c r="Z13" i="26"/>
  <c r="W29" i="36"/>
  <c r="AA13" i="26"/>
  <c r="X11" i="26"/>
  <c r="Y9" i="26"/>
  <c r="W9" i="26"/>
  <c r="W9" i="36"/>
  <c r="W11" i="26"/>
  <c r="X14" i="26"/>
  <c r="W14" i="26"/>
  <c r="X12" i="26"/>
  <c r="AB11" i="26"/>
  <c r="K11" i="36" s="1"/>
  <c r="AB8" i="26"/>
  <c r="K8" i="36" s="1"/>
  <c r="X13" i="26"/>
  <c r="X9" i="26"/>
  <c r="Y14" i="26"/>
  <c r="Y13" i="26"/>
  <c r="X8" i="26"/>
  <c r="AA11" i="26"/>
  <c r="Y11" i="26"/>
  <c r="W8" i="26"/>
  <c r="W11" i="36"/>
  <c r="W12" i="36"/>
  <c r="W13" i="36"/>
  <c r="Y12" i="26"/>
  <c r="AA8" i="26"/>
  <c r="W8" i="36"/>
  <c r="AA14" i="26"/>
  <c r="AB13" i="26"/>
  <c r="K13" i="36" s="1"/>
  <c r="AB12" i="26"/>
  <c r="K12" i="36" s="1"/>
  <c r="AA9" i="26"/>
  <c r="W13" i="26"/>
  <c r="W12" i="26"/>
  <c r="AA12" i="26"/>
  <c r="AB14" i="26"/>
  <c r="K14" i="36" s="1"/>
  <c r="Y8" i="26"/>
  <c r="AP11" i="26"/>
  <c r="AP13" i="26"/>
  <c r="AP9" i="26"/>
  <c r="AM12" i="26"/>
  <c r="AJ12" i="26"/>
  <c r="AP8" i="26"/>
  <c r="AL14" i="26"/>
  <c r="L14" i="25"/>
  <c r="DC14" i="31"/>
  <c r="DC42" i="31"/>
  <c r="L42" i="25"/>
  <c r="DC13" i="31"/>
  <c r="L13" i="25"/>
  <c r="AJ8" i="26"/>
  <c r="DS83" i="32"/>
  <c r="DC53" i="31"/>
  <c r="L53" i="25"/>
  <c r="DC52" i="31"/>
  <c r="L52" i="25"/>
  <c r="DC71" i="31"/>
  <c r="L71" i="25"/>
  <c r="AO11" i="26"/>
  <c r="L38" i="25"/>
  <c r="DC38" i="31"/>
  <c r="DC63" i="31"/>
  <c r="L63" i="25"/>
  <c r="DC66" i="31"/>
  <c r="L66" i="25"/>
  <c r="L54" i="25"/>
  <c r="DC54" i="31"/>
  <c r="AM9" i="26"/>
  <c r="DC65" i="31"/>
  <c r="L65" i="25"/>
  <c r="L8" i="25"/>
  <c r="DC8" i="31"/>
  <c r="AO8" i="26"/>
  <c r="AP14" i="26"/>
  <c r="L58" i="25"/>
  <c r="DC58" i="31"/>
  <c r="L29" i="25"/>
  <c r="DC29" i="31"/>
  <c r="CC85" i="28"/>
  <c r="L3" i="25"/>
  <c r="DC3" i="31"/>
  <c r="DC27" i="31"/>
  <c r="L27" i="25"/>
  <c r="AM13" i="26"/>
  <c r="DC23" i="31"/>
  <c r="L23" i="25"/>
  <c r="L57" i="25"/>
  <c r="DC57" i="31"/>
  <c r="DC26" i="31"/>
  <c r="L26" i="25"/>
  <c r="DC73" i="31"/>
  <c r="L73" i="25"/>
  <c r="DC10" i="31"/>
  <c r="L10" i="25"/>
  <c r="AP12" i="26"/>
  <c r="AM14" i="26"/>
  <c r="AO9" i="26"/>
  <c r="AR12" i="26"/>
  <c r="AL8" i="26"/>
  <c r="L4" i="25"/>
  <c r="DC4" i="31"/>
  <c r="AO14" i="26"/>
  <c r="DC43" i="31"/>
  <c r="L43" i="25"/>
  <c r="L11" i="25"/>
  <c r="DC11" i="31"/>
  <c r="AR11" i="26"/>
  <c r="DC64" i="31"/>
  <c r="L64" i="25"/>
  <c r="DC67" i="31"/>
  <c r="L67" i="25"/>
  <c r="L5" i="25"/>
  <c r="DC5" i="31"/>
  <c r="DC69" i="31"/>
  <c r="L69" i="25"/>
  <c r="AO13" i="26"/>
  <c r="DC68" i="31"/>
  <c r="L68" i="25"/>
  <c r="AM11" i="26"/>
  <c r="AJ13" i="26"/>
  <c r="AR9" i="26"/>
  <c r="AR8" i="26"/>
  <c r="L49" i="25"/>
  <c r="DC49" i="31"/>
  <c r="AJ9" i="26"/>
  <c r="DC55" i="31"/>
  <c r="L55" i="25"/>
  <c r="DC72" i="31"/>
  <c r="L72" i="25"/>
  <c r="L40" i="25"/>
  <c r="DC40" i="31"/>
  <c r="L9" i="25"/>
  <c r="DC9" i="31"/>
  <c r="AL9" i="26"/>
  <c r="AL12" i="26"/>
  <c r="L34" i="25"/>
  <c r="DC34" i="31"/>
  <c r="DC28" i="31"/>
  <c r="L28" i="25"/>
  <c r="L59" i="25"/>
  <c r="DC59" i="31"/>
  <c r="AJ11" i="26"/>
  <c r="AR13" i="26"/>
  <c r="DC33" i="31"/>
  <c r="L33" i="25"/>
  <c r="DC35" i="31"/>
  <c r="L35" i="25"/>
  <c r="DC12" i="31"/>
  <c r="L12" i="25"/>
  <c r="DC74" i="31"/>
  <c r="L74" i="25"/>
  <c r="L37" i="25"/>
  <c r="DC37" i="31"/>
  <c r="AR14" i="26"/>
  <c r="L24" i="25"/>
  <c r="DC24" i="31"/>
  <c r="L6" i="25"/>
  <c r="DC6" i="31"/>
  <c r="DC44" i="31"/>
  <c r="L44" i="25"/>
  <c r="L7" i="25"/>
  <c r="DC7" i="31"/>
  <c r="AO12" i="26"/>
  <c r="AM8" i="26"/>
  <c r="AJ14" i="26"/>
  <c r="DC50" i="31"/>
  <c r="L50" i="25"/>
  <c r="L56" i="25"/>
  <c r="DC56" i="31"/>
  <c r="AL11" i="26"/>
  <c r="L36" i="25"/>
  <c r="DC36" i="31"/>
  <c r="DC51" i="31"/>
  <c r="L51" i="25"/>
  <c r="L41" i="25"/>
  <c r="DC41" i="31"/>
  <c r="L39" i="25"/>
  <c r="DC39" i="31"/>
  <c r="AL13" i="26"/>
  <c r="DC48" i="31"/>
  <c r="L48" i="25"/>
  <c r="Y36" i="41" l="1"/>
  <c r="AC36" i="41" s="1"/>
  <c r="Y35" i="41"/>
  <c r="AC35" i="41" s="1"/>
  <c r="G12" i="35"/>
  <c r="L12" i="35"/>
  <c r="M12" i="35"/>
  <c r="G13" i="35"/>
  <c r="M13" i="35"/>
  <c r="L13" i="35"/>
  <c r="G14" i="35"/>
  <c r="L14" i="35"/>
  <c r="M14" i="35"/>
  <c r="G11" i="35"/>
  <c r="L11" i="35"/>
  <c r="M11" i="35"/>
  <c r="G8" i="35"/>
  <c r="L8" i="35"/>
  <c r="M8" i="35"/>
  <c r="Y8" i="35"/>
  <c r="Z8" i="35"/>
  <c r="Z11" i="35"/>
  <c r="Y11" i="35"/>
  <c r="Y12" i="35"/>
  <c r="Z12" i="35"/>
  <c r="S12" i="35"/>
  <c r="R12" i="35"/>
  <c r="Z9" i="35"/>
  <c r="Y9" i="35"/>
  <c r="Y14" i="35"/>
  <c r="Z14" i="35"/>
  <c r="Y13" i="35"/>
  <c r="Z13" i="35"/>
  <c r="R11" i="35"/>
  <c r="S11" i="35"/>
  <c r="S13" i="35"/>
  <c r="R13" i="35"/>
  <c r="S14" i="35"/>
  <c r="R14" i="35"/>
  <c r="S8" i="35"/>
  <c r="R8" i="35"/>
  <c r="S9" i="35"/>
  <c r="R9" i="35"/>
  <c r="R25" i="26"/>
  <c r="S29" i="36"/>
  <c r="Q24" i="26"/>
  <c r="C22" i="26"/>
  <c r="T24" i="26"/>
  <c r="Z24" i="26"/>
  <c r="C25" i="26"/>
  <c r="P24" i="26"/>
  <c r="P25" i="26"/>
  <c r="P22" i="26"/>
  <c r="R22" i="26"/>
  <c r="C24" i="26"/>
  <c r="T25" i="26"/>
  <c r="Q25" i="26"/>
  <c r="U25" i="26"/>
  <c r="S25" i="26"/>
  <c r="U24" i="26"/>
  <c r="Q22" i="26"/>
  <c r="S24" i="26"/>
  <c r="T22" i="26"/>
  <c r="U22" i="26"/>
  <c r="S22" i="26"/>
  <c r="R24" i="26"/>
  <c r="S25" i="36"/>
  <c r="F29" i="36"/>
  <c r="F27" i="36"/>
  <c r="S24" i="36"/>
  <c r="S28" i="36"/>
  <c r="F30" i="36"/>
  <c r="F24" i="36"/>
  <c r="F28" i="36"/>
  <c r="S27" i="36"/>
  <c r="F25" i="36"/>
  <c r="AL39" i="25"/>
  <c r="M9" i="26" s="1"/>
  <c r="AL35" i="25"/>
  <c r="AL34" i="25"/>
  <c r="AL43" i="25"/>
  <c r="AL42" i="25"/>
  <c r="AL36" i="25"/>
  <c r="AL44" i="25"/>
  <c r="M14" i="26" s="1"/>
  <c r="AL38" i="25"/>
  <c r="AL37" i="25"/>
  <c r="AL41" i="25"/>
  <c r="AL33" i="25"/>
  <c r="AL40" i="25"/>
  <c r="K25" i="36"/>
  <c r="K28" i="36"/>
  <c r="K27" i="36"/>
  <c r="K29" i="36"/>
  <c r="K30" i="36"/>
  <c r="K24" i="36"/>
  <c r="AG12" i="26"/>
  <c r="AG14" i="26"/>
  <c r="AG13" i="26"/>
  <c r="AG9" i="26"/>
  <c r="AG11" i="26"/>
  <c r="AG8" i="26"/>
  <c r="CP77" i="37"/>
  <c r="I16" i="37" s="1"/>
  <c r="V13" i="26"/>
  <c r="X45" i="34" s="1"/>
  <c r="CR77" i="37"/>
  <c r="K16" i="37" s="1"/>
  <c r="C12" i="26"/>
  <c r="V11" i="26"/>
  <c r="X43" i="34" s="1"/>
  <c r="V8" i="26"/>
  <c r="X40" i="34" s="1"/>
  <c r="CQ77" i="37"/>
  <c r="J16" i="37" s="1"/>
  <c r="V14" i="26"/>
  <c r="X46" i="34" s="1"/>
  <c r="CU77" i="37"/>
  <c r="N16" i="37" s="1"/>
  <c r="CS77" i="37"/>
  <c r="L16" i="37" s="1"/>
  <c r="V12" i="26"/>
  <c r="X44" i="34" s="1"/>
  <c r="V9" i="26"/>
  <c r="X41" i="34" s="1"/>
  <c r="CT77" i="37"/>
  <c r="M16" i="37" s="1"/>
  <c r="S27" i="34"/>
  <c r="S29" i="34"/>
  <c r="Q11" i="26"/>
  <c r="T11" i="26"/>
  <c r="F43" i="34" s="1"/>
  <c r="T9" i="26"/>
  <c r="F41" i="34" s="1"/>
  <c r="Q9" i="26"/>
  <c r="F25" i="34" s="1"/>
  <c r="U14" i="26"/>
  <c r="P14" i="26"/>
  <c r="U8" i="26"/>
  <c r="P9" i="26"/>
  <c r="P11" i="26"/>
  <c r="R13" i="26"/>
  <c r="M29" i="34" s="1"/>
  <c r="S13" i="26"/>
  <c r="R29" i="34" s="1"/>
  <c r="U13" i="26"/>
  <c r="S12" i="26"/>
  <c r="R28" i="34" s="1"/>
  <c r="T8" i="26"/>
  <c r="F40" i="34" s="1"/>
  <c r="R8" i="26"/>
  <c r="M24" i="34" s="1"/>
  <c r="Q14" i="26"/>
  <c r="G30" i="34" s="1"/>
  <c r="U9" i="26"/>
  <c r="Q8" i="26"/>
  <c r="F24" i="34" s="1"/>
  <c r="U12" i="26"/>
  <c r="U11" i="26"/>
  <c r="P12" i="26"/>
  <c r="S24" i="34"/>
  <c r="T12" i="26"/>
  <c r="F44" i="34" s="1"/>
  <c r="Q12" i="26"/>
  <c r="G28" i="34" s="1"/>
  <c r="S8" i="26"/>
  <c r="R24" i="34" s="1"/>
  <c r="S9" i="26"/>
  <c r="R25" i="34" s="1"/>
  <c r="R14" i="26"/>
  <c r="L30" i="34" s="1"/>
  <c r="C11" i="26"/>
  <c r="C14" i="26"/>
  <c r="T13" i="26"/>
  <c r="F45" i="34" s="1"/>
  <c r="P8" i="26"/>
  <c r="S28" i="34"/>
  <c r="C9" i="26"/>
  <c r="C13" i="26"/>
  <c r="C8" i="26"/>
  <c r="R11" i="26"/>
  <c r="L27" i="34" s="1"/>
  <c r="Q13" i="26"/>
  <c r="S11" i="26"/>
  <c r="R27" i="34" s="1"/>
  <c r="P13" i="26"/>
  <c r="S25" i="34"/>
  <c r="R12" i="26"/>
  <c r="M28" i="34" s="1"/>
  <c r="R9" i="26"/>
  <c r="T14" i="26"/>
  <c r="F46" i="34" s="1"/>
  <c r="S14" i="26"/>
  <c r="R30" i="34" s="1"/>
  <c r="DI68" i="25"/>
  <c r="DL68" i="25" s="1"/>
  <c r="DN68" i="25" s="1"/>
  <c r="AM51" i="25"/>
  <c r="AM50" i="25"/>
  <c r="DI66" i="25"/>
  <c r="DL66" i="25" s="1"/>
  <c r="DN66" i="25" s="1"/>
  <c r="AN26" i="25"/>
  <c r="DI74" i="25"/>
  <c r="DL74" i="25" s="1"/>
  <c r="DN74" i="25" s="1"/>
  <c r="AM59" i="25"/>
  <c r="DI72" i="25"/>
  <c r="DL72" i="25" s="1"/>
  <c r="DN72" i="25" s="1"/>
  <c r="DI64" i="25"/>
  <c r="DL64" i="25" s="1"/>
  <c r="DN64" i="25" s="1"/>
  <c r="AM55" i="25"/>
  <c r="AN24" i="25"/>
  <c r="AM56" i="25"/>
  <c r="DI73" i="25"/>
  <c r="DL73" i="25" s="1"/>
  <c r="DN73" i="25" s="1"/>
  <c r="DI65" i="25"/>
  <c r="DL65" i="25" s="1"/>
  <c r="DN65" i="25" s="1"/>
  <c r="DI71" i="25"/>
  <c r="DL71" i="25" s="1"/>
  <c r="DN71" i="25" s="1"/>
  <c r="DI69" i="25"/>
  <c r="DL69" i="25" s="1"/>
  <c r="DN69" i="25" s="1"/>
  <c r="AM54" i="25"/>
  <c r="BH77" i="37"/>
  <c r="K10" i="37" s="1"/>
  <c r="X77" i="37"/>
  <c r="K4" i="37" s="1"/>
  <c r="P77" i="37"/>
  <c r="I3" i="37" s="1"/>
  <c r="CB77" i="37"/>
  <c r="M13" i="37" s="1"/>
  <c r="BU77" i="37"/>
  <c r="L12" i="37" s="1"/>
  <c r="R77" i="37"/>
  <c r="K3" i="37" s="1"/>
  <c r="U77" i="37"/>
  <c r="N3" i="37" s="1"/>
  <c r="BK77" i="37"/>
  <c r="N10" i="37" s="1"/>
  <c r="BJ77" i="37"/>
  <c r="M10" i="37" s="1"/>
  <c r="AA77" i="37"/>
  <c r="N4" i="37" s="1"/>
  <c r="AR77" i="37"/>
  <c r="M7" i="37" s="1"/>
  <c r="AJ77" i="37"/>
  <c r="K6" i="37" s="1"/>
  <c r="BR77" i="37"/>
  <c r="I12" i="37" s="1"/>
  <c r="BV77" i="37"/>
  <c r="M12" i="37" s="1"/>
  <c r="CA77" i="37"/>
  <c r="L13" i="37" s="1"/>
  <c r="CC77" i="37"/>
  <c r="N13" i="37" s="1"/>
  <c r="AO77" i="37"/>
  <c r="J7" i="37" s="1"/>
  <c r="AL77" i="37"/>
  <c r="M6" i="37" s="1"/>
  <c r="W77" i="37"/>
  <c r="J4" i="37" s="1"/>
  <c r="BZ77" i="37"/>
  <c r="K13" i="37" s="1"/>
  <c r="BT77" i="37"/>
  <c r="K12" i="37" s="1"/>
  <c r="Z77" i="37"/>
  <c r="M4" i="37" s="1"/>
  <c r="AQ77" i="37"/>
  <c r="L7" i="37" s="1"/>
  <c r="BF77" i="37"/>
  <c r="I10" i="37" s="1"/>
  <c r="BX77" i="37"/>
  <c r="I13" i="37" s="1"/>
  <c r="AI77" i="37"/>
  <c r="J6" i="37" s="1"/>
  <c r="AM77" i="37"/>
  <c r="N6" i="37" s="1"/>
  <c r="BG77" i="37"/>
  <c r="J10" i="37" s="1"/>
  <c r="AS77" i="37"/>
  <c r="N7" i="37" s="1"/>
  <c r="AN77" i="37"/>
  <c r="I7" i="37" s="1"/>
  <c r="BS77" i="37"/>
  <c r="J12" i="37" s="1"/>
  <c r="BY77" i="37"/>
  <c r="J13" i="37" s="1"/>
  <c r="T77" i="37"/>
  <c r="M3" i="37" s="1"/>
  <c r="AP77" i="37"/>
  <c r="K7" i="37" s="1"/>
  <c r="Y77" i="37"/>
  <c r="L4" i="37" s="1"/>
  <c r="BI77" i="37"/>
  <c r="L10" i="37" s="1"/>
  <c r="V77" i="37"/>
  <c r="I4" i="37" s="1"/>
  <c r="S77" i="37"/>
  <c r="L3" i="37" s="1"/>
  <c r="BW77" i="37"/>
  <c r="N12" i="37" s="1"/>
  <c r="Q77" i="37"/>
  <c r="J3" i="37" s="1"/>
  <c r="AH77" i="37"/>
  <c r="I6" i="37" s="1"/>
  <c r="AK77" i="37"/>
  <c r="L6" i="37" s="1"/>
  <c r="AA30" i="36"/>
  <c r="O9" i="36"/>
  <c r="O24" i="36"/>
  <c r="AA24" i="36"/>
  <c r="O12" i="36"/>
  <c r="AA28" i="36"/>
  <c r="O28" i="36"/>
  <c r="O8" i="36"/>
  <c r="O14" i="36"/>
  <c r="O13" i="36"/>
  <c r="O27" i="36"/>
  <c r="AA27" i="36"/>
  <c r="AA29" i="36"/>
  <c r="O29" i="36"/>
  <c r="O25" i="36"/>
  <c r="AA25" i="36"/>
  <c r="O11" i="36"/>
  <c r="AM58" i="25"/>
  <c r="N13" i="26" s="1"/>
  <c r="AM57" i="25"/>
  <c r="N12" i="26" s="1"/>
  <c r="AM52" i="25"/>
  <c r="AN27" i="25"/>
  <c r="O12" i="26" s="1"/>
  <c r="AN29" i="25"/>
  <c r="O14" i="26" s="1"/>
  <c r="AM48" i="25"/>
  <c r="AN28" i="25"/>
  <c r="O13" i="26" s="1"/>
  <c r="AM49" i="25"/>
  <c r="DI63" i="25"/>
  <c r="DI67" i="25"/>
  <c r="AN23" i="25"/>
  <c r="O8" i="26" s="1"/>
  <c r="AM53" i="25"/>
  <c r="N8" i="26" s="1"/>
  <c r="Y18" i="41" l="1"/>
  <c r="AC18" i="41" s="1"/>
  <c r="Y28" i="41"/>
  <c r="AC28" i="41" s="1"/>
  <c r="Y21" i="41"/>
  <c r="AC21" i="41" s="1"/>
  <c r="Y20" i="41"/>
  <c r="AC20" i="41" s="1"/>
  <c r="Y27" i="41"/>
  <c r="AC27" i="41" s="1"/>
  <c r="F11" i="34"/>
  <c r="G11" i="34"/>
  <c r="G13" i="34"/>
  <c r="F13" i="34"/>
  <c r="F8" i="34"/>
  <c r="G8" i="34"/>
  <c r="F9" i="34"/>
  <c r="G9" i="34"/>
  <c r="F14" i="34"/>
  <c r="G14" i="34"/>
  <c r="G12" i="34"/>
  <c r="F12" i="34"/>
  <c r="DL33" i="25"/>
  <c r="DN33" i="25" s="1"/>
  <c r="M24" i="26"/>
  <c r="AG22" i="26"/>
  <c r="AS22" i="26" s="1"/>
  <c r="AU22" i="26" s="1"/>
  <c r="DL63" i="25"/>
  <c r="DN63" i="25" s="1"/>
  <c r="DL48" i="25"/>
  <c r="DN48" i="25" s="1"/>
  <c r="N25" i="26"/>
  <c r="AC15" i="35"/>
  <c r="AD15" i="35"/>
  <c r="AB15" i="35"/>
  <c r="AA15" i="35"/>
  <c r="AQ8" i="26"/>
  <c r="J17" i="37"/>
  <c r="N17" i="37"/>
  <c r="L17" i="37"/>
  <c r="O16" i="37"/>
  <c r="M17" i="37"/>
  <c r="K17" i="37"/>
  <c r="I17" i="37"/>
  <c r="DL54" i="25"/>
  <c r="DN54" i="25" s="1"/>
  <c r="N9" i="26"/>
  <c r="DL55" i="25"/>
  <c r="DN55" i="25" s="1"/>
  <c r="DL37" i="25"/>
  <c r="DN37" i="25" s="1"/>
  <c r="DL51" i="25"/>
  <c r="DN51" i="25" s="1"/>
  <c r="DL38" i="25"/>
  <c r="DN38" i="25" s="1"/>
  <c r="M8" i="26"/>
  <c r="G24" i="35" s="1"/>
  <c r="DL34" i="25"/>
  <c r="DN34" i="25" s="1"/>
  <c r="DL24" i="25"/>
  <c r="DN24" i="25" s="1"/>
  <c r="O9" i="26"/>
  <c r="S25" i="35" s="1"/>
  <c r="DL59" i="25"/>
  <c r="DN59" i="25" s="1"/>
  <c r="N14" i="26"/>
  <c r="L30" i="35" s="1"/>
  <c r="DL50" i="25"/>
  <c r="DN50" i="25" s="1"/>
  <c r="DL43" i="25"/>
  <c r="DN43" i="25" s="1"/>
  <c r="M13" i="26"/>
  <c r="F29" i="35" s="1"/>
  <c r="DL41" i="25"/>
  <c r="DN41" i="25" s="1"/>
  <c r="M11" i="26"/>
  <c r="G27" i="35" s="1"/>
  <c r="DL42" i="25"/>
  <c r="DN42" i="25" s="1"/>
  <c r="M12" i="26"/>
  <c r="F28" i="35" s="1"/>
  <c r="DL56" i="25"/>
  <c r="DN56" i="25" s="1"/>
  <c r="N11" i="26"/>
  <c r="M27" i="35" s="1"/>
  <c r="DL40" i="25"/>
  <c r="DN40" i="25" s="1"/>
  <c r="DL26" i="25"/>
  <c r="DN26" i="25" s="1"/>
  <c r="O11" i="26"/>
  <c r="S27" i="35" s="1"/>
  <c r="G29" i="34"/>
  <c r="AQ11" i="26"/>
  <c r="L24" i="34"/>
  <c r="G24" i="34"/>
  <c r="F28" i="34"/>
  <c r="F29" i="34"/>
  <c r="S45" i="34"/>
  <c r="R45" i="34"/>
  <c r="G45" i="34"/>
  <c r="F27" i="34"/>
  <c r="G40" i="34"/>
  <c r="S44" i="34"/>
  <c r="R44" i="34"/>
  <c r="R41" i="34"/>
  <c r="S41" i="34"/>
  <c r="S40" i="34"/>
  <c r="R40" i="34"/>
  <c r="G27" i="34"/>
  <c r="G44" i="34"/>
  <c r="M30" i="34"/>
  <c r="S46" i="34"/>
  <c r="R46" i="34"/>
  <c r="G41" i="34"/>
  <c r="G46" i="34"/>
  <c r="G43" i="34"/>
  <c r="S43" i="34"/>
  <c r="R43" i="34"/>
  <c r="AQ13" i="26"/>
  <c r="AQ14" i="26"/>
  <c r="G25" i="34"/>
  <c r="AQ9" i="26"/>
  <c r="F30" i="34"/>
  <c r="M27" i="34"/>
  <c r="S30" i="34"/>
  <c r="L28" i="34"/>
  <c r="AQ12" i="26"/>
  <c r="L29" i="34"/>
  <c r="M25" i="34"/>
  <c r="L25" i="34"/>
  <c r="O4" i="37"/>
  <c r="O13" i="37"/>
  <c r="O7" i="37"/>
  <c r="O10" i="37"/>
  <c r="O12" i="37"/>
  <c r="O6" i="37"/>
  <c r="O3" i="37"/>
  <c r="DL44" i="25"/>
  <c r="DN44" i="25" s="1"/>
  <c r="DL11" i="25"/>
  <c r="DN11" i="25" s="1"/>
  <c r="DL23" i="25"/>
  <c r="DN23" i="25" s="1"/>
  <c r="DL36" i="25"/>
  <c r="DN36" i="25" s="1"/>
  <c r="DL35" i="25"/>
  <c r="DN35" i="25" s="1"/>
  <c r="DL57" i="25"/>
  <c r="DN57" i="25" s="1"/>
  <c r="DL53" i="25"/>
  <c r="DN53" i="25" s="1"/>
  <c r="DL49" i="25"/>
  <c r="DN49" i="25" s="1"/>
  <c r="DL28" i="25"/>
  <c r="DN28" i="25" s="1"/>
  <c r="DL5" i="25"/>
  <c r="DN5" i="25" s="1"/>
  <c r="DL12" i="25"/>
  <c r="DN12" i="25" s="1"/>
  <c r="DL14" i="25"/>
  <c r="DN14" i="25" s="1"/>
  <c r="DL10" i="25"/>
  <c r="DN10" i="25" s="1"/>
  <c r="DL4" i="25"/>
  <c r="DN4" i="25" s="1"/>
  <c r="DL9" i="25"/>
  <c r="DN9" i="25" s="1"/>
  <c r="DL6" i="25"/>
  <c r="DN6" i="25" s="1"/>
  <c r="DL52" i="25"/>
  <c r="DN52" i="25" s="1"/>
  <c r="DL58" i="25"/>
  <c r="DN58" i="25" s="1"/>
  <c r="DL39" i="25"/>
  <c r="DN39" i="25" s="1"/>
  <c r="DL27" i="25"/>
  <c r="DN27" i="25" s="1"/>
  <c r="DL8" i="25"/>
  <c r="DN8" i="25" s="1"/>
  <c r="G30" i="35"/>
  <c r="F30" i="35"/>
  <c r="DL7" i="25"/>
  <c r="DN7" i="25" s="1"/>
  <c r="M29" i="35"/>
  <c r="L29" i="35"/>
  <c r="R30" i="35"/>
  <c r="S30" i="35"/>
  <c r="R24" i="35"/>
  <c r="S24" i="35"/>
  <c r="DL29" i="25"/>
  <c r="DN29" i="25" s="1"/>
  <c r="S28" i="35"/>
  <c r="R28" i="35"/>
  <c r="DL3" i="25"/>
  <c r="L24" i="35"/>
  <c r="M24" i="35"/>
  <c r="DL67" i="25"/>
  <c r="DN67" i="25" s="1"/>
  <c r="S29" i="35"/>
  <c r="R29" i="35"/>
  <c r="DL13" i="25"/>
  <c r="DN13" i="25" s="1"/>
  <c r="M28" i="35"/>
  <c r="L28" i="35"/>
  <c r="R43" i="35" l="1"/>
  <c r="R44" i="35"/>
  <c r="R45" i="35"/>
  <c r="AS24" i="26"/>
  <c r="AS25" i="26"/>
  <c r="AU25" i="26" s="1"/>
  <c r="C30" i="26"/>
  <c r="V30" i="26"/>
  <c r="V43" i="26" s="1"/>
  <c r="X30" i="26"/>
  <c r="X43" i="26" s="1"/>
  <c r="AN30" i="26"/>
  <c r="AN43" i="26" s="1"/>
  <c r="AB30" i="26"/>
  <c r="AB43" i="26" s="1"/>
  <c r="Z30" i="26"/>
  <c r="Z43" i="26" s="1"/>
  <c r="F30" i="26"/>
  <c r="F43" i="26" s="1"/>
  <c r="AL30" i="26"/>
  <c r="AL43" i="26" s="1"/>
  <c r="AA30" i="26"/>
  <c r="AA43" i="26" s="1"/>
  <c r="G30" i="26"/>
  <c r="G43" i="26" s="1"/>
  <c r="AQ30" i="26"/>
  <c r="AQ43" i="26" s="1"/>
  <c r="AF30" i="26"/>
  <c r="AF43" i="26" s="1"/>
  <c r="D30" i="26"/>
  <c r="D43" i="26" s="1"/>
  <c r="O30" i="26"/>
  <c r="O43" i="26" s="1"/>
  <c r="N30" i="26"/>
  <c r="N43" i="26" s="1"/>
  <c r="AC30" i="26"/>
  <c r="AC43" i="26" s="1"/>
  <c r="M30" i="26"/>
  <c r="M43" i="26" s="1"/>
  <c r="K30" i="26"/>
  <c r="K43" i="26" s="1"/>
  <c r="Y30" i="26"/>
  <c r="Y43" i="26" s="1"/>
  <c r="AH30" i="26"/>
  <c r="AH43" i="26" s="1"/>
  <c r="J30" i="26"/>
  <c r="J43" i="26" s="1"/>
  <c r="AO30" i="26"/>
  <c r="AO43" i="26" s="1"/>
  <c r="I30" i="26"/>
  <c r="I43" i="26" s="1"/>
  <c r="AD30" i="26"/>
  <c r="AD43" i="26" s="1"/>
  <c r="AI30" i="26"/>
  <c r="AI43" i="26" s="1"/>
  <c r="AJ30" i="26"/>
  <c r="AJ43" i="26" s="1"/>
  <c r="AE30" i="26"/>
  <c r="AE43" i="26" s="1"/>
  <c r="E30" i="26"/>
  <c r="E43" i="26" s="1"/>
  <c r="AM30" i="26"/>
  <c r="AM43" i="26" s="1"/>
  <c r="AR30" i="26"/>
  <c r="AR43" i="26" s="1"/>
  <c r="AP30" i="26"/>
  <c r="AP43" i="26" s="1"/>
  <c r="AK30" i="26"/>
  <c r="AK43" i="26" s="1"/>
  <c r="L30" i="26"/>
  <c r="L43" i="26" s="1"/>
  <c r="W30" i="26"/>
  <c r="W43" i="26" s="1"/>
  <c r="H30" i="26"/>
  <c r="H43" i="26" s="1"/>
  <c r="R30" i="26"/>
  <c r="R43" i="26" s="1"/>
  <c r="Q30" i="26"/>
  <c r="Q43" i="26" s="1"/>
  <c r="T30" i="26"/>
  <c r="T43" i="26" s="1"/>
  <c r="S30" i="26"/>
  <c r="S43" i="26" s="1"/>
  <c r="AG30" i="26"/>
  <c r="P30" i="26"/>
  <c r="P43" i="26" s="1"/>
  <c r="U30" i="26"/>
  <c r="U43" i="26" s="1"/>
  <c r="O17" i="37"/>
  <c r="G29" i="35"/>
  <c r="AU13" i="26"/>
  <c r="AU8" i="26"/>
  <c r="L27" i="35"/>
  <c r="F27" i="35"/>
  <c r="AU12" i="26"/>
  <c r="F24" i="35"/>
  <c r="R39" i="35" s="1"/>
  <c r="G28" i="35"/>
  <c r="AU14" i="26"/>
  <c r="M30" i="35"/>
  <c r="AU11" i="26"/>
  <c r="R27" i="35"/>
  <c r="AU9" i="26"/>
  <c r="DN3" i="25"/>
  <c r="AW24" i="26" l="1"/>
  <c r="AU24" i="26"/>
  <c r="AC38" i="26"/>
  <c r="V38" i="26"/>
  <c r="X38" i="26"/>
  <c r="AJ38" i="26"/>
  <c r="O38" i="26"/>
  <c r="AK38" i="26"/>
  <c r="AE38" i="26"/>
  <c r="AH38" i="26"/>
  <c r="W38" i="26"/>
  <c r="AI38" i="26"/>
  <c r="AR38" i="26"/>
  <c r="AF38" i="26"/>
  <c r="K38" i="26"/>
  <c r="AM38" i="26"/>
  <c r="AP38" i="26"/>
  <c r="L38" i="26"/>
  <c r="AB38" i="26"/>
  <c r="AL38" i="26"/>
  <c r="F38" i="26"/>
  <c r="AG38" i="26"/>
  <c r="M38" i="26"/>
  <c r="E38" i="26"/>
  <c r="AA38" i="26"/>
  <c r="AN38" i="26"/>
  <c r="Z38" i="26"/>
  <c r="H38" i="26"/>
  <c r="J38" i="26"/>
  <c r="G38" i="26"/>
  <c r="I38" i="26"/>
  <c r="AO38" i="26"/>
  <c r="D38" i="26"/>
  <c r="AQ38" i="26"/>
  <c r="Y38" i="26"/>
  <c r="P38" i="26"/>
  <c r="U38" i="26"/>
  <c r="R38" i="26"/>
  <c r="AD38" i="26"/>
  <c r="AD51" i="26" s="1"/>
  <c r="Q38" i="26"/>
  <c r="C38" i="26"/>
  <c r="S38" i="26"/>
  <c r="T38" i="26"/>
  <c r="V32" i="26"/>
  <c r="V45" i="26" s="1"/>
  <c r="AE32" i="26"/>
  <c r="AE45" i="26" s="1"/>
  <c r="X32" i="26"/>
  <c r="X45" i="26" s="1"/>
  <c r="Y32" i="26"/>
  <c r="Y45" i="26" s="1"/>
  <c r="O32" i="26"/>
  <c r="O45" i="26" s="1"/>
  <c r="AM32" i="26"/>
  <c r="AM45" i="26" s="1"/>
  <c r="AD32" i="26"/>
  <c r="AD45" i="26" s="1"/>
  <c r="I32" i="26"/>
  <c r="I45" i="26" s="1"/>
  <c r="AN32" i="26"/>
  <c r="AN45" i="26" s="1"/>
  <c r="F32" i="26"/>
  <c r="F45" i="26" s="1"/>
  <c r="AL32" i="26"/>
  <c r="AL45" i="26" s="1"/>
  <c r="AG32" i="26"/>
  <c r="AG45" i="26" s="1"/>
  <c r="AA32" i="26"/>
  <c r="AA45" i="26" s="1"/>
  <c r="AC32" i="26"/>
  <c r="AC45" i="26" s="1"/>
  <c r="AB32" i="26"/>
  <c r="AB45" i="26" s="1"/>
  <c r="J32" i="26"/>
  <c r="J45" i="26" s="1"/>
  <c r="AH32" i="26"/>
  <c r="AH45" i="26" s="1"/>
  <c r="W32" i="26"/>
  <c r="W45" i="26" s="1"/>
  <c r="H32" i="26"/>
  <c r="H45" i="26" s="1"/>
  <c r="AP32" i="26"/>
  <c r="AP45" i="26" s="1"/>
  <c r="L32" i="26"/>
  <c r="L45" i="26" s="1"/>
  <c r="D32" i="26"/>
  <c r="D45" i="26" s="1"/>
  <c r="AI32" i="26"/>
  <c r="AI45" i="26" s="1"/>
  <c r="E32" i="26"/>
  <c r="AO32" i="26"/>
  <c r="AO45" i="26" s="1"/>
  <c r="AK32" i="26"/>
  <c r="AK45" i="26" s="1"/>
  <c r="N32" i="26"/>
  <c r="N45" i="26" s="1"/>
  <c r="AJ32" i="26"/>
  <c r="AJ45" i="26" s="1"/>
  <c r="G32" i="26"/>
  <c r="G45" i="26" s="1"/>
  <c r="K32" i="26"/>
  <c r="K45" i="26" s="1"/>
  <c r="AR32" i="26"/>
  <c r="AR45" i="26" s="1"/>
  <c r="AQ32" i="26"/>
  <c r="AQ45" i="26" s="1"/>
  <c r="C32" i="26"/>
  <c r="C45" i="26" s="1"/>
  <c r="AF32" i="26"/>
  <c r="AF45" i="26" s="1"/>
  <c r="Z32" i="26"/>
  <c r="Z45" i="26" s="1"/>
  <c r="R32" i="26"/>
  <c r="R45" i="26" s="1"/>
  <c r="S32" i="26"/>
  <c r="S45" i="26" s="1"/>
  <c r="T32" i="26"/>
  <c r="T45" i="26" s="1"/>
  <c r="P32" i="26"/>
  <c r="P45" i="26" s="1"/>
  <c r="U32" i="26"/>
  <c r="U45" i="26" s="1"/>
  <c r="Q32" i="26"/>
  <c r="Q45" i="26" s="1"/>
  <c r="M32" i="26"/>
  <c r="M45" i="26" s="1"/>
  <c r="N38" i="26"/>
  <c r="R42" i="35"/>
  <c r="R40" i="35"/>
  <c r="C43" i="26"/>
  <c r="C20" i="26" s="1"/>
  <c r="AS30" i="26"/>
  <c r="AS32" i="26" l="1"/>
  <c r="E45" i="26"/>
  <c r="AS45" i="26" s="1"/>
  <c r="AS38" i="26"/>
  <c r="AG43" i="26"/>
  <c r="FB44" i="32"/>
  <c r="J62" i="34"/>
  <c r="H62" i="34" s="1"/>
  <c r="AS43" i="26" l="1"/>
  <c r="AL88" i="32"/>
  <c r="AJ89" i="32"/>
  <c r="AU51" i="26" l="1"/>
  <c r="AW47" i="26" s="1"/>
  <c r="AP51" i="26"/>
  <c r="AB51" i="26"/>
  <c r="W51" i="26"/>
  <c r="AN51" i="26"/>
  <c r="T51" i="26"/>
  <c r="AL51" i="26"/>
  <c r="Z51" i="26"/>
  <c r="AH51" i="26"/>
  <c r="M51" i="26"/>
  <c r="E51" i="26"/>
  <c r="I51" i="26"/>
  <c r="Y51" i="26"/>
  <c r="AF51" i="26"/>
  <c r="K51" i="26"/>
  <c r="AC51" i="26"/>
  <c r="G51" i="26"/>
  <c r="J51" i="26"/>
  <c r="Q51" i="26"/>
  <c r="AA51" i="26"/>
  <c r="C51" i="26"/>
  <c r="D51" i="26"/>
  <c r="AM51" i="26"/>
  <c r="AI51" i="26"/>
  <c r="L51" i="26"/>
  <c r="H51" i="26"/>
  <c r="N51" i="26"/>
  <c r="O51" i="26"/>
  <c r="AJ51" i="26"/>
  <c r="AQ51" i="26"/>
  <c r="AG51" i="26"/>
  <c r="AU54" i="26"/>
  <c r="P51" i="26"/>
  <c r="F51" i="26"/>
  <c r="X51" i="26"/>
  <c r="AE51" i="26"/>
  <c r="U51" i="26"/>
  <c r="AR51" i="26"/>
  <c r="R51" i="26"/>
  <c r="AK51" i="26"/>
  <c r="AO51" i="26"/>
  <c r="V51" i="26"/>
  <c r="S51" i="26" l="1"/>
  <c r="AS51" i="26" l="1"/>
  <c r="Q30" i="36" l="1"/>
  <c r="Q31" i="36" l="1"/>
  <c r="S30" i="36"/>
  <c r="M31" i="36"/>
  <c r="O30" i="36"/>
  <c r="DF70" i="28" l="1"/>
  <c r="DF25" i="28"/>
  <c r="CZ76" i="28" l="1"/>
  <c r="BV70" i="31"/>
  <c r="CE70" i="25" s="1"/>
  <c r="BU70" i="31"/>
  <c r="CD70" i="25" s="1"/>
  <c r="BT70" i="31"/>
  <c r="CC70" i="25" s="1"/>
  <c r="BS70" i="31"/>
  <c r="CB70" i="25" s="1"/>
  <c r="BR70" i="31"/>
  <c r="CA70" i="25" s="1"/>
  <c r="BQ70" i="31"/>
  <c r="BZ70" i="25" s="1"/>
  <c r="DG74" i="28"/>
  <c r="DI74" i="28" s="1"/>
  <c r="DI75" i="28" s="1"/>
  <c r="BQ25" i="31"/>
  <c r="BZ25" i="25" s="1"/>
  <c r="BU25" i="31"/>
  <c r="CD25" i="25" s="1"/>
  <c r="BV25" i="31"/>
  <c r="CE25" i="25" s="1"/>
  <c r="BR25" i="31"/>
  <c r="CA25" i="25" s="1"/>
  <c r="BT25" i="31"/>
  <c r="CC25" i="25" s="1"/>
  <c r="BS25" i="31"/>
  <c r="CB25" i="25" s="1"/>
  <c r="CW25" i="31"/>
  <c r="DF25" i="25" s="1"/>
  <c r="BY25" i="31"/>
  <c r="CH25" i="25" s="1"/>
  <c r="CZ25" i="31"/>
  <c r="DI25" i="25" s="1"/>
  <c r="AU25" i="31"/>
  <c r="AL25" i="31"/>
  <c r="AG25" i="31"/>
  <c r="AH25" i="31"/>
  <c r="AO25" i="31"/>
  <c r="L25" i="31"/>
  <c r="U25" i="25" s="1"/>
  <c r="AC25" i="31"/>
  <c r="AL25" i="25" s="1"/>
  <c r="D25" i="31"/>
  <c r="M25" i="25" s="1"/>
  <c r="Q25" i="31"/>
  <c r="Z25" i="25" s="1"/>
  <c r="I25" i="31"/>
  <c r="R25" i="25" s="1"/>
  <c r="BI25" i="31"/>
  <c r="CE25" i="31"/>
  <c r="CN25" i="25" s="1"/>
  <c r="AB25" i="31"/>
  <c r="AK25" i="25" s="1"/>
  <c r="CA25" i="31"/>
  <c r="CJ25" i="25" s="1"/>
  <c r="CG25" i="31"/>
  <c r="CP25" i="25" s="1"/>
  <c r="CU25" i="31"/>
  <c r="DD25" i="25" s="1"/>
  <c r="G25" i="31"/>
  <c r="P25" i="25" s="1"/>
  <c r="AQ25" i="31"/>
  <c r="Y25" i="31"/>
  <c r="AH25" i="25" s="1"/>
  <c r="CQ25" i="31"/>
  <c r="CZ25" i="25" s="1"/>
  <c r="BB25" i="31"/>
  <c r="U25" i="31"/>
  <c r="AD25" i="25" s="1"/>
  <c r="BL25" i="31"/>
  <c r="F25" i="31"/>
  <c r="O25" i="25" s="1"/>
  <c r="AK25" i="31"/>
  <c r="BC25" i="31"/>
  <c r="CT25" i="31"/>
  <c r="DC25" i="25" s="1"/>
  <c r="DA25" i="31"/>
  <c r="DJ25" i="25" s="1"/>
  <c r="AV25" i="31"/>
  <c r="AJ25" i="31"/>
  <c r="BH25" i="31"/>
  <c r="AT25" i="31"/>
  <c r="C25" i="31"/>
  <c r="W25" i="31"/>
  <c r="AF25" i="25" s="1"/>
  <c r="BE25" i="31"/>
  <c r="Z25" i="31"/>
  <c r="AI25" i="25" s="1"/>
  <c r="CY25" i="31"/>
  <c r="DH25" i="25" s="1"/>
  <c r="H25" i="31"/>
  <c r="Q25" i="25" s="1"/>
  <c r="V25" i="31"/>
  <c r="AE25" i="25" s="1"/>
  <c r="S25" i="31"/>
  <c r="AB25" i="25" s="1"/>
  <c r="AY25" i="31"/>
  <c r="T25" i="31"/>
  <c r="AC25" i="25" s="1"/>
  <c r="N25" i="31"/>
  <c r="W25" i="25" s="1"/>
  <c r="AN25" i="31"/>
  <c r="BF25" i="31"/>
  <c r="CF25" i="31"/>
  <c r="CO25" i="25" s="1"/>
  <c r="CX25" i="31"/>
  <c r="DG25" i="25" s="1"/>
  <c r="CI25" i="31"/>
  <c r="CR25" i="25" s="1"/>
  <c r="AP25" i="31"/>
  <c r="BP25" i="31"/>
  <c r="AD25" i="31"/>
  <c r="AM25" i="25" s="1"/>
  <c r="AE25" i="31"/>
  <c r="AA25" i="31"/>
  <c r="AJ25" i="25" s="1"/>
  <c r="CM25" i="31"/>
  <c r="CV25" i="25" s="1"/>
  <c r="AS25" i="31"/>
  <c r="BA25" i="31"/>
  <c r="CB25" i="31"/>
  <c r="CK25" i="25" s="1"/>
  <c r="BK25" i="31"/>
  <c r="AX25" i="31"/>
  <c r="P25" i="31"/>
  <c r="Y25" i="25" s="1"/>
  <c r="BG25" i="31"/>
  <c r="CN25" i="31"/>
  <c r="CW25" i="25" s="1"/>
  <c r="O25" i="31"/>
  <c r="X25" i="25" s="1"/>
  <c r="AZ25" i="31"/>
  <c r="BD25" i="31"/>
  <c r="CD25" i="31"/>
  <c r="CM25" i="25" s="1"/>
  <c r="BX25" i="31"/>
  <c r="CG25" i="25" s="1"/>
  <c r="BZ25" i="31"/>
  <c r="CI25" i="25" s="1"/>
  <c r="CV25" i="31"/>
  <c r="DE25" i="25" s="1"/>
  <c r="R25" i="31"/>
  <c r="AA25" i="25" s="1"/>
  <c r="AM25" i="31"/>
  <c r="CK25" i="31"/>
  <c r="CT25" i="25" s="1"/>
  <c r="M25" i="31"/>
  <c r="V25" i="25" s="1"/>
  <c r="AW25" i="31"/>
  <c r="BJ25" i="31"/>
  <c r="AI25" i="31"/>
  <c r="BM25" i="31"/>
  <c r="BN25" i="31"/>
  <c r="AR25" i="31"/>
  <c r="CS25" i="31"/>
  <c r="DB25" i="25" s="1"/>
  <c r="BO25" i="31"/>
  <c r="CL25" i="31"/>
  <c r="CU25" i="25" s="1"/>
  <c r="K25" i="31"/>
  <c r="T25" i="25" s="1"/>
  <c r="E25" i="31"/>
  <c r="N25" i="25" s="1"/>
  <c r="J25" i="31"/>
  <c r="S25" i="25" s="1"/>
  <c r="CP25" i="31"/>
  <c r="CY25" i="25" s="1"/>
  <c r="CJ25" i="31"/>
  <c r="CS25" i="25" s="1"/>
  <c r="CC25" i="31"/>
  <c r="CL25" i="25" s="1"/>
  <c r="CV86" i="28"/>
  <c r="CW70" i="31"/>
  <c r="DF70" i="25" s="1"/>
  <c r="AN26" i="26" s="1"/>
  <c r="M70" i="31"/>
  <c r="V70" i="25" s="1"/>
  <c r="CN70" i="31"/>
  <c r="CW70" i="25" s="1"/>
  <c r="J70" i="31"/>
  <c r="S70" i="25" s="1"/>
  <c r="BE70" i="31"/>
  <c r="D70" i="31"/>
  <c r="M70" i="25" s="1"/>
  <c r="P70" i="31"/>
  <c r="Y70" i="25" s="1"/>
  <c r="CZ70" i="31"/>
  <c r="I70" i="31"/>
  <c r="R70" i="25" s="1"/>
  <c r="BL70" i="31"/>
  <c r="CB70" i="31"/>
  <c r="CK70" i="25" s="1"/>
  <c r="AT70" i="31"/>
  <c r="CL70" i="31"/>
  <c r="CU70" i="25" s="1"/>
  <c r="K70" i="31"/>
  <c r="T70" i="25" s="1"/>
  <c r="O70" i="31"/>
  <c r="X70" i="25" s="1"/>
  <c r="AJ70" i="31"/>
  <c r="S70" i="31"/>
  <c r="AB70" i="25" s="1"/>
  <c r="C70" i="31"/>
  <c r="AE70" i="31"/>
  <c r="AN70" i="25" s="1"/>
  <c r="O26" i="26" s="1"/>
  <c r="CF70" i="31"/>
  <c r="CO70" i="25" s="1"/>
  <c r="AE26" i="26" s="1"/>
  <c r="CE70" i="31"/>
  <c r="CN70" i="25" s="1"/>
  <c r="AD26" i="26" s="1"/>
  <c r="BC70" i="31"/>
  <c r="U70" i="31"/>
  <c r="AD70" i="25" s="1"/>
  <c r="BI70" i="31"/>
  <c r="H70" i="31"/>
  <c r="Q70" i="25" s="1"/>
  <c r="AK70" i="31"/>
  <c r="CX70" i="31"/>
  <c r="DG70" i="25" s="1"/>
  <c r="AO26" i="26" s="1"/>
  <c r="AX70" i="31"/>
  <c r="BM70" i="31"/>
  <c r="W70" i="31"/>
  <c r="AF70" i="25" s="1"/>
  <c r="CV70" i="31"/>
  <c r="DE70" i="25" s="1"/>
  <c r="AM26" i="26" s="1"/>
  <c r="R70" i="31"/>
  <c r="AA70" i="25" s="1"/>
  <c r="L70" i="31"/>
  <c r="U70" i="25" s="1"/>
  <c r="BZ70" i="31"/>
  <c r="CI70" i="25" s="1"/>
  <c r="AA26" i="26" s="1"/>
  <c r="G70" i="31"/>
  <c r="P70" i="25" s="1"/>
  <c r="D26" i="26" s="1"/>
  <c r="BN70" i="31"/>
  <c r="BB70" i="31"/>
  <c r="CY70" i="31"/>
  <c r="DH70" i="25" s="1"/>
  <c r="AP26" i="26" s="1"/>
  <c r="AO70" i="31"/>
  <c r="E70" i="31"/>
  <c r="N70" i="25" s="1"/>
  <c r="CM70" i="31"/>
  <c r="CV70" i="25" s="1"/>
  <c r="AR70" i="31"/>
  <c r="F70" i="31"/>
  <c r="O70" i="25" s="1"/>
  <c r="AD70" i="31"/>
  <c r="AM70" i="25" s="1"/>
  <c r="N26" i="26" s="1"/>
  <c r="Y70" i="31"/>
  <c r="AH70" i="25" s="1"/>
  <c r="I26" i="26" s="1"/>
  <c r="AY70" i="31"/>
  <c r="CC70" i="31"/>
  <c r="CL70" i="25" s="1"/>
  <c r="CG70" i="31"/>
  <c r="CP70" i="25" s="1"/>
  <c r="AF26" i="26" s="1"/>
  <c r="BF70" i="31"/>
  <c r="AP70" i="31"/>
  <c r="AV70" i="31"/>
  <c r="CU70" i="31"/>
  <c r="DD70" i="25" s="1"/>
  <c r="AL26" i="26" s="1"/>
  <c r="Q70" i="31"/>
  <c r="Z70" i="25" s="1"/>
  <c r="AS70" i="31"/>
  <c r="BA70" i="31"/>
  <c r="AI70" i="31"/>
  <c r="AW70" i="31"/>
  <c r="CP70" i="31"/>
  <c r="CY70" i="25" s="1"/>
  <c r="Z70" i="31"/>
  <c r="AI70" i="25" s="1"/>
  <c r="J26" i="26" s="1"/>
  <c r="AB70" i="31"/>
  <c r="AK70" i="25" s="1"/>
  <c r="L26" i="26" s="1"/>
  <c r="BX70" i="31"/>
  <c r="CG70" i="25" s="1"/>
  <c r="Y26" i="26" s="1"/>
  <c r="CA70" i="31"/>
  <c r="CJ70" i="25" s="1"/>
  <c r="AB26" i="26" s="1"/>
  <c r="BY70" i="31"/>
  <c r="CH70" i="25" s="1"/>
  <c r="Z26" i="26" s="1"/>
  <c r="DA70" i="31"/>
  <c r="DJ70" i="25" s="1"/>
  <c r="AR26" i="26" s="1"/>
  <c r="BD70" i="31"/>
  <c r="BJ70" i="31"/>
  <c r="CJ70" i="31"/>
  <c r="CS70" i="25" s="1"/>
  <c r="AN70" i="31"/>
  <c r="CI70" i="31"/>
  <c r="CR70" i="25" s="1"/>
  <c r="AL70" i="31"/>
  <c r="BG70" i="31"/>
  <c r="AG70" i="31"/>
  <c r="N70" i="31"/>
  <c r="W70" i="25" s="1"/>
  <c r="CT70" i="31"/>
  <c r="DC70" i="25" s="1"/>
  <c r="AK26" i="26" s="1"/>
  <c r="CD70" i="31"/>
  <c r="CM70" i="25" s="1"/>
  <c r="AC26" i="26" s="1"/>
  <c r="CS70" i="31"/>
  <c r="DB70" i="25" s="1"/>
  <c r="AJ26" i="26" s="1"/>
  <c r="BK70" i="31"/>
  <c r="AM70" i="31"/>
  <c r="BO70" i="31"/>
  <c r="BH70" i="31"/>
  <c r="AZ70" i="31"/>
  <c r="V70" i="31"/>
  <c r="AE70" i="25" s="1"/>
  <c r="AC70" i="31"/>
  <c r="AL70" i="25" s="1"/>
  <c r="M26" i="26" s="1"/>
  <c r="T70" i="31"/>
  <c r="AC70" i="25" s="1"/>
  <c r="AU70" i="31"/>
  <c r="AQ70" i="31"/>
  <c r="CK70" i="31"/>
  <c r="CT70" i="25" s="1"/>
  <c r="AH70" i="31"/>
  <c r="AA70" i="31"/>
  <c r="AJ70" i="25" s="1"/>
  <c r="K26" i="26" s="1"/>
  <c r="CQ70" i="31"/>
  <c r="CZ70" i="25" s="1"/>
  <c r="BP70" i="31"/>
  <c r="AI26" i="26" l="1"/>
  <c r="E26" i="26"/>
  <c r="W26" i="26"/>
  <c r="BX70" i="37"/>
  <c r="AP70" i="25"/>
  <c r="AB70" i="37"/>
  <c r="BS70" i="25"/>
  <c r="CI70" i="37"/>
  <c r="AT70" i="37"/>
  <c r="AV70" i="25"/>
  <c r="BP70" i="25"/>
  <c r="CF70" i="37"/>
  <c r="AZ70" i="25"/>
  <c r="AX70" i="37"/>
  <c r="BR70" i="25"/>
  <c r="CH70" i="37"/>
  <c r="P70" i="37"/>
  <c r="AH26" i="26"/>
  <c r="CK70" i="37"/>
  <c r="BU70" i="25"/>
  <c r="BN70" i="25"/>
  <c r="CD70" i="37"/>
  <c r="BJ25" i="37"/>
  <c r="BS25" i="37"/>
  <c r="AR25" i="25"/>
  <c r="AD25" i="37"/>
  <c r="BI25" i="25"/>
  <c r="BM25" i="37"/>
  <c r="BP25" i="25"/>
  <c r="CF25" i="37"/>
  <c r="BJ25" i="25"/>
  <c r="BN25" i="37"/>
  <c r="N10" i="26"/>
  <c r="S25" i="37"/>
  <c r="CQ25" i="37"/>
  <c r="BQ25" i="25"/>
  <c r="CG25" i="37"/>
  <c r="CR25" i="37"/>
  <c r="AL10" i="26"/>
  <c r="BT25" i="37"/>
  <c r="CA70" i="37"/>
  <c r="BS70" i="37"/>
  <c r="BR70" i="37"/>
  <c r="BB70" i="25"/>
  <c r="AZ70" i="37"/>
  <c r="BH70" i="37"/>
  <c r="AO70" i="37"/>
  <c r="AJ70" i="37"/>
  <c r="BC70" i="25"/>
  <c r="BA70" i="37"/>
  <c r="BU70" i="37"/>
  <c r="BG70" i="37"/>
  <c r="CX86" i="28"/>
  <c r="CV91" i="28"/>
  <c r="AM25" i="37"/>
  <c r="AJ10" i="26"/>
  <c r="BS25" i="25"/>
  <c r="CI25" i="37"/>
  <c r="X25" i="37"/>
  <c r="AI25" i="37"/>
  <c r="U25" i="37"/>
  <c r="AZ25" i="37"/>
  <c r="BB25" i="25"/>
  <c r="AL25" i="37"/>
  <c r="BO25" i="25"/>
  <c r="CE25" i="37"/>
  <c r="BZ25" i="37"/>
  <c r="J10" i="26"/>
  <c r="AS25" i="25"/>
  <c r="AE25" i="37"/>
  <c r="AK10" i="26"/>
  <c r="BO25" i="37"/>
  <c r="BK25" i="25"/>
  <c r="AB25" i="37"/>
  <c r="AP25" i="25"/>
  <c r="AS70" i="37"/>
  <c r="AG70" i="37"/>
  <c r="AU70" i="25"/>
  <c r="BH70" i="25"/>
  <c r="BL70" i="37"/>
  <c r="AX70" i="25"/>
  <c r="AV70" i="37"/>
  <c r="CL70" i="37"/>
  <c r="BV70" i="25"/>
  <c r="BL70" i="25"/>
  <c r="BP70" i="37"/>
  <c r="L70" i="25"/>
  <c r="DC70" i="31"/>
  <c r="AA70" i="37"/>
  <c r="X70" i="37"/>
  <c r="U70" i="37"/>
  <c r="X10" i="26"/>
  <c r="CP25" i="37"/>
  <c r="BD25" i="37"/>
  <c r="BF25" i="25"/>
  <c r="AM10" i="26"/>
  <c r="G10" i="26"/>
  <c r="CO25" i="37"/>
  <c r="BY25" i="25"/>
  <c r="AW25" i="25"/>
  <c r="AU25" i="37"/>
  <c r="BN25" i="25"/>
  <c r="CD25" i="37"/>
  <c r="AS25" i="37"/>
  <c r="BR25" i="37"/>
  <c r="AB10" i="26"/>
  <c r="BU25" i="37"/>
  <c r="AU25" i="25"/>
  <c r="AG25" i="37"/>
  <c r="AI70" i="37"/>
  <c r="AG26" i="26"/>
  <c r="BW70" i="37"/>
  <c r="F26" i="26"/>
  <c r="BG70" i="25"/>
  <c r="BE70" i="37"/>
  <c r="AP70" i="37"/>
  <c r="AN25" i="37"/>
  <c r="AH10" i="26"/>
  <c r="BA25" i="25"/>
  <c r="AY25" i="37"/>
  <c r="AA10" i="26"/>
  <c r="CA25" i="37"/>
  <c r="BG25" i="25"/>
  <c r="BE25" i="37"/>
  <c r="W25" i="37"/>
  <c r="BK25" i="37"/>
  <c r="E10" i="26"/>
  <c r="BW25" i="37"/>
  <c r="BC25" i="37"/>
  <c r="BE25" i="25"/>
  <c r="BP25" i="37"/>
  <c r="BL25" i="25"/>
  <c r="Y25" i="37"/>
  <c r="CT25" i="37"/>
  <c r="M10" i="26"/>
  <c r="BD25" i="25"/>
  <c r="BB25" i="37"/>
  <c r="CJ70" i="37"/>
  <c r="BT70" i="25"/>
  <c r="BT70" i="37"/>
  <c r="Y70" i="37"/>
  <c r="Q70" i="37"/>
  <c r="BD70" i="25"/>
  <c r="BB70" i="37"/>
  <c r="BF70" i="37"/>
  <c r="BF70" i="25"/>
  <c r="BD70" i="37"/>
  <c r="AM70" i="37"/>
  <c r="V70" i="37"/>
  <c r="AL70" i="37"/>
  <c r="BK70" i="37"/>
  <c r="AP25" i="37"/>
  <c r="Y10" i="26"/>
  <c r="BY25" i="37"/>
  <c r="BX25" i="37"/>
  <c r="I10" i="26"/>
  <c r="F10" i="35" s="1"/>
  <c r="L10" i="26"/>
  <c r="V25" i="37"/>
  <c r="CB70" i="37"/>
  <c r="AH70" i="37"/>
  <c r="BI70" i="37"/>
  <c r="BM70" i="25"/>
  <c r="BQ70" i="37"/>
  <c r="Z70" i="37"/>
  <c r="CU70" i="37"/>
  <c r="CO70" i="37"/>
  <c r="BY70" i="25"/>
  <c r="BJ70" i="37"/>
  <c r="CC70" i="37"/>
  <c r="CS70" i="37"/>
  <c r="AQ70" i="37"/>
  <c r="BV70" i="37"/>
  <c r="T70" i="37"/>
  <c r="H26" i="26"/>
  <c r="BI70" i="25"/>
  <c r="BM70" i="37"/>
  <c r="AW70" i="25"/>
  <c r="AU70" i="37"/>
  <c r="AN70" i="37"/>
  <c r="CM25" i="37"/>
  <c r="BW25" i="25"/>
  <c r="CJ25" i="37"/>
  <c r="BT25" i="25"/>
  <c r="AY25" i="25"/>
  <c r="AW25" i="37"/>
  <c r="H10" i="26"/>
  <c r="AO25" i="37"/>
  <c r="AQ70" i="25"/>
  <c r="AC70" i="37"/>
  <c r="BQ70" i="25"/>
  <c r="CG70" i="37"/>
  <c r="AR70" i="37"/>
  <c r="BE70" i="25"/>
  <c r="BC70" i="37"/>
  <c r="AK70" i="37"/>
  <c r="CR70" i="37"/>
  <c r="AE70" i="37"/>
  <c r="AS70" i="25"/>
  <c r="S70" i="37"/>
  <c r="R70" i="37"/>
  <c r="BY70" i="37"/>
  <c r="AI10" i="26"/>
  <c r="AH25" i="37"/>
  <c r="CL25" i="37"/>
  <c r="BV25" i="25"/>
  <c r="T25" i="37"/>
  <c r="CC25" i="37"/>
  <c r="BG25" i="37"/>
  <c r="AG10" i="26"/>
  <c r="BH25" i="25"/>
  <c r="BL25" i="37"/>
  <c r="P25" i="37"/>
  <c r="L25" i="25"/>
  <c r="DC25" i="31"/>
  <c r="CB25" i="37"/>
  <c r="AT25" i="25"/>
  <c r="AF25" i="37"/>
  <c r="BF25" i="37"/>
  <c r="F10" i="26"/>
  <c r="Z10" i="26"/>
  <c r="AR70" i="25"/>
  <c r="AD70" i="37"/>
  <c r="AY70" i="25"/>
  <c r="AW70" i="37"/>
  <c r="BK70" i="25"/>
  <c r="BO70" i="37"/>
  <c r="AF70" i="37"/>
  <c r="AT70" i="25"/>
  <c r="BZ70" i="37"/>
  <c r="G26" i="26"/>
  <c r="CN25" i="37"/>
  <c r="BX25" i="25"/>
  <c r="Q25" i="37"/>
  <c r="BI25" i="37"/>
  <c r="BM25" i="25"/>
  <c r="BQ25" i="37"/>
  <c r="BH25" i="37"/>
  <c r="W10" i="26"/>
  <c r="K10" i="26"/>
  <c r="AO10" i="26"/>
  <c r="BV25" i="37"/>
  <c r="BC25" i="25"/>
  <c r="BA25" i="37"/>
  <c r="AJ25" i="37"/>
  <c r="AX25" i="37"/>
  <c r="AZ25" i="25"/>
  <c r="BR25" i="25"/>
  <c r="CH25" i="37"/>
  <c r="AX25" i="25"/>
  <c r="AV25" i="37"/>
  <c r="CU25" i="37"/>
  <c r="CN70" i="37"/>
  <c r="BX70" i="25"/>
  <c r="CQ70" i="37"/>
  <c r="BJ70" i="25"/>
  <c r="BN70" i="37"/>
  <c r="BO70" i="25"/>
  <c r="CE70" i="37"/>
  <c r="BA70" i="25"/>
  <c r="AY70" i="37"/>
  <c r="CM70" i="37"/>
  <c r="BW70" i="25"/>
  <c r="W70" i="37"/>
  <c r="CP70" i="37"/>
  <c r="CT70" i="37"/>
  <c r="AK25" i="37"/>
  <c r="Z25" i="37"/>
  <c r="AV25" i="25"/>
  <c r="AT25" i="37"/>
  <c r="AR25" i="37"/>
  <c r="R25" i="37"/>
  <c r="CS25" i="37"/>
  <c r="AQ25" i="37"/>
  <c r="AP10" i="26"/>
  <c r="AA25" i="37"/>
  <c r="AR10" i="26"/>
  <c r="CK25" i="37"/>
  <c r="BU25" i="25"/>
  <c r="D10" i="26"/>
  <c r="AQ25" i="25"/>
  <c r="AC25" i="37"/>
  <c r="AN10" i="26"/>
  <c r="G10" i="35" l="1"/>
  <c r="L10" i="35"/>
  <c r="M10" i="35"/>
  <c r="Y10" i="35"/>
  <c r="Z10" i="35"/>
  <c r="S10" i="35"/>
  <c r="R10" i="35"/>
  <c r="U26" i="26"/>
  <c r="G42" i="34"/>
  <c r="S10" i="26"/>
  <c r="R26" i="34" s="1"/>
  <c r="W26" i="36"/>
  <c r="O26" i="36"/>
  <c r="AA26" i="36"/>
  <c r="Q26" i="26"/>
  <c r="O10" i="36"/>
  <c r="Q10" i="26"/>
  <c r="D13" i="38"/>
  <c r="K26" i="36"/>
  <c r="W10" i="36"/>
  <c r="L26" i="35"/>
  <c r="M26" i="35"/>
  <c r="P10" i="26"/>
  <c r="R26" i="26"/>
  <c r="T26" i="26"/>
  <c r="C10" i="26"/>
  <c r="AN25" i="25"/>
  <c r="O10" i="26" s="1"/>
  <c r="G26" i="35"/>
  <c r="F26" i="35"/>
  <c r="DI70" i="25"/>
  <c r="AQ26" i="26" s="1"/>
  <c r="C26" i="26"/>
  <c r="R10" i="26"/>
  <c r="K10" i="36"/>
  <c r="S26" i="26"/>
  <c r="P26" i="26"/>
  <c r="F26" i="36"/>
  <c r="T10" i="26"/>
  <c r="F42" i="34" s="1"/>
  <c r="U10" i="26"/>
  <c r="V10" i="26"/>
  <c r="X42" i="34" s="1"/>
  <c r="G10" i="34" l="1"/>
  <c r="F10" i="34"/>
  <c r="S26" i="34"/>
  <c r="S26" i="36"/>
  <c r="DL25" i="25"/>
  <c r="DN25" i="25" s="1"/>
  <c r="AS26" i="26"/>
  <c r="AU26" i="26" s="1"/>
  <c r="DL70" i="25"/>
  <c r="DN70" i="25" s="1"/>
  <c r="AQ10" i="26"/>
  <c r="AU10" i="26" s="1"/>
  <c r="G26" i="34"/>
  <c r="F26" i="34"/>
  <c r="R42" i="34"/>
  <c r="S42" i="34"/>
  <c r="M26" i="34"/>
  <c r="L26" i="34"/>
  <c r="R26" i="35"/>
  <c r="R41" i="35" s="1"/>
  <c r="S26" i="35"/>
  <c r="R40" i="26" l="1"/>
  <c r="R53" i="26" s="1"/>
  <c r="T40" i="26"/>
  <c r="T53" i="26" s="1"/>
  <c r="C40" i="26"/>
  <c r="C53" i="26" s="1"/>
  <c r="P40" i="26"/>
  <c r="P53" i="26" s="1"/>
  <c r="Q40" i="26"/>
  <c r="Q53" i="26" s="1"/>
  <c r="S40" i="26"/>
  <c r="S53" i="26" s="1"/>
  <c r="AI40" i="26"/>
  <c r="AI53" i="26" s="1"/>
  <c r="V40" i="26"/>
  <c r="V53" i="26" s="1"/>
  <c r="X40" i="26"/>
  <c r="X53" i="26" s="1"/>
  <c r="U40" i="26"/>
  <c r="U53" i="26" s="1"/>
  <c r="AQ40" i="26"/>
  <c r="AC40" i="26"/>
  <c r="AC53" i="26" s="1"/>
  <c r="O40" i="26"/>
  <c r="O53" i="26" s="1"/>
  <c r="I40" i="26"/>
  <c r="I53" i="26" s="1"/>
  <c r="E40" i="26"/>
  <c r="E53" i="26" s="1"/>
  <c r="AD40" i="26"/>
  <c r="AD53" i="26" s="1"/>
  <c r="J40" i="26"/>
  <c r="J53" i="26" s="1"/>
  <c r="AL40" i="26"/>
  <c r="AL53" i="26" s="1"/>
  <c r="W40" i="26"/>
  <c r="W53" i="26" s="1"/>
  <c r="D40" i="26"/>
  <c r="D53" i="26" s="1"/>
  <c r="AK40" i="26"/>
  <c r="AK53" i="26" s="1"/>
  <c r="AE40" i="26"/>
  <c r="AE53" i="26" s="1"/>
  <c r="M40" i="26"/>
  <c r="M53" i="26" s="1"/>
  <c r="N40" i="26"/>
  <c r="N53" i="26" s="1"/>
  <c r="L40" i="26"/>
  <c r="L53" i="26" s="1"/>
  <c r="AF40" i="26"/>
  <c r="AF53" i="26" s="1"/>
  <c r="Z40" i="26"/>
  <c r="Z53" i="26" s="1"/>
  <c r="AN40" i="26"/>
  <c r="AN53" i="26" s="1"/>
  <c r="AJ40" i="26"/>
  <c r="AJ53" i="26" s="1"/>
  <c r="AA40" i="26"/>
  <c r="AA53" i="26" s="1"/>
  <c r="AP40" i="26"/>
  <c r="AP53" i="26" s="1"/>
  <c r="K40" i="26"/>
  <c r="K53" i="26" s="1"/>
  <c r="AM40" i="26"/>
  <c r="AM53" i="26" s="1"/>
  <c r="AR40" i="26"/>
  <c r="AR53" i="26" s="1"/>
  <c r="AB40" i="26"/>
  <c r="AB53" i="26" s="1"/>
  <c r="AO40" i="26"/>
  <c r="AO53" i="26" s="1"/>
  <c r="Y40" i="26"/>
  <c r="Y53" i="26" s="1"/>
  <c r="H40" i="26"/>
  <c r="H53" i="26" s="1"/>
  <c r="F40" i="26"/>
  <c r="F53" i="26" s="1"/>
  <c r="G40" i="26"/>
  <c r="G53" i="26" s="1"/>
  <c r="AG40" i="26"/>
  <c r="AG53" i="26" s="1"/>
  <c r="AH40" i="26"/>
  <c r="AH53" i="26" s="1"/>
  <c r="AS40" i="26" l="1"/>
  <c r="AQ53" i="26"/>
  <c r="AS53" i="26" s="1"/>
  <c r="F83" i="28"/>
  <c r="H83" i="28" s="1"/>
  <c r="P76" i="28" l="1"/>
  <c r="R76" i="28" l="1"/>
  <c r="Q76" i="28"/>
  <c r="O76" i="28"/>
  <c r="C15" i="42" s="1"/>
  <c r="C16" i="42" s="1"/>
  <c r="DF18" i="28"/>
  <c r="DN18" i="28" s="1"/>
  <c r="F79" i="28"/>
  <c r="H79" i="28" s="1"/>
  <c r="DF19" i="28"/>
  <c r="O19" i="31" s="1"/>
  <c r="X19" i="25" s="1"/>
  <c r="DF20" i="28"/>
  <c r="BZ22" i="37"/>
  <c r="CA22" i="37"/>
  <c r="BV22" i="37"/>
  <c r="AQ22" i="37"/>
  <c r="Y22" i="37"/>
  <c r="T22" i="37"/>
  <c r="BW22" i="37"/>
  <c r="CC22" i="37"/>
  <c r="BH22" i="37"/>
  <c r="BG22" i="37"/>
  <c r="CU22" i="37"/>
  <c r="BY22" i="37"/>
  <c r="CR22" i="37"/>
  <c r="AN22" i="37"/>
  <c r="P22" i="37"/>
  <c r="R22" i="37"/>
  <c r="AK22" i="37"/>
  <c r="Q22" i="37"/>
  <c r="CQ22" i="37"/>
  <c r="U22" i="37"/>
  <c r="BS22" i="37"/>
  <c r="BI22" i="37"/>
  <c r="BT22" i="37"/>
  <c r="AJ22" i="37"/>
  <c r="AO22" i="37"/>
  <c r="AI22" i="37"/>
  <c r="CS22" i="37"/>
  <c r="S22" i="37"/>
  <c r="AA22" i="37"/>
  <c r="X22" i="37"/>
  <c r="DF21" i="28"/>
  <c r="F82" i="28"/>
  <c r="H82" i="28" s="1"/>
  <c r="BK22" i="37"/>
  <c r="W22" i="37"/>
  <c r="BF22" i="37"/>
  <c r="BR22" i="37"/>
  <c r="F80" i="28"/>
  <c r="H80" i="28" s="1"/>
  <c r="F81" i="28"/>
  <c r="H81" i="28" s="1"/>
  <c r="AM22" i="37"/>
  <c r="V22" i="37"/>
  <c r="CT22" i="37"/>
  <c r="CB22" i="37"/>
  <c r="Z22" i="37"/>
  <c r="AL22" i="37"/>
  <c r="AH22" i="37"/>
  <c r="AR22" i="37"/>
  <c r="CP22" i="37"/>
  <c r="AS22" i="37"/>
  <c r="BX22" i="37"/>
  <c r="AP22" i="37"/>
  <c r="BU22" i="37"/>
  <c r="BJ22" i="37"/>
  <c r="CD18" i="31" l="1"/>
  <c r="CM18" i="25" s="1"/>
  <c r="AG18" i="31"/>
  <c r="I18" i="31"/>
  <c r="R18" i="25" s="1"/>
  <c r="BQ18" i="31"/>
  <c r="BZ18" i="25" s="1"/>
  <c r="CF18" i="31"/>
  <c r="CO18" i="25" s="1"/>
  <c r="CC18" i="31"/>
  <c r="CL18" i="25" s="1"/>
  <c r="T18" i="31"/>
  <c r="AC18" i="25" s="1"/>
  <c r="CE18" i="31"/>
  <c r="CN18" i="25" s="1"/>
  <c r="AS18" i="31"/>
  <c r="AZ18" i="37" s="1"/>
  <c r="AC18" i="31"/>
  <c r="AL18" i="25" s="1"/>
  <c r="BA18" i="31"/>
  <c r="AJ18" i="31"/>
  <c r="BI18" i="31"/>
  <c r="CH18" i="37" s="1"/>
  <c r="BU18" i="31"/>
  <c r="CD18" i="25" s="1"/>
  <c r="H18" i="31"/>
  <c r="Q18" i="25" s="1"/>
  <c r="BD18" i="31"/>
  <c r="BM18" i="25" s="1"/>
  <c r="AB18" i="31"/>
  <c r="AK18" i="25" s="1"/>
  <c r="CX18" i="31"/>
  <c r="DG18" i="25" s="1"/>
  <c r="AO3" i="26" s="1"/>
  <c r="CY18" i="31"/>
  <c r="DH18" i="25" s="1"/>
  <c r="E18" i="31"/>
  <c r="N18" i="25" s="1"/>
  <c r="CI18" i="31"/>
  <c r="CR18" i="25" s="1"/>
  <c r="AD18" i="31"/>
  <c r="AM18" i="25" s="1"/>
  <c r="AQ18" i="31"/>
  <c r="AZ18" i="25" s="1"/>
  <c r="BC18" i="31"/>
  <c r="BP18" i="37" s="1"/>
  <c r="Q18" i="31"/>
  <c r="Z18" i="25" s="1"/>
  <c r="CS18" i="31"/>
  <c r="DB18" i="25" s="1"/>
  <c r="AM18" i="31"/>
  <c r="CU18" i="31"/>
  <c r="DD18" i="25" s="1"/>
  <c r="AH18" i="31"/>
  <c r="AQ18" i="25" s="1"/>
  <c r="L18" i="31"/>
  <c r="U18" i="25" s="1"/>
  <c r="CB18" i="31"/>
  <c r="CK18" i="25" s="1"/>
  <c r="W3" i="26" s="1"/>
  <c r="BX18" i="31"/>
  <c r="CG18" i="25" s="1"/>
  <c r="Y3" i="26" s="1"/>
  <c r="AA18" i="31"/>
  <c r="AJ18" i="25" s="1"/>
  <c r="CA18" i="31"/>
  <c r="CJ18" i="25" s="1"/>
  <c r="Y18" i="31"/>
  <c r="AH18" i="25" s="1"/>
  <c r="V18" i="31"/>
  <c r="AE18" i="25" s="1"/>
  <c r="AU18" i="31"/>
  <c r="BD18" i="25" s="1"/>
  <c r="BH18" i="31"/>
  <c r="AL18" i="31"/>
  <c r="AU18" i="25" s="1"/>
  <c r="BM18" i="31"/>
  <c r="BV18" i="25" s="1"/>
  <c r="BG18" i="31"/>
  <c r="CL18" i="31"/>
  <c r="CU18" i="25" s="1"/>
  <c r="BY18" i="31"/>
  <c r="CH18" i="25" s="1"/>
  <c r="CG18" i="31"/>
  <c r="CP18" i="25" s="1"/>
  <c r="D18" i="31"/>
  <c r="M18" i="25" s="1"/>
  <c r="S18" i="31"/>
  <c r="AB18" i="25" s="1"/>
  <c r="O18" i="31"/>
  <c r="X18" i="25" s="1"/>
  <c r="AE18" i="31"/>
  <c r="CT18" i="31"/>
  <c r="DC18" i="25" s="1"/>
  <c r="BZ18" i="31"/>
  <c r="CI18" i="25" s="1"/>
  <c r="CV18" i="31"/>
  <c r="DE18" i="25" s="1"/>
  <c r="BK18" i="31"/>
  <c r="AY18" i="31"/>
  <c r="BL18" i="37" s="1"/>
  <c r="AK18" i="31"/>
  <c r="F18" i="31"/>
  <c r="O18" i="25" s="1"/>
  <c r="CN18" i="31"/>
  <c r="CW18" i="25" s="1"/>
  <c r="CK18" i="31"/>
  <c r="CT18" i="25" s="1"/>
  <c r="BE18" i="31"/>
  <c r="CD18" i="37" s="1"/>
  <c r="C18" i="31"/>
  <c r="P18" i="31"/>
  <c r="Y18" i="25" s="1"/>
  <c r="CM18" i="31"/>
  <c r="CV18" i="25" s="1"/>
  <c r="CZ18" i="31"/>
  <c r="DI18" i="25" s="1"/>
  <c r="AV18" i="31"/>
  <c r="BC18" i="37" s="1"/>
  <c r="BF18" i="31"/>
  <c r="BO18" i="25" s="1"/>
  <c r="AI18" i="31"/>
  <c r="CP18" i="31"/>
  <c r="CY18" i="25" s="1"/>
  <c r="G18" i="31"/>
  <c r="P18" i="25" s="1"/>
  <c r="BL18" i="31"/>
  <c r="AO18" i="31"/>
  <c r="AV18" i="37" s="1"/>
  <c r="AW18" i="31"/>
  <c r="N18" i="31"/>
  <c r="W18" i="25" s="1"/>
  <c r="CW18" i="31"/>
  <c r="DF18" i="25" s="1"/>
  <c r="AN3" i="26" s="1"/>
  <c r="DA18" i="31"/>
  <c r="DJ18" i="25" s="1"/>
  <c r="Z18" i="31"/>
  <c r="AI18" i="25" s="1"/>
  <c r="AX18" i="31"/>
  <c r="BN18" i="31"/>
  <c r="CJ18" i="31"/>
  <c r="CS18" i="25" s="1"/>
  <c r="CQ18" i="31"/>
  <c r="CZ18" i="25" s="1"/>
  <c r="BP18" i="31"/>
  <c r="CO18" i="37" s="1"/>
  <c r="AZ18" i="31"/>
  <c r="BI18" i="25" s="1"/>
  <c r="AN18" i="31"/>
  <c r="BV18" i="31"/>
  <c r="CE18" i="25" s="1"/>
  <c r="J18" i="31"/>
  <c r="S18" i="25" s="1"/>
  <c r="W18" i="31"/>
  <c r="AF18" i="25" s="1"/>
  <c r="U18" i="31"/>
  <c r="AD18" i="25" s="1"/>
  <c r="AP18" i="31"/>
  <c r="AW18" i="37" s="1"/>
  <c r="AT18" i="31"/>
  <c r="BA18" i="37" s="1"/>
  <c r="BJ18" i="31"/>
  <c r="BS18" i="25" s="1"/>
  <c r="AR18" i="31"/>
  <c r="BA18" i="25" s="1"/>
  <c r="R18" i="31"/>
  <c r="AA18" i="25" s="1"/>
  <c r="BB18" i="31"/>
  <c r="R19" i="31"/>
  <c r="AA19" i="25" s="1"/>
  <c r="CT19" i="31"/>
  <c r="DC19" i="25" s="1"/>
  <c r="AK4" i="26" s="1"/>
  <c r="M18" i="31"/>
  <c r="V18" i="25" s="1"/>
  <c r="CD19" i="31"/>
  <c r="CM19" i="25" s="1"/>
  <c r="W4" i="36" s="1"/>
  <c r="K19" i="31"/>
  <c r="T19" i="25" s="1"/>
  <c r="BR18" i="31"/>
  <c r="CA18" i="25" s="1"/>
  <c r="DF76" i="28"/>
  <c r="BO18" i="31"/>
  <c r="CN18" i="37" s="1"/>
  <c r="K18" i="31"/>
  <c r="T18" i="25" s="1"/>
  <c r="BS18" i="31"/>
  <c r="CB18" i="25" s="1"/>
  <c r="BT18" i="31"/>
  <c r="CC18" i="25" s="1"/>
  <c r="CA19" i="31"/>
  <c r="CJ19" i="25" s="1"/>
  <c r="AB4" i="26" s="1"/>
  <c r="K4" i="36" s="1"/>
  <c r="CG19" i="31"/>
  <c r="CP19" i="25" s="1"/>
  <c r="W20" i="36" s="1"/>
  <c r="S20" i="36" s="1"/>
  <c r="D19" i="31"/>
  <c r="M19" i="25" s="1"/>
  <c r="BP19" i="31"/>
  <c r="BY19" i="25" s="1"/>
  <c r="CB19" i="31"/>
  <c r="CK19" i="25" s="1"/>
  <c r="W4" i="26" s="1"/>
  <c r="F20" i="36" s="1"/>
  <c r="BI19" i="31"/>
  <c r="CH19" i="37" s="1"/>
  <c r="AM19" i="31"/>
  <c r="AV19" i="25" s="1"/>
  <c r="BK19" i="31"/>
  <c r="BT19" i="25" s="1"/>
  <c r="CX19" i="31"/>
  <c r="DG19" i="25" s="1"/>
  <c r="AO4" i="26" s="1"/>
  <c r="AR19" i="31"/>
  <c r="BA19" i="25" s="1"/>
  <c r="CP19" i="31"/>
  <c r="CY19" i="25" s="1"/>
  <c r="H19" i="31"/>
  <c r="Q19" i="25" s="1"/>
  <c r="BB19" i="31"/>
  <c r="BK19" i="25" s="1"/>
  <c r="F19" i="31"/>
  <c r="O19" i="25" s="1"/>
  <c r="BL19" i="31"/>
  <c r="BU19" i="25" s="1"/>
  <c r="DA19" i="31"/>
  <c r="DJ19" i="25" s="1"/>
  <c r="AR4" i="26" s="1"/>
  <c r="BE19" i="31"/>
  <c r="BN19" i="25" s="1"/>
  <c r="BA19" i="31"/>
  <c r="BJ19" i="25" s="1"/>
  <c r="W19" i="31"/>
  <c r="AF19" i="25" s="1"/>
  <c r="AG19" i="31"/>
  <c r="AP19" i="25" s="1"/>
  <c r="AU19" i="31"/>
  <c r="BD19" i="25" s="1"/>
  <c r="AB19" i="31"/>
  <c r="AK19" i="25" s="1"/>
  <c r="L4" i="26" s="1"/>
  <c r="Y4" i="35" s="1"/>
  <c r="AX19" i="31"/>
  <c r="BE19" i="37" s="1"/>
  <c r="AI19" i="31"/>
  <c r="AD19" i="37" s="1"/>
  <c r="AD19" i="31"/>
  <c r="AM19" i="25" s="1"/>
  <c r="N4" i="26" s="1"/>
  <c r="M20" i="35" s="1"/>
  <c r="CZ19" i="31"/>
  <c r="DI19" i="25" s="1"/>
  <c r="AQ4" i="26" s="1"/>
  <c r="Q19" i="31"/>
  <c r="Z19" i="25" s="1"/>
  <c r="AT19" i="31"/>
  <c r="BC19" i="25" s="1"/>
  <c r="AS19" i="31"/>
  <c r="AZ19" i="37" s="1"/>
  <c r="CF19" i="31"/>
  <c r="CO19" i="25" s="1"/>
  <c r="V19" i="31"/>
  <c r="AE19" i="25" s="1"/>
  <c r="AJ19" i="31"/>
  <c r="AE19" i="37" s="1"/>
  <c r="CS19" i="31"/>
  <c r="DB19" i="25" s="1"/>
  <c r="AJ4" i="26" s="1"/>
  <c r="BX19" i="31"/>
  <c r="CG19" i="25" s="1"/>
  <c r="Y4" i="26" s="1"/>
  <c r="I19" i="31"/>
  <c r="R19" i="25" s="1"/>
  <c r="Z19" i="31"/>
  <c r="AI19" i="25" s="1"/>
  <c r="J4" i="26" s="1"/>
  <c r="G4" i="35" s="1"/>
  <c r="BC19" i="31"/>
  <c r="BL19" i="25" s="1"/>
  <c r="AH19" i="31"/>
  <c r="AQ19" i="25" s="1"/>
  <c r="BO19" i="31"/>
  <c r="BX19" i="25" s="1"/>
  <c r="AP19" i="31"/>
  <c r="AW19" i="37" s="1"/>
  <c r="J19" i="31"/>
  <c r="S19" i="25" s="1"/>
  <c r="BJ19" i="31"/>
  <c r="CI19" i="37" s="1"/>
  <c r="BH19" i="31"/>
  <c r="BQ19" i="25" s="1"/>
  <c r="CY19" i="31"/>
  <c r="DH19" i="25" s="1"/>
  <c r="AP4" i="26" s="1"/>
  <c r="AW19" i="31"/>
  <c r="BD19" i="37" s="1"/>
  <c r="AY19" i="31"/>
  <c r="BH19" i="25" s="1"/>
  <c r="AV19" i="31"/>
  <c r="BE19" i="25" s="1"/>
  <c r="AC19" i="31"/>
  <c r="AL19" i="25" s="1"/>
  <c r="M4" i="26" s="1"/>
  <c r="G20" i="35" s="1"/>
  <c r="M19" i="31"/>
  <c r="V19" i="25" s="1"/>
  <c r="E19" i="31"/>
  <c r="N19" i="25" s="1"/>
  <c r="AE19" i="31"/>
  <c r="AO19" i="31"/>
  <c r="AX19" i="25" s="1"/>
  <c r="N19" i="31"/>
  <c r="W19" i="25" s="1"/>
  <c r="CW19" i="31"/>
  <c r="DF19" i="25" s="1"/>
  <c r="AN4" i="26" s="1"/>
  <c r="S19" i="31"/>
  <c r="AB19" i="25" s="1"/>
  <c r="AL19" i="31"/>
  <c r="AU19" i="25" s="1"/>
  <c r="G19" i="31"/>
  <c r="P19" i="25" s="1"/>
  <c r="D4" i="26" s="1"/>
  <c r="D7" i="38" s="1"/>
  <c r="AK19" i="31"/>
  <c r="AT19" i="25" s="1"/>
  <c r="P19" i="31"/>
  <c r="Y19" i="25" s="1"/>
  <c r="CV19" i="31"/>
  <c r="DE19" i="25" s="1"/>
  <c r="AM4" i="26" s="1"/>
  <c r="AQ19" i="31"/>
  <c r="AZ19" i="25" s="1"/>
  <c r="BD19" i="31"/>
  <c r="BQ19" i="37" s="1"/>
  <c r="BY19" i="31"/>
  <c r="CH19" i="25" s="1"/>
  <c r="Z4" i="26" s="1"/>
  <c r="U19" i="31"/>
  <c r="AD19" i="25" s="1"/>
  <c r="CJ19" i="31"/>
  <c r="CS19" i="25" s="1"/>
  <c r="CM19" i="31"/>
  <c r="CV19" i="25" s="1"/>
  <c r="T19" i="31"/>
  <c r="AC19" i="25" s="1"/>
  <c r="BG19" i="31"/>
  <c r="CF19" i="37" s="1"/>
  <c r="CL19" i="31"/>
  <c r="CU19" i="25" s="1"/>
  <c r="BM19" i="31"/>
  <c r="BV19" i="25" s="1"/>
  <c r="AZ19" i="31"/>
  <c r="BM19" i="37" s="1"/>
  <c r="BZ19" i="31"/>
  <c r="CI19" i="25" s="1"/>
  <c r="AA4" i="26" s="1"/>
  <c r="CC19" i="31"/>
  <c r="CL19" i="25" s="1"/>
  <c r="X4" i="26" s="1"/>
  <c r="CI19" i="31"/>
  <c r="CR19" i="25" s="1"/>
  <c r="L19" i="31"/>
  <c r="U19" i="25" s="1"/>
  <c r="CQ19" i="31"/>
  <c r="CZ19" i="25" s="1"/>
  <c r="CK19" i="31"/>
  <c r="CT19" i="25" s="1"/>
  <c r="CN19" i="31"/>
  <c r="CW19" i="25" s="1"/>
  <c r="AA19" i="31"/>
  <c r="AJ19" i="25" s="1"/>
  <c r="K4" i="26" s="1"/>
  <c r="R4" i="35" s="1"/>
  <c r="BF19" i="31"/>
  <c r="BO19" i="25" s="1"/>
  <c r="AN19" i="31"/>
  <c r="AW19" i="25" s="1"/>
  <c r="BN19" i="31"/>
  <c r="CM19" i="37" s="1"/>
  <c r="C19" i="31"/>
  <c r="L19" i="25" s="1"/>
  <c r="CU19" i="31"/>
  <c r="DD19" i="25" s="1"/>
  <c r="AL4" i="26" s="1"/>
  <c r="CE19" i="31"/>
  <c r="CN19" i="25" s="1"/>
  <c r="Y19" i="31"/>
  <c r="AH19" i="25" s="1"/>
  <c r="I4" i="26" s="1"/>
  <c r="F4" i="35" s="1"/>
  <c r="BV19" i="31"/>
  <c r="CE19" i="25" s="1"/>
  <c r="BQ19" i="31"/>
  <c r="BZ19" i="25" s="1"/>
  <c r="BU19" i="31"/>
  <c r="CD19" i="25" s="1"/>
  <c r="BR19" i="31"/>
  <c r="CA19" i="25" s="1"/>
  <c r="BS19" i="31"/>
  <c r="CB19" i="25" s="1"/>
  <c r="BT19" i="31"/>
  <c r="CC19" i="25" s="1"/>
  <c r="M21" i="31"/>
  <c r="V21" i="25" s="1"/>
  <c r="BS21" i="31"/>
  <c r="CB21" i="25" s="1"/>
  <c r="BR21" i="31"/>
  <c r="CA21" i="25" s="1"/>
  <c r="BQ21" i="31"/>
  <c r="BZ21" i="25" s="1"/>
  <c r="BV21" i="31"/>
  <c r="CE21" i="25" s="1"/>
  <c r="BU21" i="31"/>
  <c r="CD21" i="25" s="1"/>
  <c r="BT21" i="31"/>
  <c r="CC21" i="25" s="1"/>
  <c r="AD20" i="31"/>
  <c r="AM20" i="25" s="1"/>
  <c r="N5" i="26" s="1"/>
  <c r="L21" i="35" s="1"/>
  <c r="BV20" i="31"/>
  <c r="CE20" i="25" s="1"/>
  <c r="BU20" i="31"/>
  <c r="CD20" i="25" s="1"/>
  <c r="BT20" i="31"/>
  <c r="CC20" i="25" s="1"/>
  <c r="BS20" i="31"/>
  <c r="CB20" i="25" s="1"/>
  <c r="BQ20" i="31"/>
  <c r="BZ20" i="25" s="1"/>
  <c r="BR20" i="31"/>
  <c r="CA20" i="25" s="1"/>
  <c r="N20" i="31"/>
  <c r="W20" i="25" s="1"/>
  <c r="M20" i="31"/>
  <c r="V20" i="25" s="1"/>
  <c r="BA20" i="31"/>
  <c r="BJ20" i="25" s="1"/>
  <c r="AG20" i="31"/>
  <c r="AP20" i="25" s="1"/>
  <c r="BD20" i="31"/>
  <c r="BQ20" i="37" s="1"/>
  <c r="F20" i="31"/>
  <c r="O20" i="25" s="1"/>
  <c r="AT20" i="31"/>
  <c r="BC20" i="25" s="1"/>
  <c r="AZ20" i="31"/>
  <c r="BM20" i="37" s="1"/>
  <c r="AL20" i="31"/>
  <c r="AG20" i="37" s="1"/>
  <c r="BW20" i="37"/>
  <c r="CQ20" i="31"/>
  <c r="CZ20" i="25" s="1"/>
  <c r="CM20" i="31"/>
  <c r="CV20" i="25" s="1"/>
  <c r="BO20" i="31"/>
  <c r="CN20" i="37" s="1"/>
  <c r="I20" i="31"/>
  <c r="R20" i="25" s="1"/>
  <c r="BP20" i="31"/>
  <c r="CO20" i="37" s="1"/>
  <c r="AN20" i="31"/>
  <c r="AW20" i="25" s="1"/>
  <c r="S20" i="31"/>
  <c r="AB20" i="25" s="1"/>
  <c r="W20" i="31"/>
  <c r="AF20" i="25" s="1"/>
  <c r="AQ20" i="31"/>
  <c r="AZ20" i="25" s="1"/>
  <c r="P20" i="31"/>
  <c r="Y20" i="25" s="1"/>
  <c r="Z20" i="31"/>
  <c r="AI20" i="25" s="1"/>
  <c r="J5" i="26" s="1"/>
  <c r="AS20" i="31"/>
  <c r="BB20" i="25" s="1"/>
  <c r="C20" i="31"/>
  <c r="L20" i="25" s="1"/>
  <c r="O20" i="31"/>
  <c r="X20" i="25" s="1"/>
  <c r="BL20" i="31"/>
  <c r="BU20" i="25" s="1"/>
  <c r="BK20" i="31"/>
  <c r="BT20" i="25" s="1"/>
  <c r="BC20" i="31"/>
  <c r="BP20" i="37" s="1"/>
  <c r="K20" i="31"/>
  <c r="T20" i="25" s="1"/>
  <c r="AE20" i="31"/>
  <c r="BM20" i="31"/>
  <c r="BV20" i="25" s="1"/>
  <c r="CL20" i="31"/>
  <c r="CU20" i="25" s="1"/>
  <c r="CG20" i="31"/>
  <c r="CP20" i="25" s="1"/>
  <c r="W21" i="36" s="1"/>
  <c r="BN20" i="31"/>
  <c r="BW20" i="25" s="1"/>
  <c r="CT20" i="31"/>
  <c r="DC20" i="25" s="1"/>
  <c r="AK5" i="26" s="1"/>
  <c r="BJ20" i="31"/>
  <c r="CI20" i="37" s="1"/>
  <c r="CJ20" i="31"/>
  <c r="CS20" i="25" s="1"/>
  <c r="Q20" i="37"/>
  <c r="D20" i="31"/>
  <c r="M20" i="25" s="1"/>
  <c r="T20" i="31"/>
  <c r="AC20" i="25" s="1"/>
  <c r="U20" i="31"/>
  <c r="AD20" i="25" s="1"/>
  <c r="BF20" i="31"/>
  <c r="CE20" i="37" s="1"/>
  <c r="CC20" i="37"/>
  <c r="E20" i="31"/>
  <c r="N20" i="25" s="1"/>
  <c r="AM20" i="31"/>
  <c r="AV20" i="25" s="1"/>
  <c r="BV20" i="37"/>
  <c r="X20" i="37"/>
  <c r="AK20" i="31"/>
  <c r="AF20" i="37" s="1"/>
  <c r="AI20" i="37"/>
  <c r="CC20" i="31"/>
  <c r="CL20" i="25" s="1"/>
  <c r="X5" i="26" s="1"/>
  <c r="CU20" i="31"/>
  <c r="DD20" i="25" s="1"/>
  <c r="AL5" i="26" s="1"/>
  <c r="V20" i="31"/>
  <c r="AE20" i="25" s="1"/>
  <c r="AN20" i="37"/>
  <c r="Q20" i="31"/>
  <c r="Z20" i="25" s="1"/>
  <c r="J20" i="31"/>
  <c r="S20" i="25" s="1"/>
  <c r="AW20" i="31"/>
  <c r="BF20" i="25" s="1"/>
  <c r="AV20" i="31"/>
  <c r="BC20" i="37" s="1"/>
  <c r="BI20" i="31"/>
  <c r="CH20" i="37" s="1"/>
  <c r="R20" i="37"/>
  <c r="AO20" i="31"/>
  <c r="AX20" i="25" s="1"/>
  <c r="AU20" i="31"/>
  <c r="BD20" i="25" s="1"/>
  <c r="CQ20" i="37"/>
  <c r="AA20" i="31"/>
  <c r="AJ20" i="25" s="1"/>
  <c r="K5" i="26" s="1"/>
  <c r="BY20" i="31"/>
  <c r="CH20" i="25" s="1"/>
  <c r="Z5" i="26" s="1"/>
  <c r="AP20" i="31"/>
  <c r="AY20" i="25" s="1"/>
  <c r="BZ20" i="37"/>
  <c r="AY20" i="31"/>
  <c r="BH20" i="25" s="1"/>
  <c r="CW20" i="31"/>
  <c r="DF20" i="25" s="1"/>
  <c r="AN5" i="26" s="1"/>
  <c r="AR20" i="37"/>
  <c r="CP20" i="37"/>
  <c r="AK20" i="37"/>
  <c r="Z20" i="37"/>
  <c r="CP20" i="31"/>
  <c r="CY20" i="25" s="1"/>
  <c r="AM20" i="37"/>
  <c r="CV20" i="31"/>
  <c r="DE20" i="25" s="1"/>
  <c r="AM5" i="26" s="1"/>
  <c r="CB20" i="31"/>
  <c r="CK20" i="25" s="1"/>
  <c r="W5" i="26" s="1"/>
  <c r="F21" i="36" s="1"/>
  <c r="CB20" i="37"/>
  <c r="G20" i="31"/>
  <c r="P20" i="25" s="1"/>
  <c r="D5" i="26" s="1"/>
  <c r="D8" i="38" s="1"/>
  <c r="CK20" i="31"/>
  <c r="CT20" i="25" s="1"/>
  <c r="AX20" i="31"/>
  <c r="BE20" i="37" s="1"/>
  <c r="AI20" i="31"/>
  <c r="AD20" i="37" s="1"/>
  <c r="BG20" i="31"/>
  <c r="CF20" i="37" s="1"/>
  <c r="H20" i="31"/>
  <c r="Q20" i="25" s="1"/>
  <c r="BE20" i="31"/>
  <c r="BN20" i="25" s="1"/>
  <c r="CA20" i="37"/>
  <c r="BY20" i="37"/>
  <c r="BZ20" i="31"/>
  <c r="CI20" i="25" s="1"/>
  <c r="AA5" i="26" s="1"/>
  <c r="CE20" i="31"/>
  <c r="CN20" i="25" s="1"/>
  <c r="L20" i="31"/>
  <c r="U20" i="25" s="1"/>
  <c r="BB20" i="31"/>
  <c r="BO20" i="37" s="1"/>
  <c r="CN20" i="31"/>
  <c r="CW20" i="25" s="1"/>
  <c r="AB20" i="31"/>
  <c r="AK20" i="25" s="1"/>
  <c r="L5" i="26" s="1"/>
  <c r="AH20" i="31"/>
  <c r="AC20" i="37" s="1"/>
  <c r="AJ20" i="31"/>
  <c r="AE20" i="37" s="1"/>
  <c r="R20" i="31"/>
  <c r="AA20" i="25" s="1"/>
  <c r="AR20" i="31"/>
  <c r="AY20" i="37" s="1"/>
  <c r="BT20" i="37"/>
  <c r="BH20" i="31"/>
  <c r="CG20" i="37" s="1"/>
  <c r="CY20" i="31"/>
  <c r="DH20" i="25" s="1"/>
  <c r="AP5" i="26" s="1"/>
  <c r="DA20" i="31"/>
  <c r="DJ20" i="25" s="1"/>
  <c r="AR5" i="26" s="1"/>
  <c r="CZ20" i="31"/>
  <c r="DI20" i="25" s="1"/>
  <c r="AQ5" i="26" s="1"/>
  <c r="CF20" i="31"/>
  <c r="CO20" i="25" s="1"/>
  <c r="AA21" i="36" s="1"/>
  <c r="CX20" i="31"/>
  <c r="DG20" i="25" s="1"/>
  <c r="AO5" i="26" s="1"/>
  <c r="CA20" i="31"/>
  <c r="CJ20" i="25" s="1"/>
  <c r="AB5" i="26" s="1"/>
  <c r="K5" i="36" s="1"/>
  <c r="CS20" i="31"/>
  <c r="DB20" i="25" s="1"/>
  <c r="AJ5" i="26" s="1"/>
  <c r="CI20" i="31"/>
  <c r="CR20" i="25" s="1"/>
  <c r="CD20" i="31"/>
  <c r="CM20" i="25" s="1"/>
  <c r="W5" i="36" s="1"/>
  <c r="Y20" i="31"/>
  <c r="AH20" i="25" s="1"/>
  <c r="I5" i="26" s="1"/>
  <c r="AC20" i="31"/>
  <c r="AL20" i="25" s="1"/>
  <c r="M5" i="26" s="1"/>
  <c r="F21" i="35" s="1"/>
  <c r="L21" i="31"/>
  <c r="U21" i="25" s="1"/>
  <c r="K20" i="36"/>
  <c r="BX20" i="31"/>
  <c r="CG20" i="25" s="1"/>
  <c r="Y5" i="26" s="1"/>
  <c r="O20" i="36"/>
  <c r="AA20" i="36"/>
  <c r="T18" i="37"/>
  <c r="AT18" i="37"/>
  <c r="AV18" i="25"/>
  <c r="F91" i="28"/>
  <c r="CT19" i="37"/>
  <c r="BR19" i="37"/>
  <c r="BZ19" i="37"/>
  <c r="BY19" i="37"/>
  <c r="AK19" i="37"/>
  <c r="BV18" i="37"/>
  <c r="BY18" i="37"/>
  <c r="BT18" i="37"/>
  <c r="CA18" i="37"/>
  <c r="CB18" i="37"/>
  <c r="BJ18" i="37"/>
  <c r="AP3" i="26"/>
  <c r="BB18" i="25"/>
  <c r="M3" i="26"/>
  <c r="BJ18" i="25"/>
  <c r="BN18" i="37"/>
  <c r="AS18" i="25"/>
  <c r="AE18" i="37"/>
  <c r="BS20" i="37"/>
  <c r="CR19" i="37"/>
  <c r="AQ19" i="37"/>
  <c r="L3" i="26"/>
  <c r="X3" i="26"/>
  <c r="Z19" i="37"/>
  <c r="CP19" i="37"/>
  <c r="BS19" i="37"/>
  <c r="BT19" i="37"/>
  <c r="BI19" i="37"/>
  <c r="BF19" i="37"/>
  <c r="BK19" i="37"/>
  <c r="AP19" i="37"/>
  <c r="CT18" i="37"/>
  <c r="CC18" i="37"/>
  <c r="AL18" i="37"/>
  <c r="X18" i="37"/>
  <c r="AS18" i="37"/>
  <c r="AQ18" i="37"/>
  <c r="BS18" i="37"/>
  <c r="AB3" i="26"/>
  <c r="I3" i="26"/>
  <c r="F3" i="35" s="1"/>
  <c r="AG3" i="26"/>
  <c r="N3" i="26"/>
  <c r="BO18" i="37"/>
  <c r="BK18" i="25"/>
  <c r="CU19" i="37"/>
  <c r="CB19" i="37"/>
  <c r="AL3" i="26"/>
  <c r="S23" i="34"/>
  <c r="Q19" i="37"/>
  <c r="AO19" i="37"/>
  <c r="AA19" i="37"/>
  <c r="CA19" i="37"/>
  <c r="V18" i="37"/>
  <c r="AO18" i="37"/>
  <c r="BW18" i="37"/>
  <c r="AP18" i="37"/>
  <c r="S18" i="37"/>
  <c r="BU18" i="37"/>
  <c r="W18" i="37"/>
  <c r="D3" i="26"/>
  <c r="Z3" i="26"/>
  <c r="BQ18" i="25"/>
  <c r="CG18" i="37"/>
  <c r="BR20" i="37"/>
  <c r="AA20" i="37"/>
  <c r="CU18" i="37"/>
  <c r="BV19" i="37"/>
  <c r="BW19" i="37"/>
  <c r="AM19" i="37"/>
  <c r="AH19" i="37"/>
  <c r="CC19" i="37"/>
  <c r="Z18" i="37"/>
  <c r="U18" i="37"/>
  <c r="AH18" i="37"/>
  <c r="AI18" i="37"/>
  <c r="BG18" i="37"/>
  <c r="AK3" i="26"/>
  <c r="BR18" i="37"/>
  <c r="Y18" i="37"/>
  <c r="AA3" i="26"/>
  <c r="AM3" i="26"/>
  <c r="CK18" i="37"/>
  <c r="BU18" i="25"/>
  <c r="BR18" i="25"/>
  <c r="W20" i="37"/>
  <c r="V20" i="37"/>
  <c r="T20" i="37"/>
  <c r="CU20" i="37"/>
  <c r="CS20" i="37"/>
  <c r="CQ19" i="37"/>
  <c r="BH19" i="37"/>
  <c r="AA18" i="37"/>
  <c r="G39" i="34"/>
  <c r="CZ21" i="31"/>
  <c r="DI21" i="25" s="1"/>
  <c r="AQ6" i="26" s="1"/>
  <c r="AC21" i="31"/>
  <c r="AL21" i="25" s="1"/>
  <c r="M6" i="26" s="1"/>
  <c r="CE21" i="31"/>
  <c r="CN21" i="25" s="1"/>
  <c r="CF21" i="31"/>
  <c r="CO21" i="25" s="1"/>
  <c r="CB21" i="31"/>
  <c r="CK21" i="25" s="1"/>
  <c r="W6" i="26" s="1"/>
  <c r="CI21" i="31"/>
  <c r="CR21" i="25" s="1"/>
  <c r="CG21" i="31"/>
  <c r="CP21" i="25" s="1"/>
  <c r="W22" i="36" s="1"/>
  <c r="BX21" i="31"/>
  <c r="CG21" i="25" s="1"/>
  <c r="Y6" i="26" s="1"/>
  <c r="Y21" i="31"/>
  <c r="AH21" i="25" s="1"/>
  <c r="I6" i="26" s="1"/>
  <c r="F6" i="35" s="1"/>
  <c r="H21" i="31"/>
  <c r="Q21" i="25" s="1"/>
  <c r="BY21" i="31"/>
  <c r="CH21" i="25" s="1"/>
  <c r="Z6" i="26" s="1"/>
  <c r="CC21" i="31"/>
  <c r="CL21" i="25" s="1"/>
  <c r="X6" i="26" s="1"/>
  <c r="BZ21" i="31"/>
  <c r="CI21" i="25" s="1"/>
  <c r="AA6" i="26" s="1"/>
  <c r="CD21" i="31"/>
  <c r="CM21" i="25" s="1"/>
  <c r="W6" i="36" s="1"/>
  <c r="DA21" i="31"/>
  <c r="DJ21" i="25" s="1"/>
  <c r="AR6" i="26" s="1"/>
  <c r="AA21" i="31"/>
  <c r="AJ21" i="25" s="1"/>
  <c r="K6" i="26" s="1"/>
  <c r="CY21" i="31"/>
  <c r="DH21" i="25" s="1"/>
  <c r="AP6" i="26" s="1"/>
  <c r="BC21" i="31"/>
  <c r="BG21" i="31"/>
  <c r="BE21" i="31"/>
  <c r="AV21" i="31"/>
  <c r="BH21" i="31"/>
  <c r="CT21" i="31"/>
  <c r="DC21" i="25" s="1"/>
  <c r="AK6" i="26" s="1"/>
  <c r="BN21" i="31"/>
  <c r="AJ21" i="31"/>
  <c r="AY21" i="31"/>
  <c r="Z21" i="31"/>
  <c r="AI21" i="25" s="1"/>
  <c r="J6" i="26" s="1"/>
  <c r="AD21" i="31"/>
  <c r="AM21" i="25" s="1"/>
  <c r="N6" i="26" s="1"/>
  <c r="CA21" i="31"/>
  <c r="CJ21" i="25" s="1"/>
  <c r="AB6" i="26" s="1"/>
  <c r="K6" i="36" s="1"/>
  <c r="AK21" i="31"/>
  <c r="BF21" i="31"/>
  <c r="AL21" i="31"/>
  <c r="AS21" i="31"/>
  <c r="AZ21" i="31"/>
  <c r="BA21" i="31"/>
  <c r="T21" i="31"/>
  <c r="AC21" i="25" s="1"/>
  <c r="AU21" i="31"/>
  <c r="CV21" i="31"/>
  <c r="DE21" i="25" s="1"/>
  <c r="AM6" i="26" s="1"/>
  <c r="CS21" i="31"/>
  <c r="DB21" i="25" s="1"/>
  <c r="AJ6" i="26" s="1"/>
  <c r="AX21" i="31"/>
  <c r="CU21" i="31"/>
  <c r="DD21" i="25" s="1"/>
  <c r="AL6" i="26" s="1"/>
  <c r="AW21" i="31"/>
  <c r="AB21" i="31"/>
  <c r="AK21" i="25" s="1"/>
  <c r="L6" i="26" s="1"/>
  <c r="BD21" i="31"/>
  <c r="G21" i="31"/>
  <c r="P21" i="25" s="1"/>
  <c r="D6" i="26" s="1"/>
  <c r="D9" i="38" s="1"/>
  <c r="BP21" i="31"/>
  <c r="AN21" i="31"/>
  <c r="BL21" i="31"/>
  <c r="C21" i="31"/>
  <c r="P21" i="31"/>
  <c r="Y21" i="25" s="1"/>
  <c r="AG21" i="31"/>
  <c r="BK21" i="31"/>
  <c r="AO21" i="31"/>
  <c r="AP21" i="31"/>
  <c r="F21" i="31"/>
  <c r="O21" i="25" s="1"/>
  <c r="CN21" i="31"/>
  <c r="CW21" i="25" s="1"/>
  <c r="CQ21" i="31"/>
  <c r="CZ21" i="25" s="1"/>
  <c r="D21" i="31"/>
  <c r="M21" i="25" s="1"/>
  <c r="CL21" i="31"/>
  <c r="CU21" i="25" s="1"/>
  <c r="U21" i="31"/>
  <c r="AD21" i="25" s="1"/>
  <c r="CK21" i="31"/>
  <c r="CT21" i="25" s="1"/>
  <c r="CM21" i="31"/>
  <c r="CV21" i="25" s="1"/>
  <c r="W21" i="31"/>
  <c r="AF21" i="25" s="1"/>
  <c r="BI21" i="31"/>
  <c r="CX21" i="31"/>
  <c r="DG21" i="25" s="1"/>
  <c r="AO6" i="26" s="1"/>
  <c r="AR21" i="31"/>
  <c r="BB21" i="31"/>
  <c r="CW21" i="31"/>
  <c r="DF21" i="25" s="1"/>
  <c r="AN6" i="26" s="1"/>
  <c r="CJ21" i="31"/>
  <c r="CS21" i="25" s="1"/>
  <c r="BO21" i="31"/>
  <c r="AM21" i="31"/>
  <c r="AQ21" i="31"/>
  <c r="R21" i="31"/>
  <c r="AA21" i="25" s="1"/>
  <c r="BM21" i="31"/>
  <c r="AI21" i="31"/>
  <c r="CP21" i="31"/>
  <c r="CY21" i="25" s="1"/>
  <c r="S21" i="31"/>
  <c r="AB21" i="25" s="1"/>
  <c r="K21" i="31"/>
  <c r="T21" i="25" s="1"/>
  <c r="E21" i="31"/>
  <c r="N21" i="25" s="1"/>
  <c r="BJ21" i="31"/>
  <c r="AH21" i="31"/>
  <c r="AT21" i="31"/>
  <c r="AE21" i="31"/>
  <c r="Q21" i="31"/>
  <c r="Z21" i="25" s="1"/>
  <c r="V21" i="31"/>
  <c r="AE21" i="25" s="1"/>
  <c r="I21" i="31"/>
  <c r="R21" i="25" s="1"/>
  <c r="J21" i="31"/>
  <c r="S21" i="25" s="1"/>
  <c r="N21" i="31"/>
  <c r="W21" i="25" s="1"/>
  <c r="O21" i="31"/>
  <c r="X21" i="25" s="1"/>
  <c r="CS19" i="37"/>
  <c r="V19" i="37"/>
  <c r="BX19" i="37"/>
  <c r="W19" i="37"/>
  <c r="Q18" i="37"/>
  <c r="BZ18" i="37"/>
  <c r="CQ18" i="37"/>
  <c r="CS18" i="37"/>
  <c r="AM18" i="37"/>
  <c r="AR3" i="26"/>
  <c r="L18" i="25"/>
  <c r="CJ18" i="37"/>
  <c r="BT18" i="25"/>
  <c r="BH18" i="25"/>
  <c r="AT18" i="25"/>
  <c r="AF18" i="37"/>
  <c r="AH20" i="37"/>
  <c r="AB18" i="37"/>
  <c r="AP18" i="25"/>
  <c r="BD18" i="37"/>
  <c r="BF18" i="25"/>
  <c r="S19" i="37"/>
  <c r="BU19" i="37"/>
  <c r="P19" i="37"/>
  <c r="X19" i="37"/>
  <c r="AJ19" i="37"/>
  <c r="R19" i="37"/>
  <c r="BF18" i="37"/>
  <c r="AR18" i="37"/>
  <c r="AK18" i="37"/>
  <c r="K3" i="26"/>
  <c r="AN18" i="37"/>
  <c r="P18" i="37"/>
  <c r="AJ3" i="26"/>
  <c r="J3" i="26"/>
  <c r="AQ3" i="26"/>
  <c r="AR18" i="25"/>
  <c r="AD18" i="37"/>
  <c r="BX18" i="25"/>
  <c r="Y19" i="37"/>
  <c r="T19" i="37"/>
  <c r="BK18" i="37"/>
  <c r="BJ19" i="37"/>
  <c r="AR19" i="37"/>
  <c r="AS19" i="37"/>
  <c r="AI19" i="37"/>
  <c r="AN19" i="37"/>
  <c r="U19" i="37"/>
  <c r="BG19" i="37"/>
  <c r="AL19" i="37"/>
  <c r="BH18" i="37"/>
  <c r="CR18" i="37"/>
  <c r="R18" i="37"/>
  <c r="CP18" i="37"/>
  <c r="BI18" i="37"/>
  <c r="AJ18" i="37"/>
  <c r="BX18" i="37"/>
  <c r="BG18" i="25"/>
  <c r="BE18" i="37"/>
  <c r="CM18" i="37"/>
  <c r="BW18" i="25"/>
  <c r="AU18" i="37"/>
  <c r="AW18" i="25"/>
  <c r="CF18" i="37"/>
  <c r="BP18" i="25"/>
  <c r="P20" i="37"/>
  <c r="BH20" i="37"/>
  <c r="AH3" i="26" l="1"/>
  <c r="AI3" i="26"/>
  <c r="BN18" i="25"/>
  <c r="T3" i="26" s="1"/>
  <c r="F35" i="34" s="1"/>
  <c r="AY18" i="25"/>
  <c r="BC18" i="25"/>
  <c r="BE18" i="25"/>
  <c r="BM18" i="37"/>
  <c r="BQ18" i="37"/>
  <c r="AX18" i="37"/>
  <c r="H3" i="26"/>
  <c r="AG18" i="37"/>
  <c r="BY18" i="25"/>
  <c r="U3" i="26" s="1"/>
  <c r="CE18" i="37"/>
  <c r="BB18" i="37"/>
  <c r="DQ18" i="25"/>
  <c r="AC18" i="37"/>
  <c r="AX18" i="25"/>
  <c r="Q3" i="26" s="1"/>
  <c r="CL18" i="37"/>
  <c r="BL18" i="25"/>
  <c r="S3" i="26" s="1"/>
  <c r="R19" i="34" s="1"/>
  <c r="F3" i="26"/>
  <c r="G3" i="26"/>
  <c r="CI18" i="37"/>
  <c r="E3" i="26"/>
  <c r="AY18" i="37"/>
  <c r="BP19" i="25"/>
  <c r="BL19" i="37"/>
  <c r="CL19" i="37"/>
  <c r="AC19" i="37"/>
  <c r="CO19" i="37"/>
  <c r="AV19" i="37"/>
  <c r="BA19" i="37"/>
  <c r="BO19" i="37"/>
  <c r="BB19" i="25"/>
  <c r="BF19" i="25"/>
  <c r="BR19" i="25"/>
  <c r="BM19" i="25"/>
  <c r="V3" i="26"/>
  <c r="X35" i="34" s="1"/>
  <c r="DC18" i="31"/>
  <c r="BP19" i="37"/>
  <c r="AZ20" i="37"/>
  <c r="BB19" i="37"/>
  <c r="BI19" i="25"/>
  <c r="BG19" i="25"/>
  <c r="CK19" i="37"/>
  <c r="BC19" i="37"/>
  <c r="BN19" i="37"/>
  <c r="L4" i="35"/>
  <c r="M4" i="35"/>
  <c r="AI4" i="26"/>
  <c r="E4" i="26"/>
  <c r="CG19" i="37"/>
  <c r="G4" i="26"/>
  <c r="Z4" i="35"/>
  <c r="CN19" i="37"/>
  <c r="AT19" i="37"/>
  <c r="AS19" i="25"/>
  <c r="AR19" i="25"/>
  <c r="CE19" i="37"/>
  <c r="CJ19" i="37"/>
  <c r="CD19" i="37"/>
  <c r="AU19" i="37"/>
  <c r="AY19" i="25"/>
  <c r="Q4" i="26" s="1"/>
  <c r="AB19" i="37"/>
  <c r="O4" i="36"/>
  <c r="H4" i="26"/>
  <c r="L20" i="35"/>
  <c r="AG4" i="26"/>
  <c r="AY19" i="37"/>
  <c r="AF19" i="37"/>
  <c r="BS19" i="25"/>
  <c r="S4" i="35"/>
  <c r="AX19" i="37"/>
  <c r="F20" i="35"/>
  <c r="AG19" i="37"/>
  <c r="AH4" i="26"/>
  <c r="F4" i="26"/>
  <c r="BW19" i="25"/>
  <c r="BN20" i="37"/>
  <c r="V4" i="26"/>
  <c r="X36" i="34" s="1"/>
  <c r="DC19" i="31"/>
  <c r="G3" i="35"/>
  <c r="M3" i="35"/>
  <c r="L3" i="35"/>
  <c r="G6" i="35"/>
  <c r="M6" i="35"/>
  <c r="L6" i="35"/>
  <c r="G5" i="35"/>
  <c r="M5" i="35"/>
  <c r="L5" i="35"/>
  <c r="AB20" i="37"/>
  <c r="Z3" i="35"/>
  <c r="Y3" i="35"/>
  <c r="Y5" i="35"/>
  <c r="Z5" i="35"/>
  <c r="Y6" i="35"/>
  <c r="Z6" i="35"/>
  <c r="S5" i="35"/>
  <c r="R5" i="35"/>
  <c r="F5" i="35"/>
  <c r="S6" i="35"/>
  <c r="R6" i="35"/>
  <c r="R3" i="35"/>
  <c r="S3" i="35"/>
  <c r="BK20" i="25"/>
  <c r="AU20" i="25"/>
  <c r="M21" i="35"/>
  <c r="BA20" i="25"/>
  <c r="Q5" i="26" s="1"/>
  <c r="BO20" i="25"/>
  <c r="BY20" i="25"/>
  <c r="BR20" i="25"/>
  <c r="F5" i="26"/>
  <c r="AI5" i="26"/>
  <c r="BB20" i="37"/>
  <c r="BJ20" i="37"/>
  <c r="AT20" i="25"/>
  <c r="AQ20" i="25"/>
  <c r="BM20" i="25"/>
  <c r="AS20" i="25"/>
  <c r="BS20" i="25"/>
  <c r="AU20" i="37"/>
  <c r="AH5" i="26"/>
  <c r="BI20" i="37"/>
  <c r="AO20" i="37"/>
  <c r="V5" i="26"/>
  <c r="X37" i="34" s="1"/>
  <c r="AL20" i="37"/>
  <c r="BI20" i="25"/>
  <c r="AS20" i="37"/>
  <c r="BL20" i="37"/>
  <c r="BG20" i="37"/>
  <c r="BL20" i="25"/>
  <c r="AR20" i="25"/>
  <c r="BP20" i="25"/>
  <c r="BX20" i="25"/>
  <c r="CT20" i="37"/>
  <c r="CJ20" i="37"/>
  <c r="BA20" i="37"/>
  <c r="AJ20" i="37"/>
  <c r="O21" i="36"/>
  <c r="Y20" i="37"/>
  <c r="AV20" i="37"/>
  <c r="G5" i="26"/>
  <c r="S21" i="36"/>
  <c r="CD20" i="37"/>
  <c r="BX20" i="37"/>
  <c r="H5" i="26"/>
  <c r="CM20" i="37"/>
  <c r="BQ20" i="25"/>
  <c r="AQ20" i="37"/>
  <c r="U20" i="37"/>
  <c r="E5" i="26"/>
  <c r="CL20" i="37"/>
  <c r="AT20" i="37"/>
  <c r="AX20" i="37"/>
  <c r="AW20" i="37"/>
  <c r="AP20" i="37"/>
  <c r="CK20" i="37"/>
  <c r="AG5" i="26"/>
  <c r="BF20" i="37"/>
  <c r="BK20" i="37"/>
  <c r="S20" i="37"/>
  <c r="BU20" i="37"/>
  <c r="CR20" i="37"/>
  <c r="BE20" i="25"/>
  <c r="BD20" i="37"/>
  <c r="BG20" i="25"/>
  <c r="DC20" i="31"/>
  <c r="G21" i="35"/>
  <c r="O5" i="36"/>
  <c r="AI6" i="26"/>
  <c r="K21" i="36"/>
  <c r="F6" i="26"/>
  <c r="AH6" i="26"/>
  <c r="AG6" i="26"/>
  <c r="K22" i="36"/>
  <c r="CC21" i="37"/>
  <c r="BS21" i="37"/>
  <c r="P3" i="26"/>
  <c r="O3" i="36"/>
  <c r="CI21" i="37"/>
  <c r="BS21" i="25"/>
  <c r="CL21" i="37"/>
  <c r="BV21" i="25"/>
  <c r="AQ21" i="37"/>
  <c r="CH21" i="37"/>
  <c r="BR21" i="25"/>
  <c r="AV21" i="37"/>
  <c r="AX21" i="25"/>
  <c r="CK21" i="37"/>
  <c r="BU21" i="25"/>
  <c r="R21" i="37"/>
  <c r="AR21" i="37"/>
  <c r="CU21" i="37"/>
  <c r="U21" i="37"/>
  <c r="BF21" i="37"/>
  <c r="W19" i="36"/>
  <c r="C5" i="26"/>
  <c r="M19" i="35"/>
  <c r="L19" i="35"/>
  <c r="C4" i="26"/>
  <c r="CQ21" i="37"/>
  <c r="AP21" i="25"/>
  <c r="AB21" i="37"/>
  <c r="W21" i="37"/>
  <c r="BM21" i="25"/>
  <c r="BQ21" i="37"/>
  <c r="X21" i="37"/>
  <c r="BB21" i="37"/>
  <c r="BD21" i="25"/>
  <c r="AN21" i="37"/>
  <c r="P21" i="37"/>
  <c r="BJ21" i="37"/>
  <c r="Y21" i="37"/>
  <c r="F22" i="36"/>
  <c r="G37" i="34"/>
  <c r="AL21" i="37"/>
  <c r="C3" i="26"/>
  <c r="G36" i="34"/>
  <c r="V6" i="26"/>
  <c r="X38" i="34" s="1"/>
  <c r="CP21" i="37"/>
  <c r="AX21" i="37"/>
  <c r="AZ21" i="25"/>
  <c r="Z21" i="37"/>
  <c r="G6" i="26"/>
  <c r="CO21" i="37"/>
  <c r="BY21" i="25"/>
  <c r="BT21" i="37"/>
  <c r="CR21" i="37"/>
  <c r="AG21" i="37"/>
  <c r="AU21" i="25"/>
  <c r="V21" i="37"/>
  <c r="AS21" i="37"/>
  <c r="S21" i="37"/>
  <c r="S22" i="36"/>
  <c r="O22" i="36"/>
  <c r="AA22" i="36"/>
  <c r="W3" i="36"/>
  <c r="AJ21" i="37"/>
  <c r="Q21" i="37"/>
  <c r="BA21" i="37"/>
  <c r="BC21" i="25"/>
  <c r="AV21" i="25"/>
  <c r="AT21" i="37"/>
  <c r="BK21" i="25"/>
  <c r="BO21" i="37"/>
  <c r="L21" i="25"/>
  <c r="DC21" i="31"/>
  <c r="AA21" i="37"/>
  <c r="AM21" i="37"/>
  <c r="BR21" i="37"/>
  <c r="H6" i="26"/>
  <c r="CE21" i="37"/>
  <c r="BO21" i="25"/>
  <c r="BH21" i="25"/>
  <c r="BL21" i="37"/>
  <c r="BQ21" i="25"/>
  <c r="CG21" i="37"/>
  <c r="K19" i="36"/>
  <c r="AI21" i="37"/>
  <c r="BB21" i="25"/>
  <c r="AZ21" i="37"/>
  <c r="S21" i="34"/>
  <c r="AO21" i="37"/>
  <c r="AD21" i="37"/>
  <c r="AR21" i="25"/>
  <c r="BW21" i="37"/>
  <c r="CS21" i="37"/>
  <c r="BX21" i="37"/>
  <c r="AP21" i="37"/>
  <c r="BV21" i="37"/>
  <c r="BD21" i="37"/>
  <c r="BF21" i="25"/>
  <c r="BG21" i="25"/>
  <c r="BE21" i="37"/>
  <c r="BG21" i="37"/>
  <c r="AT21" i="25"/>
  <c r="AF21" i="37"/>
  <c r="AE21" i="37"/>
  <c r="AS21" i="25"/>
  <c r="BE21" i="25"/>
  <c r="BC21" i="37"/>
  <c r="E6" i="26"/>
  <c r="F22" i="35"/>
  <c r="G22" i="35"/>
  <c r="F19" i="35"/>
  <c r="G19" i="35"/>
  <c r="BT21" i="25"/>
  <c r="CJ21" i="37"/>
  <c r="AK21" i="37"/>
  <c r="AQ21" i="25"/>
  <c r="AC21" i="37"/>
  <c r="BI21" i="37"/>
  <c r="BX21" i="25"/>
  <c r="CN21" i="37"/>
  <c r="AY21" i="37"/>
  <c r="BA21" i="25"/>
  <c r="BH21" i="37"/>
  <c r="AW21" i="37"/>
  <c r="AY21" i="25"/>
  <c r="BY21" i="37"/>
  <c r="BK21" i="37"/>
  <c r="CT21" i="37"/>
  <c r="BJ21" i="25"/>
  <c r="BN21" i="37"/>
  <c r="CM21" i="37"/>
  <c r="BW21" i="25"/>
  <c r="BN21" i="25"/>
  <c r="CD21" i="37"/>
  <c r="D6" i="38"/>
  <c r="K3" i="36"/>
  <c r="AU21" i="37"/>
  <c r="AW21" i="25"/>
  <c r="BP21" i="37"/>
  <c r="BL21" i="25"/>
  <c r="F19" i="36"/>
  <c r="CA21" i="37"/>
  <c r="AH21" i="37"/>
  <c r="T21" i="37"/>
  <c r="BU21" i="37"/>
  <c r="BZ21" i="37"/>
  <c r="BM21" i="37"/>
  <c r="BI21" i="25"/>
  <c r="L22" i="35"/>
  <c r="M22" i="35"/>
  <c r="CB21" i="37"/>
  <c r="BP21" i="25"/>
  <c r="CF21" i="37"/>
  <c r="O6" i="36"/>
  <c r="S20" i="34"/>
  <c r="O19" i="36"/>
  <c r="AA19" i="36"/>
  <c r="R3" i="26" l="1"/>
  <c r="M19" i="34" s="1"/>
  <c r="AN18" i="25"/>
  <c r="DL18" i="25" s="1"/>
  <c r="DN18" i="25" s="1"/>
  <c r="R4" i="26"/>
  <c r="M20" i="34" s="1"/>
  <c r="T4" i="26"/>
  <c r="F36" i="34" s="1"/>
  <c r="S4" i="26"/>
  <c r="R20" i="34" s="1"/>
  <c r="P4" i="26"/>
  <c r="G4" i="34" s="1"/>
  <c r="AN19" i="25"/>
  <c r="O4" i="26" s="1"/>
  <c r="S20" i="35" s="1"/>
  <c r="U4" i="26"/>
  <c r="R36" i="34" s="1"/>
  <c r="F3" i="34"/>
  <c r="G3" i="34"/>
  <c r="U5" i="26"/>
  <c r="R37" i="34" s="1"/>
  <c r="AN20" i="25"/>
  <c r="O5" i="26" s="1"/>
  <c r="R21" i="35" s="1"/>
  <c r="R36" i="35" s="1"/>
  <c r="P5" i="26"/>
  <c r="S5" i="26"/>
  <c r="R21" i="34" s="1"/>
  <c r="T5" i="26"/>
  <c r="F37" i="34" s="1"/>
  <c r="R5" i="26"/>
  <c r="M21" i="34" s="1"/>
  <c r="S19" i="36"/>
  <c r="U6" i="26"/>
  <c r="S38" i="34" s="1"/>
  <c r="G19" i="34"/>
  <c r="F19" i="34"/>
  <c r="R6" i="26"/>
  <c r="G35" i="34"/>
  <c r="Q6" i="26"/>
  <c r="S6" i="26"/>
  <c r="R22" i="34" s="1"/>
  <c r="F20" i="34"/>
  <c r="G20" i="34"/>
  <c r="F21" i="34"/>
  <c r="G21" i="34"/>
  <c r="T6" i="26"/>
  <c r="F38" i="34" s="1"/>
  <c r="S22" i="34"/>
  <c r="R35" i="34"/>
  <c r="S35" i="34"/>
  <c r="G38" i="34"/>
  <c r="AN21" i="25"/>
  <c r="O6" i="26" s="1"/>
  <c r="C6" i="26"/>
  <c r="P6" i="26"/>
  <c r="S19" i="34"/>
  <c r="L19" i="34" l="1"/>
  <c r="O3" i="26"/>
  <c r="AU3" i="26" s="1"/>
  <c r="L20" i="34"/>
  <c r="F4" i="34"/>
  <c r="DL19" i="25"/>
  <c r="DN19" i="25" s="1"/>
  <c r="R20" i="35"/>
  <c r="R35" i="35" s="1"/>
  <c r="AU4" i="26"/>
  <c r="S36" i="34"/>
  <c r="S37" i="34"/>
  <c r="G6" i="34"/>
  <c r="F6" i="34"/>
  <c r="G5" i="34"/>
  <c r="F5" i="34"/>
  <c r="S21" i="35"/>
  <c r="AU5" i="26"/>
  <c r="AU6" i="26"/>
  <c r="DL20" i="25"/>
  <c r="DN20" i="25" s="1"/>
  <c r="L21" i="34"/>
  <c r="S31" i="34"/>
  <c r="R38" i="34"/>
  <c r="DL21" i="25"/>
  <c r="DN21" i="25" s="1"/>
  <c r="F22" i="34"/>
  <c r="G22" i="34"/>
  <c r="S22" i="35"/>
  <c r="R22" i="35"/>
  <c r="R37" i="35" s="1"/>
  <c r="L22" i="34"/>
  <c r="M22" i="34"/>
  <c r="G47" i="34"/>
  <c r="DF22" i="28"/>
  <c r="DG29" i="28" s="1"/>
  <c r="S19" i="35" l="1"/>
  <c r="R19" i="35"/>
  <c r="DI29" i="28"/>
  <c r="DI30" i="28" s="1"/>
  <c r="CV22" i="31"/>
  <c r="DE22" i="25" s="1"/>
  <c r="AM7" i="26" s="1"/>
  <c r="AM15" i="26" s="1"/>
  <c r="BV22" i="31"/>
  <c r="CE22" i="25" s="1"/>
  <c r="CE77" i="25" s="1"/>
  <c r="BU22" i="31"/>
  <c r="CD22" i="25" s="1"/>
  <c r="CD77" i="25" s="1"/>
  <c r="BT22" i="31"/>
  <c r="CC22" i="25" s="1"/>
  <c r="CC77" i="25" s="1"/>
  <c r="BS22" i="31"/>
  <c r="CB22" i="25" s="1"/>
  <c r="CB77" i="25" s="1"/>
  <c r="BQ22" i="31"/>
  <c r="BZ22" i="25" s="1"/>
  <c r="BR22" i="31"/>
  <c r="CA22" i="25" s="1"/>
  <c r="CA77" i="25" s="1"/>
  <c r="CP22" i="31"/>
  <c r="CY22" i="25" s="1"/>
  <c r="AS22" i="31"/>
  <c r="AZ22" i="37" s="1"/>
  <c r="AZ77" i="37" s="1"/>
  <c r="I9" i="37" s="1"/>
  <c r="I23" i="37" s="1"/>
  <c r="CK22" i="31"/>
  <c r="AD22" i="31"/>
  <c r="AM22" i="25" s="1"/>
  <c r="AM77" i="25" s="1"/>
  <c r="T22" i="31"/>
  <c r="AC22" i="25" s="1"/>
  <c r="AC77" i="25" s="1"/>
  <c r="AC22" i="31"/>
  <c r="AL22" i="25" s="1"/>
  <c r="M7" i="26" s="1"/>
  <c r="M15" i="26" s="1"/>
  <c r="C22" i="31"/>
  <c r="L22" i="25" s="1"/>
  <c r="CL22" i="31"/>
  <c r="AG22" i="31"/>
  <c r="BE22" i="31"/>
  <c r="N22" i="31"/>
  <c r="W22" i="25" s="1"/>
  <c r="W77" i="25" s="1"/>
  <c r="BY22" i="31"/>
  <c r="CH22" i="25" s="1"/>
  <c r="V22" i="31"/>
  <c r="AE22" i="25" s="1"/>
  <c r="AE77" i="25" s="1"/>
  <c r="AB22" i="31"/>
  <c r="AK22" i="25" s="1"/>
  <c r="CJ22" i="31"/>
  <c r="L22" i="31"/>
  <c r="U22" i="25" s="1"/>
  <c r="O22" i="31"/>
  <c r="X22" i="25" s="1"/>
  <c r="X77" i="25" s="1"/>
  <c r="Z22" i="31"/>
  <c r="AI22" i="25" s="1"/>
  <c r="BX22" i="31"/>
  <c r="CG22" i="25" s="1"/>
  <c r="CB22" i="31"/>
  <c r="CK22" i="25" s="1"/>
  <c r="AX22" i="31"/>
  <c r="M22" i="31"/>
  <c r="V22" i="25" s="1"/>
  <c r="V77" i="25" s="1"/>
  <c r="CI22" i="31"/>
  <c r="CR22" i="25" s="1"/>
  <c r="H22" i="31"/>
  <c r="Q22" i="25" s="1"/>
  <c r="P22" i="31"/>
  <c r="Y22" i="25" s="1"/>
  <c r="BK22" i="31"/>
  <c r="F22" i="31"/>
  <c r="O22" i="25" s="1"/>
  <c r="O77" i="25" s="1"/>
  <c r="CZ22" i="31"/>
  <c r="DI22" i="25" s="1"/>
  <c r="Y22" i="31"/>
  <c r="AH22" i="25" s="1"/>
  <c r="AM22" i="31"/>
  <c r="BC22" i="31"/>
  <c r="Q22" i="31"/>
  <c r="Z22" i="25" s="1"/>
  <c r="Z77" i="25" s="1"/>
  <c r="CX22" i="31"/>
  <c r="DG22" i="25" s="1"/>
  <c r="CU22" i="31"/>
  <c r="DD22" i="25" s="1"/>
  <c r="BI22" i="31"/>
  <c r="BP22" i="31"/>
  <c r="AP22" i="31"/>
  <c r="AR22" i="31"/>
  <c r="CM22" i="31"/>
  <c r="CS22" i="31"/>
  <c r="DB22" i="25" s="1"/>
  <c r="CE22" i="31"/>
  <c r="CN22" i="25" s="1"/>
  <c r="BJ22" i="31"/>
  <c r="BA22" i="31"/>
  <c r="BN22" i="31"/>
  <c r="I22" i="31"/>
  <c r="R22" i="25" s="1"/>
  <c r="R77" i="25" s="1"/>
  <c r="W22" i="31"/>
  <c r="AF22" i="25" s="1"/>
  <c r="AF77" i="25" s="1"/>
  <c r="BD22" i="31"/>
  <c r="AK22" i="31"/>
  <c r="AU22" i="31"/>
  <c r="D22" i="31"/>
  <c r="M22" i="25" s="1"/>
  <c r="M77" i="25" s="1"/>
  <c r="R22" i="31"/>
  <c r="AA22" i="25" s="1"/>
  <c r="AA77" i="25" s="1"/>
  <c r="CC22" i="31"/>
  <c r="CL22" i="25" s="1"/>
  <c r="CW22" i="31"/>
  <c r="DF22" i="25" s="1"/>
  <c r="CD22" i="31"/>
  <c r="CM22" i="25" s="1"/>
  <c r="E22" i="31"/>
  <c r="N22" i="25" s="1"/>
  <c r="N77" i="25" s="1"/>
  <c r="AO22" i="31"/>
  <c r="BG22" i="31"/>
  <c r="BB22" i="31"/>
  <c r="AT22" i="31"/>
  <c r="BO22" i="31"/>
  <c r="AZ22" i="31"/>
  <c r="S22" i="31"/>
  <c r="AB22" i="25" s="1"/>
  <c r="AB77" i="25" s="1"/>
  <c r="U22" i="31"/>
  <c r="AD22" i="25" s="1"/>
  <c r="AD77" i="25" s="1"/>
  <c r="CY22" i="31"/>
  <c r="DH22" i="25" s="1"/>
  <c r="CF22" i="31"/>
  <c r="CO22" i="25" s="1"/>
  <c r="AQ22" i="31"/>
  <c r="AW22" i="31"/>
  <c r="AJ22" i="31"/>
  <c r="CQ22" i="31"/>
  <c r="CZ22" i="25" s="1"/>
  <c r="CZ77" i="25" s="1"/>
  <c r="G22" i="31"/>
  <c r="P22" i="25" s="1"/>
  <c r="AL22" i="31"/>
  <c r="AV22" i="31"/>
  <c r="BL22" i="31"/>
  <c r="AN22" i="31"/>
  <c r="BH22" i="31"/>
  <c r="BM22" i="31"/>
  <c r="J22" i="31"/>
  <c r="S22" i="25" s="1"/>
  <c r="S77" i="25" s="1"/>
  <c r="CT22" i="31"/>
  <c r="DC22" i="25" s="1"/>
  <c r="K22" i="31"/>
  <c r="T22" i="25" s="1"/>
  <c r="T77" i="25" s="1"/>
  <c r="BZ22" i="31"/>
  <c r="CI22" i="25" s="1"/>
  <c r="BF22" i="31"/>
  <c r="AI22" i="31"/>
  <c r="AH22" i="31"/>
  <c r="AE22" i="31"/>
  <c r="AY22" i="31"/>
  <c r="DA22" i="31"/>
  <c r="DJ22" i="25" s="1"/>
  <c r="AA22" i="31"/>
  <c r="AJ22" i="25" s="1"/>
  <c r="CG22" i="31"/>
  <c r="CP22" i="25" s="1"/>
  <c r="CN22" i="31"/>
  <c r="CA22" i="31"/>
  <c r="CJ22" i="25" s="1"/>
  <c r="R34" i="35" l="1"/>
  <c r="CT22" i="25"/>
  <c r="CT77" i="25" s="1"/>
  <c r="CW22" i="25"/>
  <c r="CW77" i="25" s="1"/>
  <c r="CU22" i="25"/>
  <c r="CU77" i="25" s="1"/>
  <c r="CV22" i="25"/>
  <c r="CS22" i="25"/>
  <c r="CS77" i="25" s="1"/>
  <c r="DE77" i="25"/>
  <c r="BB22" i="25"/>
  <c r="BB77" i="25" s="1"/>
  <c r="AM17" i="26"/>
  <c r="DG78" i="28"/>
  <c r="DI78" i="28" s="1"/>
  <c r="DI79" i="28" s="1"/>
  <c r="AM23" i="26"/>
  <c r="AM27" i="26" s="1"/>
  <c r="BZ77" i="25"/>
  <c r="V17" i="26"/>
  <c r="V7" i="26"/>
  <c r="CY77" i="25"/>
  <c r="AI23" i="26"/>
  <c r="AI27" i="26" s="1"/>
  <c r="N7" i="26"/>
  <c r="N15" i="26" s="1"/>
  <c r="N17" i="26"/>
  <c r="N23" i="26"/>
  <c r="N27" i="26" s="1"/>
  <c r="M17" i="26"/>
  <c r="M23" i="26"/>
  <c r="M27" i="26" s="1"/>
  <c r="AL77" i="25"/>
  <c r="H17" i="26"/>
  <c r="BI22" i="25"/>
  <c r="BI77" i="25" s="1"/>
  <c r="BM22" i="37"/>
  <c r="BM77" i="37" s="1"/>
  <c r="J11" i="37" s="1"/>
  <c r="J24" i="37" s="1"/>
  <c r="AN23" i="26"/>
  <c r="AN17" i="26"/>
  <c r="AN7" i="26"/>
  <c r="AN15" i="26" s="1"/>
  <c r="DF77" i="25"/>
  <c r="AW22" i="37"/>
  <c r="AW77" i="37" s="1"/>
  <c r="L8" i="37" s="1"/>
  <c r="L22" i="37" s="1"/>
  <c r="AY22" i="25"/>
  <c r="AY77" i="25" s="1"/>
  <c r="BL22" i="25"/>
  <c r="BL77" i="25" s="1"/>
  <c r="BP22" i="37"/>
  <c r="BP77" i="37" s="1"/>
  <c r="M11" i="37" s="1"/>
  <c r="M24" i="37" s="1"/>
  <c r="AG23" i="26"/>
  <c r="AG27" i="26" s="1"/>
  <c r="CR77" i="25"/>
  <c r="AG7" i="26"/>
  <c r="AG15" i="26" s="1"/>
  <c r="F7" i="26"/>
  <c r="F15" i="26" s="1"/>
  <c r="F23" i="26"/>
  <c r="U77" i="25"/>
  <c r="F17" i="26"/>
  <c r="DC22" i="31"/>
  <c r="AS22" i="25"/>
  <c r="AS77" i="25" s="1"/>
  <c r="AE22" i="37"/>
  <c r="AE77" i="37" s="1"/>
  <c r="L5" i="37" s="1"/>
  <c r="L21" i="37" s="1"/>
  <c r="L27" i="37" s="1"/>
  <c r="CM22" i="37"/>
  <c r="CM77" i="37" s="1"/>
  <c r="L15" i="37" s="1"/>
  <c r="L26" i="37" s="1"/>
  <c r="BW22" i="25"/>
  <c r="BW77" i="25" s="1"/>
  <c r="AT22" i="37"/>
  <c r="AT77" i="37" s="1"/>
  <c r="I8" i="37" s="1"/>
  <c r="AV22" i="25"/>
  <c r="AB23" i="26"/>
  <c r="CJ77" i="25"/>
  <c r="AB7" i="26"/>
  <c r="AB17" i="26"/>
  <c r="AC22" i="37"/>
  <c r="AC77" i="37" s="1"/>
  <c r="J5" i="37" s="1"/>
  <c r="J21" i="37" s="1"/>
  <c r="J27" i="37" s="1"/>
  <c r="AQ22" i="25"/>
  <c r="AQ77" i="25" s="1"/>
  <c r="CG22" i="37"/>
  <c r="CG77" i="37" s="1"/>
  <c r="L14" i="37" s="1"/>
  <c r="L25" i="37" s="1"/>
  <c r="BQ22" i="25"/>
  <c r="BQ77" i="25" s="1"/>
  <c r="BD22" i="37"/>
  <c r="BD77" i="37" s="1"/>
  <c r="M9" i="37" s="1"/>
  <c r="M23" i="37" s="1"/>
  <c r="BF22" i="25"/>
  <c r="BF77" i="25" s="1"/>
  <c r="BC22" i="25"/>
  <c r="BC77" i="25" s="1"/>
  <c r="BA22" i="37"/>
  <c r="BA77" i="37" s="1"/>
  <c r="J9" i="37" s="1"/>
  <c r="BJ22" i="25"/>
  <c r="BJ77" i="25" s="1"/>
  <c r="BN22" i="37"/>
  <c r="BN77" i="37" s="1"/>
  <c r="K11" i="37" s="1"/>
  <c r="K24" i="37" s="1"/>
  <c r="CH22" i="37"/>
  <c r="CH77" i="37" s="1"/>
  <c r="M14" i="37" s="1"/>
  <c r="M25" i="37" s="1"/>
  <c r="BR22" i="25"/>
  <c r="BR77" i="25" s="1"/>
  <c r="I7" i="26"/>
  <c r="F7" i="35" s="1"/>
  <c r="F15" i="35" s="1"/>
  <c r="I23" i="26"/>
  <c r="AH77" i="25"/>
  <c r="I17" i="26"/>
  <c r="L7" i="26"/>
  <c r="L23" i="26"/>
  <c r="AK77" i="25"/>
  <c r="L17" i="26"/>
  <c r="AI17" i="26"/>
  <c r="AD22" i="37"/>
  <c r="AD77" i="37" s="1"/>
  <c r="K5" i="37" s="1"/>
  <c r="K21" i="37" s="1"/>
  <c r="K27" i="37" s="1"/>
  <c r="AR22" i="25"/>
  <c r="AR77" i="25" s="1"/>
  <c r="AW22" i="25"/>
  <c r="AW77" i="25" s="1"/>
  <c r="AU22" i="37"/>
  <c r="AU77" i="37" s="1"/>
  <c r="J8" i="37" s="1"/>
  <c r="J22" i="37" s="1"/>
  <c r="AX22" i="37"/>
  <c r="AX77" i="37" s="1"/>
  <c r="M8" i="37" s="1"/>
  <c r="M22" i="37" s="1"/>
  <c r="AZ22" i="25"/>
  <c r="AZ77" i="25" s="1"/>
  <c r="BK22" i="25"/>
  <c r="BK77" i="25" s="1"/>
  <c r="BO22" i="37"/>
  <c r="BO77" i="37" s="1"/>
  <c r="L11" i="37" s="1"/>
  <c r="L24" i="37" s="1"/>
  <c r="BS22" i="25"/>
  <c r="BS77" i="25" s="1"/>
  <c r="CI22" i="37"/>
  <c r="CI77" i="37" s="1"/>
  <c r="N14" i="37" s="1"/>
  <c r="N25" i="37" s="1"/>
  <c r="AQ23" i="26"/>
  <c r="DI77" i="25"/>
  <c r="AQ17" i="26"/>
  <c r="AQ7" i="26"/>
  <c r="AQ15" i="26" s="1"/>
  <c r="BG22" i="25"/>
  <c r="BG77" i="25" s="1"/>
  <c r="BE22" i="37"/>
  <c r="BE77" i="37" s="1"/>
  <c r="N9" i="37" s="1"/>
  <c r="N23" i="37" s="1"/>
  <c r="H7" i="26"/>
  <c r="H15" i="26" s="1"/>
  <c r="AI7" i="26"/>
  <c r="AI15" i="26" s="1"/>
  <c r="AF23" i="26"/>
  <c r="CP77" i="25"/>
  <c r="BO22" i="25"/>
  <c r="BO77" i="25" s="1"/>
  <c r="CE22" i="37"/>
  <c r="CE77" i="37" s="1"/>
  <c r="J14" i="37" s="1"/>
  <c r="J25" i="37" s="1"/>
  <c r="CK22" i="37"/>
  <c r="CK77" i="37" s="1"/>
  <c r="J15" i="37" s="1"/>
  <c r="J26" i="37" s="1"/>
  <c r="BU22" i="25"/>
  <c r="BU77" i="25" s="1"/>
  <c r="CO77" i="25"/>
  <c r="AE23" i="26"/>
  <c r="BP22" i="25"/>
  <c r="BP77" i="25" s="1"/>
  <c r="CF22" i="37"/>
  <c r="CF77" i="37" s="1"/>
  <c r="K14" i="37" s="1"/>
  <c r="K25" i="37" s="1"/>
  <c r="BB22" i="37"/>
  <c r="BB77" i="37" s="1"/>
  <c r="K9" i="37" s="1"/>
  <c r="K23" i="37" s="1"/>
  <c r="BD22" i="25"/>
  <c r="BD77" i="25" s="1"/>
  <c r="AD23" i="26"/>
  <c r="CN77" i="25"/>
  <c r="W7" i="26"/>
  <c r="W23" i="26"/>
  <c r="CK77" i="25"/>
  <c r="W17" i="26"/>
  <c r="Z7" i="26"/>
  <c r="Z15" i="26" s="1"/>
  <c r="Z23" i="26"/>
  <c r="Z17" i="26"/>
  <c r="CH77" i="25"/>
  <c r="H23" i="26"/>
  <c r="K23" i="26"/>
  <c r="K7" i="26"/>
  <c r="AJ77" i="25"/>
  <c r="K17" i="26"/>
  <c r="AA17" i="26"/>
  <c r="AA23" i="26"/>
  <c r="CI77" i="25"/>
  <c r="AA7" i="26"/>
  <c r="AA15" i="26" s="1"/>
  <c r="BC22" i="37"/>
  <c r="BC77" i="37" s="1"/>
  <c r="L9" i="37" s="1"/>
  <c r="L23" i="37" s="1"/>
  <c r="BE22" i="25"/>
  <c r="BE77" i="25" s="1"/>
  <c r="AP23" i="26"/>
  <c r="AP17" i="26"/>
  <c r="AP7" i="26"/>
  <c r="AP15" i="26" s="1"/>
  <c r="DH77" i="25"/>
  <c r="AV22" i="37"/>
  <c r="AV77" i="37" s="1"/>
  <c r="K8" i="37" s="1"/>
  <c r="K22" i="37" s="1"/>
  <c r="AX22" i="25"/>
  <c r="AX77" i="25" s="1"/>
  <c r="AF22" i="37"/>
  <c r="AF77" i="37" s="1"/>
  <c r="M5" i="37" s="1"/>
  <c r="M21" i="37" s="1"/>
  <c r="M27" i="37" s="1"/>
  <c r="AT22" i="25"/>
  <c r="AT77" i="25" s="1"/>
  <c r="AJ17" i="26"/>
  <c r="AJ23" i="26"/>
  <c r="AJ7" i="26"/>
  <c r="AJ15" i="26" s="1"/>
  <c r="DB77" i="25"/>
  <c r="AL7" i="26"/>
  <c r="AL15" i="26" s="1"/>
  <c r="AL23" i="26"/>
  <c r="AL17" i="26"/>
  <c r="DD77" i="25"/>
  <c r="CJ22" i="37"/>
  <c r="CJ77" i="37" s="1"/>
  <c r="I15" i="37" s="1"/>
  <c r="BT22" i="25"/>
  <c r="Y7" i="26"/>
  <c r="Y23" i="26"/>
  <c r="CG77" i="25"/>
  <c r="Y17" i="26"/>
  <c r="F23" i="35"/>
  <c r="F31" i="35" s="1"/>
  <c r="G23" i="35"/>
  <c r="G31" i="35" s="1"/>
  <c r="CL77" i="25"/>
  <c r="X7" i="26"/>
  <c r="X15" i="26" s="1"/>
  <c r="X17" i="26"/>
  <c r="AG22" i="37"/>
  <c r="AG77" i="37" s="1"/>
  <c r="N5" i="37" s="1"/>
  <c r="N21" i="37" s="1"/>
  <c r="N27" i="37" s="1"/>
  <c r="AU22" i="25"/>
  <c r="AU77" i="25" s="1"/>
  <c r="BM22" i="25"/>
  <c r="BM77" i="25" s="1"/>
  <c r="BQ22" i="37"/>
  <c r="BQ77" i="37" s="1"/>
  <c r="N11" i="37" s="1"/>
  <c r="N24" i="37" s="1"/>
  <c r="AO23" i="26"/>
  <c r="AO7" i="26"/>
  <c r="AO15" i="26" s="1"/>
  <c r="DG77" i="25"/>
  <c r="AO17" i="26"/>
  <c r="G23" i="26"/>
  <c r="G7" i="26"/>
  <c r="G15" i="26" s="1"/>
  <c r="G17" i="26"/>
  <c r="Y77" i="25"/>
  <c r="J23" i="26"/>
  <c r="J7" i="26"/>
  <c r="J17" i="26"/>
  <c r="AI77" i="25"/>
  <c r="CD22" i="37"/>
  <c r="CD77" i="37" s="1"/>
  <c r="I14" i="37" s="1"/>
  <c r="BN22" i="25"/>
  <c r="BV22" i="25"/>
  <c r="BV77" i="25" s="1"/>
  <c r="CL22" i="37"/>
  <c r="CL77" i="37" s="1"/>
  <c r="K15" i="37" s="1"/>
  <c r="K26" i="37" s="1"/>
  <c r="CN22" i="37"/>
  <c r="CN77" i="37" s="1"/>
  <c r="M15" i="37" s="1"/>
  <c r="M26" i="37" s="1"/>
  <c r="BX22" i="25"/>
  <c r="BX77" i="25" s="1"/>
  <c r="BY22" i="25"/>
  <c r="BY77" i="25" s="1"/>
  <c r="CO22" i="37"/>
  <c r="CO77" i="37" s="1"/>
  <c r="N15" i="37" s="1"/>
  <c r="N26" i="37" s="1"/>
  <c r="C7" i="26"/>
  <c r="C23" i="26"/>
  <c r="C17" i="26"/>
  <c r="L77" i="25"/>
  <c r="AR7" i="26"/>
  <c r="AR15" i="26" s="1"/>
  <c r="AR23" i="26"/>
  <c r="AR17" i="26"/>
  <c r="DJ77" i="25"/>
  <c r="BL22" i="37"/>
  <c r="BL77" i="37" s="1"/>
  <c r="I11" i="37" s="1"/>
  <c r="BH22" i="25"/>
  <c r="DC77" i="25"/>
  <c r="AK7" i="26"/>
  <c r="AK15" i="26" s="1"/>
  <c r="AK23" i="26"/>
  <c r="AK17" i="26"/>
  <c r="D23" i="26"/>
  <c r="P77" i="25"/>
  <c r="D17" i="26"/>
  <c r="D7" i="26"/>
  <c r="AC23" i="26"/>
  <c r="CM77" i="25"/>
  <c r="BA22" i="25"/>
  <c r="BA77" i="25" s="1"/>
  <c r="AY22" i="37"/>
  <c r="AY77" i="37" s="1"/>
  <c r="N8" i="37" s="1"/>
  <c r="N22" i="37" s="1"/>
  <c r="E7" i="26"/>
  <c r="E15" i="26" s="1"/>
  <c r="E23" i="26"/>
  <c r="E17" i="26"/>
  <c r="Q77" i="25"/>
  <c r="AB22" i="37"/>
  <c r="AB77" i="37" s="1"/>
  <c r="I5" i="37" s="1"/>
  <c r="AP22" i="25"/>
  <c r="AG17" i="26" l="1"/>
  <c r="AH7" i="26"/>
  <c r="AH15" i="26" s="1"/>
  <c r="AH23" i="26"/>
  <c r="AH17" i="26"/>
  <c r="AG19" i="26" s="1"/>
  <c r="CV77" i="25"/>
  <c r="D12" i="42"/>
  <c r="E12" i="42" s="1"/>
  <c r="D29" i="42"/>
  <c r="E29" i="42" s="1"/>
  <c r="F29" i="42" s="1"/>
  <c r="AM18" i="26"/>
  <c r="D27" i="42"/>
  <c r="E27" i="42" s="1"/>
  <c r="F27" i="42" s="1"/>
  <c r="D31" i="42"/>
  <c r="E31" i="42" s="1"/>
  <c r="F31" i="42" s="1"/>
  <c r="D32" i="42"/>
  <c r="E32" i="42" s="1"/>
  <c r="F32" i="42" s="1"/>
  <c r="D26" i="42"/>
  <c r="E26" i="42" s="1"/>
  <c r="D14" i="42"/>
  <c r="E14" i="42" s="1"/>
  <c r="F14" i="42" s="1"/>
  <c r="D15" i="42"/>
  <c r="E15" i="42" s="1"/>
  <c r="F15" i="42" s="1"/>
  <c r="D13" i="42"/>
  <c r="E13" i="42" s="1"/>
  <c r="F13" i="42" s="1"/>
  <c r="D7" i="42"/>
  <c r="M18" i="26"/>
  <c r="D28" i="42"/>
  <c r="E28" i="42" s="1"/>
  <c r="F28" i="42" s="1"/>
  <c r="AN34" i="40"/>
  <c r="Y19" i="41"/>
  <c r="Y22" i="41" s="1"/>
  <c r="Y34" i="41"/>
  <c r="AC34" i="41" s="1"/>
  <c r="AC37" i="41" s="1"/>
  <c r="AG18" i="26"/>
  <c r="K33" i="40"/>
  <c r="K34" i="40"/>
  <c r="AN33" i="40"/>
  <c r="W33" i="40"/>
  <c r="M7" i="35"/>
  <c r="M15" i="35" s="1"/>
  <c r="L7" i="35"/>
  <c r="L15" i="35" s="1"/>
  <c r="L15" i="26"/>
  <c r="Y7" i="35"/>
  <c r="Y15" i="35" s="1"/>
  <c r="Z7" i="35"/>
  <c r="K15" i="26"/>
  <c r="R7" i="35"/>
  <c r="R15" i="35" s="1"/>
  <c r="S7" i="35"/>
  <c r="J15" i="26"/>
  <c r="G7" i="35"/>
  <c r="G15" i="35" s="1"/>
  <c r="M23" i="35"/>
  <c r="M31" i="35" s="1"/>
  <c r="L23" i="35"/>
  <c r="L31" i="35" s="1"/>
  <c r="U23" i="26"/>
  <c r="U27" i="26" s="1"/>
  <c r="X39" i="34"/>
  <c r="X47" i="34" s="1"/>
  <c r="V15" i="26"/>
  <c r="V18" i="26" s="1"/>
  <c r="N18" i="26"/>
  <c r="AQ18" i="26"/>
  <c r="H18" i="26"/>
  <c r="AN22" i="25"/>
  <c r="DL22" i="25" s="1"/>
  <c r="AI18" i="26"/>
  <c r="X18" i="26"/>
  <c r="AO18" i="26"/>
  <c r="AA18" i="26"/>
  <c r="AP18" i="26"/>
  <c r="K27" i="26"/>
  <c r="W27" i="26"/>
  <c r="AB15" i="26"/>
  <c r="K7" i="36"/>
  <c r="K15" i="36" s="1"/>
  <c r="AR27" i="26"/>
  <c r="T7" i="26"/>
  <c r="T23" i="26"/>
  <c r="BN77" i="25"/>
  <c r="T17" i="26"/>
  <c r="AR18" i="26"/>
  <c r="I25" i="37"/>
  <c r="O14" i="37"/>
  <c r="O25" i="37" s="1"/>
  <c r="AL27" i="26"/>
  <c r="H27" i="26"/>
  <c r="W15" i="26"/>
  <c r="W18" i="26" s="1"/>
  <c r="S15" i="36"/>
  <c r="F23" i="36"/>
  <c r="F31" i="36" s="1"/>
  <c r="I27" i="26"/>
  <c r="R17" i="26"/>
  <c r="F27" i="26"/>
  <c r="D27" i="26"/>
  <c r="I21" i="37"/>
  <c r="I27" i="37" s="1"/>
  <c r="O5" i="37"/>
  <c r="O21" i="37" s="1"/>
  <c r="O27" i="37" s="1"/>
  <c r="AC27" i="26"/>
  <c r="AK27" i="26"/>
  <c r="G27" i="26"/>
  <c r="AK18" i="26"/>
  <c r="AL18" i="26"/>
  <c r="AE27" i="26"/>
  <c r="AH27" i="26"/>
  <c r="I15" i="26"/>
  <c r="AB27" i="26"/>
  <c r="R7" i="26"/>
  <c r="F18" i="26"/>
  <c r="C15" i="26"/>
  <c r="W7" i="36"/>
  <c r="W15" i="36" s="1"/>
  <c r="AC15" i="26"/>
  <c r="AC18" i="26" s="1"/>
  <c r="Y27" i="26"/>
  <c r="AA27" i="26"/>
  <c r="AD27" i="26"/>
  <c r="Q23" i="26"/>
  <c r="Q7" i="26"/>
  <c r="Q17" i="26"/>
  <c r="AV77" i="25"/>
  <c r="AN18" i="26"/>
  <c r="P23" i="26"/>
  <c r="P7" i="26"/>
  <c r="AP77" i="25"/>
  <c r="P17" i="26"/>
  <c r="G18" i="26"/>
  <c r="E27" i="26"/>
  <c r="D10" i="38"/>
  <c r="D15" i="26"/>
  <c r="S23" i="26"/>
  <c r="S7" i="26"/>
  <c r="BH77" i="25"/>
  <c r="S17" i="26"/>
  <c r="Y15" i="26"/>
  <c r="Y18" i="26" s="1"/>
  <c r="O7" i="36"/>
  <c r="O15" i="36" s="1"/>
  <c r="AJ18" i="26"/>
  <c r="Z27" i="26"/>
  <c r="AA23" i="36"/>
  <c r="AA31" i="36" s="1"/>
  <c r="O23" i="36"/>
  <c r="O31" i="36" s="1"/>
  <c r="AE18" i="26"/>
  <c r="AF27" i="26"/>
  <c r="I22" i="37"/>
  <c r="O8" i="37"/>
  <c r="O22" i="37" s="1"/>
  <c r="R23" i="26"/>
  <c r="E18" i="26"/>
  <c r="I24" i="37"/>
  <c r="O11" i="37"/>
  <c r="O24" i="37" s="1"/>
  <c r="J27" i="26"/>
  <c r="AO27" i="26"/>
  <c r="U7" i="26"/>
  <c r="U17" i="26"/>
  <c r="BT77" i="25"/>
  <c r="AJ27" i="26"/>
  <c r="Z18" i="26"/>
  <c r="AD18" i="26"/>
  <c r="K23" i="36"/>
  <c r="K31" i="36" s="1"/>
  <c r="W23" i="36"/>
  <c r="W31" i="36" s="1"/>
  <c r="AF15" i="26"/>
  <c r="AF18" i="26" s="1"/>
  <c r="L27" i="26"/>
  <c r="AN27" i="26"/>
  <c r="C27" i="26"/>
  <c r="I26" i="37"/>
  <c r="O15" i="37"/>
  <c r="O26" i="37" s="1"/>
  <c r="AP27" i="26"/>
  <c r="AQ27" i="26"/>
  <c r="J23" i="37"/>
  <c r="O9" i="37"/>
  <c r="O23" i="37" s="1"/>
  <c r="S15" i="26" l="1"/>
  <c r="R23" i="34"/>
  <c r="R31" i="34" s="1"/>
  <c r="AH18" i="26"/>
  <c r="D8" i="42"/>
  <c r="E8" i="42" s="1"/>
  <c r="F8" i="42" s="1"/>
  <c r="D20" i="42"/>
  <c r="E20" i="42" s="1"/>
  <c r="F20" i="42" s="1"/>
  <c r="D19" i="42"/>
  <c r="E19" i="42" s="1"/>
  <c r="F19" i="42" s="1"/>
  <c r="D18" i="42"/>
  <c r="D23" i="42"/>
  <c r="E23" i="42" s="1"/>
  <c r="F23" i="42" s="1"/>
  <c r="D22" i="42"/>
  <c r="E22" i="42" s="1"/>
  <c r="F22" i="42" s="1"/>
  <c r="D21" i="42"/>
  <c r="E21" i="42" s="1"/>
  <c r="F21" i="42" s="1"/>
  <c r="O14" i="41"/>
  <c r="AC19" i="41"/>
  <c r="AC22" i="41" s="1"/>
  <c r="F26" i="42"/>
  <c r="F12" i="42"/>
  <c r="E16" i="42"/>
  <c r="F16" i="42" s="1"/>
  <c r="AA60" i="40"/>
  <c r="AB60" i="40" s="1"/>
  <c r="AD60" i="40" s="1"/>
  <c r="D16" i="42"/>
  <c r="E7" i="42"/>
  <c r="O60" i="41"/>
  <c r="O54" i="41"/>
  <c r="M50" i="41"/>
  <c r="O50" i="41"/>
  <c r="R50" i="41" s="1"/>
  <c r="O52" i="41"/>
  <c r="O48" i="41"/>
  <c r="O42" i="41"/>
  <c r="AN32" i="40"/>
  <c r="Y26" i="41"/>
  <c r="Y29" i="41" s="1"/>
  <c r="L18" i="26"/>
  <c r="O8" i="40"/>
  <c r="K32" i="40"/>
  <c r="W34" i="40"/>
  <c r="W32" i="40"/>
  <c r="AN23" i="40"/>
  <c r="T15" i="26"/>
  <c r="F39" i="34"/>
  <c r="F47" i="34" s="1"/>
  <c r="P15" i="26"/>
  <c r="F7" i="34"/>
  <c r="F15" i="34" s="1"/>
  <c r="G7" i="34"/>
  <c r="G15" i="34" s="1"/>
  <c r="AB18" i="26"/>
  <c r="K18" i="26"/>
  <c r="J18" i="26"/>
  <c r="I18" i="26"/>
  <c r="DN22" i="25"/>
  <c r="DL77" i="25"/>
  <c r="O7" i="26"/>
  <c r="AU7" i="26" s="1"/>
  <c r="O17" i="26"/>
  <c r="O23" i="26"/>
  <c r="AN77" i="25"/>
  <c r="Q27" i="26"/>
  <c r="S27" i="26"/>
  <c r="R27" i="26"/>
  <c r="D18" i="26"/>
  <c r="D18" i="38"/>
  <c r="P27" i="26"/>
  <c r="U15" i="26"/>
  <c r="R39" i="34"/>
  <c r="R47" i="34" s="1"/>
  <c r="S39" i="34"/>
  <c r="S47" i="34" s="1"/>
  <c r="S18" i="26"/>
  <c r="C18" i="26"/>
  <c r="M23" i="34"/>
  <c r="M31" i="34" s="1"/>
  <c r="L23" i="34"/>
  <c r="L31" i="34" s="1"/>
  <c r="R15" i="26"/>
  <c r="T27" i="26"/>
  <c r="S23" i="36"/>
  <c r="S31" i="36" s="1"/>
  <c r="Q15" i="26"/>
  <c r="G23" i="34"/>
  <c r="G31" i="34" s="1"/>
  <c r="F23" i="34"/>
  <c r="F31" i="34" s="1"/>
  <c r="CT16" i="31"/>
  <c r="CT31" i="31" s="1"/>
  <c r="CT46" i="31" s="1"/>
  <c r="CT61" i="31" s="1"/>
  <c r="CU16" i="31"/>
  <c r="CU31" i="31" s="1"/>
  <c r="CU46" i="31" s="1"/>
  <c r="CU61" i="31" s="1"/>
  <c r="CV16" i="31"/>
  <c r="CV31" i="31" s="1"/>
  <c r="CV46" i="31" s="1"/>
  <c r="CV61" i="31" s="1"/>
  <c r="CW16" i="31"/>
  <c r="CW31" i="31" s="1"/>
  <c r="CW46" i="31" s="1"/>
  <c r="CW61" i="31" s="1"/>
  <c r="CX16" i="31"/>
  <c r="CX31" i="31" s="1"/>
  <c r="CX46" i="31" s="1"/>
  <c r="CX61" i="31" s="1"/>
  <c r="CY16" i="31"/>
  <c r="CY31" i="31" s="1"/>
  <c r="CY46" i="31" s="1"/>
  <c r="CY61" i="31" s="1"/>
  <c r="CZ16" i="31"/>
  <c r="CZ31" i="31" s="1"/>
  <c r="CZ46" i="31" s="1"/>
  <c r="CZ61" i="31" s="1"/>
  <c r="DA16" i="31"/>
  <c r="DA31" i="31" s="1"/>
  <c r="DA46" i="31" s="1"/>
  <c r="DA61" i="31" s="1"/>
  <c r="D9" i="42" l="1"/>
  <c r="D24" i="42"/>
  <c r="E18" i="42"/>
  <c r="E24" i="42" s="1"/>
  <c r="F24" i="42" s="1"/>
  <c r="D30" i="42"/>
  <c r="E30" i="42" s="1"/>
  <c r="O62" i="41"/>
  <c r="F7" i="42"/>
  <c r="E9" i="42"/>
  <c r="F9" i="42" s="1"/>
  <c r="O58" i="41"/>
  <c r="T50" i="41"/>
  <c r="O56" i="41"/>
  <c r="AA48" i="40"/>
  <c r="AB48" i="40" s="1"/>
  <c r="AD48" i="40" s="1"/>
  <c r="O45" i="41"/>
  <c r="AC26" i="41"/>
  <c r="AC29" i="41" s="1"/>
  <c r="AA23" i="40"/>
  <c r="AN22" i="40"/>
  <c r="W31" i="40"/>
  <c r="T18" i="26"/>
  <c r="U18" i="26"/>
  <c r="Q18" i="26"/>
  <c r="R18" i="26"/>
  <c r="P18" i="26"/>
  <c r="K62" i="40"/>
  <c r="L62" i="40"/>
  <c r="N62" i="40" s="1"/>
  <c r="O13" i="41"/>
  <c r="O15" i="41" s="1"/>
  <c r="J15" i="41"/>
  <c r="AN14" i="40"/>
  <c r="P8" i="40"/>
  <c r="R8" i="40" s="1"/>
  <c r="AI8" i="40" s="1"/>
  <c r="AK8" i="40" s="1"/>
  <c r="AA56" i="40"/>
  <c r="AB56" i="40" s="1"/>
  <c r="AD56" i="40" s="1"/>
  <c r="AA52" i="40"/>
  <c r="AB52" i="40" s="1"/>
  <c r="AD52" i="40" s="1"/>
  <c r="AN31" i="40"/>
  <c r="O21" i="40"/>
  <c r="P21" i="40" s="1"/>
  <c r="R21" i="40" s="1"/>
  <c r="AI21" i="40" s="1"/>
  <c r="O33" i="40"/>
  <c r="P33" i="40" s="1"/>
  <c r="R33" i="40" s="1"/>
  <c r="AI33" i="40" s="1"/>
  <c r="AA33" i="40"/>
  <c r="AB33" i="40" s="1"/>
  <c r="AD33" i="40" s="1"/>
  <c r="AO33" i="40" s="1"/>
  <c r="AQ33" i="40" s="1"/>
  <c r="O32" i="40"/>
  <c r="P32" i="40" s="1"/>
  <c r="R32" i="40" s="1"/>
  <c r="AI32" i="40" s="1"/>
  <c r="W23" i="40"/>
  <c r="W22" i="40"/>
  <c r="AN24" i="40"/>
  <c r="W21" i="40"/>
  <c r="AN21" i="40"/>
  <c r="DL78" i="25"/>
  <c r="O27" i="26"/>
  <c r="AS23" i="26"/>
  <c r="AU23" i="26" s="1"/>
  <c r="O15" i="26"/>
  <c r="R23" i="35"/>
  <c r="R31" i="35" s="1"/>
  <c r="S23" i="35"/>
  <c r="S31" i="35" s="1"/>
  <c r="F18" i="42" l="1"/>
  <c r="D33" i="42"/>
  <c r="F30" i="42"/>
  <c r="E33" i="42"/>
  <c r="F33" i="42" s="1"/>
  <c r="AA50" i="40"/>
  <c r="AB50" i="40" s="1"/>
  <c r="AD50" i="40" s="1"/>
  <c r="AA46" i="40"/>
  <c r="AB46" i="40" s="1"/>
  <c r="AD46" i="40" s="1"/>
  <c r="AA40" i="40"/>
  <c r="AB40" i="40" s="1"/>
  <c r="AD40" i="40" s="1"/>
  <c r="AA22" i="40"/>
  <c r="AB22" i="40" s="1"/>
  <c r="AB24" i="40"/>
  <c r="AB25" i="40"/>
  <c r="O20" i="41"/>
  <c r="W14" i="40"/>
  <c r="W25" i="40"/>
  <c r="AN25" i="40"/>
  <c r="AN27" i="40" s="1"/>
  <c r="AP24" i="40" s="1"/>
  <c r="AN47" i="40"/>
  <c r="AN48" i="40" s="1"/>
  <c r="AK21" i="40"/>
  <c r="AK32" i="40"/>
  <c r="AK33" i="40"/>
  <c r="O25" i="40"/>
  <c r="P25" i="40" s="1"/>
  <c r="R25" i="40" s="1"/>
  <c r="O7" i="40"/>
  <c r="AA7" i="40"/>
  <c r="AB7" i="40" s="1"/>
  <c r="AD7" i="40" s="1"/>
  <c r="AO7" i="40" s="1"/>
  <c r="P34" i="40"/>
  <c r="R34" i="40" s="1"/>
  <c r="AI34" i="40" s="1"/>
  <c r="R35" i="40"/>
  <c r="AI35" i="40" s="1"/>
  <c r="AB23" i="40"/>
  <c r="Y27" i="40"/>
  <c r="AS15" i="26"/>
  <c r="AS27" i="26"/>
  <c r="O36" i="26" s="1"/>
  <c r="O49" i="26" s="1"/>
  <c r="R38" i="35"/>
  <c r="R46" i="35" s="1"/>
  <c r="O18" i="26"/>
  <c r="AU15" i="26"/>
  <c r="W31" i="26"/>
  <c r="W44" i="26" s="1"/>
  <c r="W54" i="26" s="1"/>
  <c r="AC31" i="26"/>
  <c r="AC44" i="26" s="1"/>
  <c r="AC54" i="26" s="1"/>
  <c r="AF31" i="26"/>
  <c r="AF44" i="26" s="1"/>
  <c r="AF54" i="26" s="1"/>
  <c r="AM31" i="26"/>
  <c r="AM44" i="26" s="1"/>
  <c r="AM54" i="26" s="1"/>
  <c r="T31" i="26"/>
  <c r="T44" i="26" s="1"/>
  <c r="T54" i="26" s="1"/>
  <c r="K31" i="26"/>
  <c r="K44" i="26" s="1"/>
  <c r="K54" i="26" s="1"/>
  <c r="Y31" i="26"/>
  <c r="Y44" i="26" s="1"/>
  <c r="Y54" i="26" s="1"/>
  <c r="E31" i="26"/>
  <c r="E44" i="26" s="1"/>
  <c r="E54" i="26" s="1"/>
  <c r="AH31" i="26"/>
  <c r="AH44" i="26" s="1"/>
  <c r="AH54" i="26" s="1"/>
  <c r="Q31" i="26"/>
  <c r="Q44" i="26" s="1"/>
  <c r="Q54" i="26" s="1"/>
  <c r="I31" i="26"/>
  <c r="I44" i="26" s="1"/>
  <c r="I54" i="26" s="1"/>
  <c r="L31" i="26"/>
  <c r="L44" i="26" s="1"/>
  <c r="L54" i="26" s="1"/>
  <c r="V31" i="26"/>
  <c r="V44" i="26" s="1"/>
  <c r="V54" i="26" s="1"/>
  <c r="Z31" i="26"/>
  <c r="Z44" i="26" s="1"/>
  <c r="Z54" i="26" s="1"/>
  <c r="C31" i="26"/>
  <c r="X31" i="26"/>
  <c r="X44" i="26" s="1"/>
  <c r="X54" i="26" s="1"/>
  <c r="D31" i="26"/>
  <c r="D44" i="26" s="1"/>
  <c r="D54" i="26" s="1"/>
  <c r="U31" i="26"/>
  <c r="U44" i="26" s="1"/>
  <c r="U54" i="26" s="1"/>
  <c r="AI31" i="26"/>
  <c r="AI44" i="26" s="1"/>
  <c r="AI54" i="26" s="1"/>
  <c r="AN31" i="26"/>
  <c r="AN44" i="26" s="1"/>
  <c r="AN54" i="26" s="1"/>
  <c r="AP31" i="26"/>
  <c r="AP44" i="26" s="1"/>
  <c r="AP54" i="26" s="1"/>
  <c r="AP60" i="26" s="1"/>
  <c r="AR31" i="26"/>
  <c r="AR44" i="26" s="1"/>
  <c r="AR54" i="26" s="1"/>
  <c r="AJ31" i="26"/>
  <c r="AJ44" i="26" s="1"/>
  <c r="AJ54" i="26" s="1"/>
  <c r="AA31" i="26"/>
  <c r="AA44" i="26" s="1"/>
  <c r="AA54" i="26" s="1"/>
  <c r="O31" i="26"/>
  <c r="O44" i="26" s="1"/>
  <c r="O54" i="26" s="1"/>
  <c r="AQ31" i="26"/>
  <c r="AQ44" i="26" s="1"/>
  <c r="AQ54" i="26" s="1"/>
  <c r="AE31" i="26"/>
  <c r="AE44" i="26" s="1"/>
  <c r="AE54" i="26" s="1"/>
  <c r="AL31" i="26"/>
  <c r="AL44" i="26" s="1"/>
  <c r="AL54" i="26" s="1"/>
  <c r="H31" i="26"/>
  <c r="H44" i="26" s="1"/>
  <c r="H54" i="26" s="1"/>
  <c r="S31" i="26"/>
  <c r="S44" i="26" s="1"/>
  <c r="S54" i="26" s="1"/>
  <c r="P31" i="26"/>
  <c r="P44" i="26" s="1"/>
  <c r="P54" i="26" s="1"/>
  <c r="AO31" i="26"/>
  <c r="AO44" i="26" s="1"/>
  <c r="AO54" i="26" s="1"/>
  <c r="F31" i="26"/>
  <c r="F44" i="26" s="1"/>
  <c r="F54" i="26" s="1"/>
  <c r="AK31" i="26"/>
  <c r="AK44" i="26" s="1"/>
  <c r="AK54" i="26" s="1"/>
  <c r="N31" i="26"/>
  <c r="N44" i="26" s="1"/>
  <c r="N54" i="26" s="1"/>
  <c r="R31" i="26"/>
  <c r="R44" i="26" s="1"/>
  <c r="R54" i="26" s="1"/>
  <c r="G31" i="26"/>
  <c r="G44" i="26" s="1"/>
  <c r="G54" i="26" s="1"/>
  <c r="AG31" i="26"/>
  <c r="AG44" i="26" s="1"/>
  <c r="AG54" i="26" s="1"/>
  <c r="M31" i="26"/>
  <c r="M44" i="26" s="1"/>
  <c r="M54" i="26" s="1"/>
  <c r="AD31" i="26"/>
  <c r="AD44" i="26" s="1"/>
  <c r="AD54" i="26" s="1"/>
  <c r="AB31" i="26"/>
  <c r="AB44" i="26" s="1"/>
  <c r="AB54" i="26" s="1"/>
  <c r="J31" i="26"/>
  <c r="J44" i="26" s="1"/>
  <c r="J54" i="26" s="1"/>
  <c r="AA21" i="40" l="1"/>
  <c r="AB21" i="40" s="1"/>
  <c r="AD21" i="40" s="1"/>
  <c r="AO21" i="40" s="1"/>
  <c r="AA31" i="40"/>
  <c r="AB31" i="40" s="1"/>
  <c r="AD31" i="40" s="1"/>
  <c r="AA43" i="40"/>
  <c r="AB43" i="40" s="1"/>
  <c r="AD43" i="40" s="1"/>
  <c r="AD23" i="40"/>
  <c r="AO23" i="40" s="1"/>
  <c r="AQ23" i="40" s="1"/>
  <c r="AA25" i="40"/>
  <c r="AA32" i="40"/>
  <c r="AB32" i="40" s="1"/>
  <c r="AD32" i="40" s="1"/>
  <c r="AO32" i="40" s="1"/>
  <c r="AQ32" i="40" s="1"/>
  <c r="F34" i="41"/>
  <c r="F62" i="41"/>
  <c r="V62" i="41" s="1"/>
  <c r="F26" i="41"/>
  <c r="F37" i="41"/>
  <c r="F19" i="41"/>
  <c r="F14" i="41"/>
  <c r="V14" i="41" s="1"/>
  <c r="F54" i="41"/>
  <c r="V54" i="41" s="1"/>
  <c r="F30" i="41"/>
  <c r="J30" i="41" s="1"/>
  <c r="F21" i="41"/>
  <c r="F52" i="41"/>
  <c r="V52" i="41" s="1"/>
  <c r="F20" i="41"/>
  <c r="V20" i="41" s="1"/>
  <c r="F25" i="41"/>
  <c r="F45" i="41"/>
  <c r="V45" i="41" s="1"/>
  <c r="F13" i="41"/>
  <c r="F28" i="41"/>
  <c r="F58" i="41"/>
  <c r="V58" i="41" s="1"/>
  <c r="F38" i="41"/>
  <c r="J38" i="41" s="1"/>
  <c r="F29" i="41"/>
  <c r="F22" i="41"/>
  <c r="H22" i="41" s="1"/>
  <c r="U22" i="41" s="1"/>
  <c r="F60" i="41"/>
  <c r="V60" i="41" s="1"/>
  <c r="F27" i="41"/>
  <c r="F48" i="41"/>
  <c r="V48" i="41" s="1"/>
  <c r="F56" i="41"/>
  <c r="V56" i="41" s="1"/>
  <c r="F39" i="41"/>
  <c r="J39" i="41" s="1"/>
  <c r="F50" i="41"/>
  <c r="V50" i="41" s="1"/>
  <c r="F35" i="41"/>
  <c r="F36" i="41"/>
  <c r="F42" i="41"/>
  <c r="V42" i="41" s="1"/>
  <c r="F33" i="41"/>
  <c r="P7" i="40"/>
  <c r="R7" i="40" s="1"/>
  <c r="AP25" i="40"/>
  <c r="AP22" i="40"/>
  <c r="AQ7" i="40"/>
  <c r="AP26" i="40"/>
  <c r="AP23" i="40"/>
  <c r="AP21" i="40"/>
  <c r="AK34" i="40"/>
  <c r="AK35" i="40"/>
  <c r="R27" i="40"/>
  <c r="AI25" i="40"/>
  <c r="AD25" i="40"/>
  <c r="AO25" i="40" s="1"/>
  <c r="AQ25" i="40" s="1"/>
  <c r="Y62" i="40"/>
  <c r="O31" i="40"/>
  <c r="P31" i="40" s="1"/>
  <c r="R31" i="40" s="1"/>
  <c r="AD24" i="40"/>
  <c r="AO24" i="40" s="1"/>
  <c r="AQ24" i="40" s="1"/>
  <c r="AA24" i="40"/>
  <c r="AD22" i="40"/>
  <c r="AO22" i="40" s="1"/>
  <c r="AQ22" i="40" s="1"/>
  <c r="O35" i="26"/>
  <c r="O48" i="26" s="1"/>
  <c r="O34" i="26"/>
  <c r="O47" i="26" s="1"/>
  <c r="O33" i="26"/>
  <c r="O46" i="26" s="1"/>
  <c r="O39" i="26"/>
  <c r="O52" i="26" s="1"/>
  <c r="O37" i="26"/>
  <c r="O50" i="26" s="1"/>
  <c r="X35" i="26"/>
  <c r="X48" i="26" s="1"/>
  <c r="V37" i="26"/>
  <c r="V50" i="26" s="1"/>
  <c r="X36" i="26"/>
  <c r="X49" i="26" s="1"/>
  <c r="X37" i="26"/>
  <c r="X50" i="26" s="1"/>
  <c r="V39" i="26"/>
  <c r="V52" i="26" s="1"/>
  <c r="V33" i="26"/>
  <c r="V46" i="26" s="1"/>
  <c r="X39" i="26"/>
  <c r="X52" i="26" s="1"/>
  <c r="V34" i="26"/>
  <c r="V47" i="26" s="1"/>
  <c r="X33" i="26"/>
  <c r="X46" i="26" s="1"/>
  <c r="V35" i="26"/>
  <c r="V48" i="26" s="1"/>
  <c r="X34" i="26"/>
  <c r="X47" i="26" s="1"/>
  <c r="V36" i="26"/>
  <c r="V49" i="26" s="1"/>
  <c r="N37" i="26"/>
  <c r="N50" i="26" s="1"/>
  <c r="AM39" i="26"/>
  <c r="AM52" i="26" s="1"/>
  <c r="AG39" i="26"/>
  <c r="AG52" i="26" s="1"/>
  <c r="M39" i="26"/>
  <c r="M52" i="26" s="1"/>
  <c r="N39" i="26"/>
  <c r="N52" i="26" s="1"/>
  <c r="AM33" i="26"/>
  <c r="AM46" i="26" s="1"/>
  <c r="AG33" i="26"/>
  <c r="AG46" i="26" s="1"/>
  <c r="M33" i="26"/>
  <c r="N33" i="26"/>
  <c r="N46" i="26" s="1"/>
  <c r="AM34" i="26"/>
  <c r="AM47" i="26" s="1"/>
  <c r="AI39" i="26"/>
  <c r="AI52" i="26" s="1"/>
  <c r="M34" i="26"/>
  <c r="N34" i="26"/>
  <c r="N47" i="26" s="1"/>
  <c r="AM35" i="26"/>
  <c r="AM48" i="26" s="1"/>
  <c r="AI33" i="26"/>
  <c r="AI46" i="26" s="1"/>
  <c r="M35" i="26"/>
  <c r="N35" i="26"/>
  <c r="N48" i="26" s="1"/>
  <c r="AG34" i="26"/>
  <c r="AG47" i="26" s="1"/>
  <c r="AI34" i="26"/>
  <c r="AI47" i="26" s="1"/>
  <c r="M36" i="26"/>
  <c r="N36" i="26"/>
  <c r="N49" i="26" s="1"/>
  <c r="AG35" i="26"/>
  <c r="AG48" i="26" s="1"/>
  <c r="AI35" i="26"/>
  <c r="AI48" i="26" s="1"/>
  <c r="M37" i="26"/>
  <c r="AM36" i="26"/>
  <c r="AM49" i="26" s="1"/>
  <c r="AG36" i="26"/>
  <c r="AG49" i="26" s="1"/>
  <c r="AI36" i="26"/>
  <c r="AI49" i="26" s="1"/>
  <c r="AM37" i="26"/>
  <c r="AM50" i="26" s="1"/>
  <c r="AG37" i="26"/>
  <c r="AG50" i="26" s="1"/>
  <c r="AI37" i="26"/>
  <c r="AI50" i="26" s="1"/>
  <c r="AK39" i="26"/>
  <c r="AK52" i="26" s="1"/>
  <c r="K34" i="26"/>
  <c r="K47" i="26" s="1"/>
  <c r="AC36" i="26"/>
  <c r="AC49" i="26" s="1"/>
  <c r="C37" i="26"/>
  <c r="AJ34" i="26"/>
  <c r="AJ47" i="26" s="1"/>
  <c r="Z37" i="26"/>
  <c r="AN35" i="26"/>
  <c r="AN48" i="26" s="1"/>
  <c r="AH35" i="26"/>
  <c r="AH48" i="26" s="1"/>
  <c r="H33" i="26"/>
  <c r="H46" i="26" s="1"/>
  <c r="L39" i="26"/>
  <c r="L52" i="26" s="1"/>
  <c r="AE39" i="26"/>
  <c r="AE52" i="26" s="1"/>
  <c r="D36" i="26"/>
  <c r="D49" i="26" s="1"/>
  <c r="AR39" i="26"/>
  <c r="AR52" i="26" s="1"/>
  <c r="E34" i="26"/>
  <c r="E47" i="26" s="1"/>
  <c r="F35" i="26"/>
  <c r="F48" i="26" s="1"/>
  <c r="AF35" i="26"/>
  <c r="AF48" i="26" s="1"/>
  <c r="AP35" i="26"/>
  <c r="AP48" i="26" s="1"/>
  <c r="J37" i="26"/>
  <c r="J50" i="26" s="1"/>
  <c r="AB39" i="26"/>
  <c r="AB52" i="26" s="1"/>
  <c r="G39" i="26"/>
  <c r="G52" i="26" s="1"/>
  <c r="I39" i="26"/>
  <c r="I52" i="26" s="1"/>
  <c r="U39" i="26"/>
  <c r="U52" i="26" s="1"/>
  <c r="AK33" i="26"/>
  <c r="AK46" i="26" s="1"/>
  <c r="K35" i="26"/>
  <c r="K48" i="26" s="1"/>
  <c r="AC37" i="26"/>
  <c r="AC50" i="26" s="1"/>
  <c r="C36" i="26"/>
  <c r="AJ35" i="26"/>
  <c r="AJ48" i="26" s="1"/>
  <c r="Z39" i="26"/>
  <c r="Z52" i="26" s="1"/>
  <c r="AN36" i="26"/>
  <c r="AN49" i="26" s="1"/>
  <c r="AH36" i="26"/>
  <c r="AH49" i="26" s="1"/>
  <c r="H34" i="26"/>
  <c r="H47" i="26" s="1"/>
  <c r="L33" i="26"/>
  <c r="L46" i="26" s="1"/>
  <c r="AE33" i="26"/>
  <c r="AE46" i="26" s="1"/>
  <c r="D37" i="26"/>
  <c r="D50" i="26" s="1"/>
  <c r="AR33" i="26"/>
  <c r="AR46" i="26" s="1"/>
  <c r="E35" i="26"/>
  <c r="E48" i="26" s="1"/>
  <c r="F36" i="26"/>
  <c r="F49" i="26" s="1"/>
  <c r="AF36" i="26"/>
  <c r="AF49" i="26" s="1"/>
  <c r="AP36" i="26"/>
  <c r="AP49" i="26" s="1"/>
  <c r="J39" i="26"/>
  <c r="J52" i="26" s="1"/>
  <c r="AB33" i="26"/>
  <c r="AB46" i="26" s="1"/>
  <c r="G33" i="26"/>
  <c r="G46" i="26" s="1"/>
  <c r="I33" i="26"/>
  <c r="I46" i="26" s="1"/>
  <c r="U33" i="26"/>
  <c r="U46" i="26" s="1"/>
  <c r="AK34" i="26"/>
  <c r="AK47" i="26" s="1"/>
  <c r="K36" i="26"/>
  <c r="K49" i="26" s="1"/>
  <c r="Y34" i="26"/>
  <c r="Y47" i="26" s="1"/>
  <c r="C35" i="26"/>
  <c r="AJ36" i="26"/>
  <c r="AJ49" i="26" s="1"/>
  <c r="AA39" i="26"/>
  <c r="AA52" i="26" s="1"/>
  <c r="AN37" i="26"/>
  <c r="AN50" i="26" s="1"/>
  <c r="AH37" i="26"/>
  <c r="AH50" i="26" s="1"/>
  <c r="AQ39" i="26"/>
  <c r="AQ52" i="26" s="1"/>
  <c r="L34" i="26"/>
  <c r="L47" i="26" s="1"/>
  <c r="AE34" i="26"/>
  <c r="AE47" i="26" s="1"/>
  <c r="AL37" i="26"/>
  <c r="AL50" i="26" s="1"/>
  <c r="AR34" i="26"/>
  <c r="AR47" i="26" s="1"/>
  <c r="E36" i="26"/>
  <c r="E49" i="26" s="1"/>
  <c r="AO34" i="26"/>
  <c r="AO47" i="26" s="1"/>
  <c r="AF37" i="26"/>
  <c r="AF50" i="26" s="1"/>
  <c r="AP37" i="26"/>
  <c r="AP50" i="26" s="1"/>
  <c r="AD37" i="26"/>
  <c r="AD50" i="26" s="1"/>
  <c r="AB34" i="26"/>
  <c r="AB47" i="26" s="1"/>
  <c r="G34" i="26"/>
  <c r="G47" i="26" s="1"/>
  <c r="W36" i="26"/>
  <c r="W49" i="26" s="1"/>
  <c r="U34" i="26"/>
  <c r="U47" i="26" s="1"/>
  <c r="W34" i="26"/>
  <c r="W47" i="26" s="1"/>
  <c r="AK35" i="26"/>
  <c r="AK48" i="26" s="1"/>
  <c r="K37" i="26"/>
  <c r="K50" i="26" s="1"/>
  <c r="Y35" i="26"/>
  <c r="Y48" i="26" s="1"/>
  <c r="C34" i="26"/>
  <c r="AJ37" i="26"/>
  <c r="AJ50" i="26" s="1"/>
  <c r="AA33" i="26"/>
  <c r="AA46" i="26" s="1"/>
  <c r="AN39" i="26"/>
  <c r="AN52" i="26" s="1"/>
  <c r="AH39" i="26"/>
  <c r="AH52" i="26" s="1"/>
  <c r="AQ33" i="26"/>
  <c r="AQ46" i="26" s="1"/>
  <c r="L35" i="26"/>
  <c r="L48" i="26" s="1"/>
  <c r="AE35" i="26"/>
  <c r="AE48" i="26" s="1"/>
  <c r="AL39" i="26"/>
  <c r="AL52" i="26" s="1"/>
  <c r="AR35" i="26"/>
  <c r="AR48" i="26" s="1"/>
  <c r="E37" i="26"/>
  <c r="E50" i="26" s="1"/>
  <c r="AO35" i="26"/>
  <c r="AO48" i="26" s="1"/>
  <c r="AF39" i="26"/>
  <c r="AF52" i="26" s="1"/>
  <c r="AP39" i="26"/>
  <c r="AP52" i="26" s="1"/>
  <c r="AD39" i="26"/>
  <c r="AD52" i="26" s="1"/>
  <c r="AB35" i="26"/>
  <c r="AB48" i="26" s="1"/>
  <c r="G35" i="26"/>
  <c r="G48" i="26" s="1"/>
  <c r="W37" i="26"/>
  <c r="W50" i="26" s="1"/>
  <c r="U35" i="26"/>
  <c r="U48" i="26" s="1"/>
  <c r="AK36" i="26"/>
  <c r="AK49" i="26" s="1"/>
  <c r="AC39" i="26"/>
  <c r="AC52" i="26" s="1"/>
  <c r="Y36" i="26"/>
  <c r="Y49" i="26" s="1"/>
  <c r="C33" i="26"/>
  <c r="Z33" i="26"/>
  <c r="Z46" i="26" s="1"/>
  <c r="AA34" i="26"/>
  <c r="AA47" i="26" s="1"/>
  <c r="AN33" i="26"/>
  <c r="AN46" i="26" s="1"/>
  <c r="H35" i="26"/>
  <c r="H48" i="26" s="1"/>
  <c r="AQ34" i="26"/>
  <c r="AQ47" i="26" s="1"/>
  <c r="L36" i="26"/>
  <c r="L49" i="26" s="1"/>
  <c r="D39" i="26"/>
  <c r="D52" i="26" s="1"/>
  <c r="AL33" i="26"/>
  <c r="AL46" i="26" s="1"/>
  <c r="AR36" i="26"/>
  <c r="AR49" i="26" s="1"/>
  <c r="F37" i="26"/>
  <c r="F50" i="26" s="1"/>
  <c r="AO36" i="26"/>
  <c r="AO49" i="26" s="1"/>
  <c r="AF33" i="26"/>
  <c r="AF46" i="26" s="1"/>
  <c r="J33" i="26"/>
  <c r="J46" i="26" s="1"/>
  <c r="AD33" i="26"/>
  <c r="AD46" i="26" s="1"/>
  <c r="AB36" i="26"/>
  <c r="AB49" i="26" s="1"/>
  <c r="I34" i="26"/>
  <c r="I47" i="26" s="1"/>
  <c r="W39" i="26"/>
  <c r="W52" i="26" s="1"/>
  <c r="U36" i="26"/>
  <c r="U49" i="26" s="1"/>
  <c r="U37" i="26"/>
  <c r="U50" i="26" s="1"/>
  <c r="AK37" i="26"/>
  <c r="AK50" i="26" s="1"/>
  <c r="AC33" i="26"/>
  <c r="AC46" i="26" s="1"/>
  <c r="Y37" i="26"/>
  <c r="Y50" i="26" s="1"/>
  <c r="C39" i="26"/>
  <c r="Z34" i="26"/>
  <c r="Z47" i="26" s="1"/>
  <c r="AA35" i="26"/>
  <c r="AA48" i="26" s="1"/>
  <c r="AN34" i="26"/>
  <c r="AN47" i="26" s="1"/>
  <c r="H36" i="26"/>
  <c r="H49" i="26" s="1"/>
  <c r="AQ35" i="26"/>
  <c r="AQ48" i="26" s="1"/>
  <c r="L37" i="26"/>
  <c r="L50" i="26" s="1"/>
  <c r="D33" i="26"/>
  <c r="D46" i="26" s="1"/>
  <c r="AL34" i="26"/>
  <c r="AL47" i="26" s="1"/>
  <c r="AR37" i="26"/>
  <c r="AR50" i="26" s="1"/>
  <c r="F39" i="26"/>
  <c r="F52" i="26" s="1"/>
  <c r="AO37" i="26"/>
  <c r="AO50" i="26" s="1"/>
  <c r="AF34" i="26"/>
  <c r="AF47" i="26" s="1"/>
  <c r="J34" i="26"/>
  <c r="J47" i="26" s="1"/>
  <c r="AD34" i="26"/>
  <c r="AD47" i="26" s="1"/>
  <c r="AB37" i="26"/>
  <c r="I35" i="26"/>
  <c r="I48" i="26" s="1"/>
  <c r="W33" i="26"/>
  <c r="W46" i="26" s="1"/>
  <c r="K39" i="26"/>
  <c r="K52" i="26" s="1"/>
  <c r="AC34" i="26"/>
  <c r="AC47" i="26" s="1"/>
  <c r="Y39" i="26"/>
  <c r="Y52" i="26" s="1"/>
  <c r="AJ39" i="26"/>
  <c r="AJ52" i="26" s="1"/>
  <c r="Z35" i="26"/>
  <c r="Z48" i="26" s="1"/>
  <c r="AA36" i="26"/>
  <c r="AA49" i="26" s="1"/>
  <c r="AH33" i="26"/>
  <c r="AH46" i="26" s="1"/>
  <c r="H37" i="26"/>
  <c r="H50" i="26" s="1"/>
  <c r="AQ36" i="26"/>
  <c r="AQ49" i="26" s="1"/>
  <c r="AE36" i="26"/>
  <c r="AE49" i="26" s="1"/>
  <c r="D34" i="26"/>
  <c r="D47" i="26" s="1"/>
  <c r="AL35" i="26"/>
  <c r="AL48" i="26" s="1"/>
  <c r="E39" i="26"/>
  <c r="E52" i="26" s="1"/>
  <c r="F33" i="26"/>
  <c r="F46" i="26" s="1"/>
  <c r="AO39" i="26"/>
  <c r="AO52" i="26" s="1"/>
  <c r="AP33" i="26"/>
  <c r="AP46" i="26" s="1"/>
  <c r="J35" i="26"/>
  <c r="J48" i="26" s="1"/>
  <c r="AD35" i="26"/>
  <c r="AD48" i="26" s="1"/>
  <c r="G36" i="26"/>
  <c r="G49" i="26" s="1"/>
  <c r="I36" i="26"/>
  <c r="I49" i="26" s="1"/>
  <c r="K33" i="26"/>
  <c r="K46" i="26" s="1"/>
  <c r="AC35" i="26"/>
  <c r="AC48" i="26" s="1"/>
  <c r="Y33" i="26"/>
  <c r="Y46" i="26" s="1"/>
  <c r="AJ33" i="26"/>
  <c r="AJ46" i="26" s="1"/>
  <c r="Z36" i="26"/>
  <c r="Z49" i="26" s="1"/>
  <c r="AA37" i="26"/>
  <c r="AH34" i="26"/>
  <c r="AH47" i="26" s="1"/>
  <c r="H39" i="26"/>
  <c r="H52" i="26" s="1"/>
  <c r="AQ37" i="26"/>
  <c r="AQ50" i="26" s="1"/>
  <c r="AE37" i="26"/>
  <c r="AE50" i="26" s="1"/>
  <c r="D35" i="26"/>
  <c r="D48" i="26" s="1"/>
  <c r="AL36" i="26"/>
  <c r="AL49" i="26" s="1"/>
  <c r="E33" i="26"/>
  <c r="E46" i="26" s="1"/>
  <c r="F34" i="26"/>
  <c r="F47" i="26" s="1"/>
  <c r="AO33" i="26"/>
  <c r="AO46" i="26" s="1"/>
  <c r="AP34" i="26"/>
  <c r="AP47" i="26" s="1"/>
  <c r="J36" i="26"/>
  <c r="J49" i="26" s="1"/>
  <c r="AD36" i="26"/>
  <c r="AD49" i="26" s="1"/>
  <c r="G37" i="26"/>
  <c r="G50" i="26" s="1"/>
  <c r="I37" i="26"/>
  <c r="I50" i="26" s="1"/>
  <c r="W35" i="26"/>
  <c r="W48" i="26" s="1"/>
  <c r="R33" i="26"/>
  <c r="R46" i="26" s="1"/>
  <c r="S34" i="26"/>
  <c r="S47" i="26" s="1"/>
  <c r="Q39" i="26"/>
  <c r="Q52" i="26" s="1"/>
  <c r="P35" i="26"/>
  <c r="P48" i="26" s="1"/>
  <c r="Q35" i="26"/>
  <c r="Q48" i="26" s="1"/>
  <c r="Q37" i="26"/>
  <c r="Q50" i="26" s="1"/>
  <c r="R34" i="26"/>
  <c r="R47" i="26" s="1"/>
  <c r="S35" i="26"/>
  <c r="S48" i="26" s="1"/>
  <c r="Q33" i="26"/>
  <c r="Q46" i="26" s="1"/>
  <c r="P36" i="26"/>
  <c r="P49" i="26" s="1"/>
  <c r="P37" i="26"/>
  <c r="P50" i="26" s="1"/>
  <c r="S37" i="26"/>
  <c r="S50" i="26" s="1"/>
  <c r="T33" i="26"/>
  <c r="T46" i="26" s="1"/>
  <c r="P39" i="26"/>
  <c r="P52" i="26" s="1"/>
  <c r="R37" i="26"/>
  <c r="R50" i="26" s="1"/>
  <c r="Q34" i="26"/>
  <c r="Q47" i="26" s="1"/>
  <c r="P33" i="26"/>
  <c r="P46" i="26" s="1"/>
  <c r="R39" i="26"/>
  <c r="R52" i="26" s="1"/>
  <c r="T35" i="26"/>
  <c r="T48" i="26" s="1"/>
  <c r="T36" i="26"/>
  <c r="T49" i="26" s="1"/>
  <c r="R35" i="26"/>
  <c r="R48" i="26" s="1"/>
  <c r="S36" i="26"/>
  <c r="S49" i="26" s="1"/>
  <c r="T39" i="26"/>
  <c r="T52" i="26" s="1"/>
  <c r="T34" i="26"/>
  <c r="T47" i="26" s="1"/>
  <c r="P34" i="26"/>
  <c r="P47" i="26" s="1"/>
  <c r="Q36" i="26"/>
  <c r="Q49" i="26" s="1"/>
  <c r="R36" i="26"/>
  <c r="R49" i="26" s="1"/>
  <c r="S33" i="26"/>
  <c r="S46" i="26" s="1"/>
  <c r="S39" i="26"/>
  <c r="T37" i="26"/>
  <c r="T50" i="26" s="1"/>
  <c r="C44" i="26"/>
  <c r="C54" i="26" s="1"/>
  <c r="AS31" i="26"/>
  <c r="F15" i="41" l="1"/>
  <c r="V15" i="41" s="1"/>
  <c r="AA35" i="40"/>
  <c r="V22" i="41"/>
  <c r="F40" i="41"/>
  <c r="V13" i="41"/>
  <c r="F18" i="41"/>
  <c r="F31" i="41"/>
  <c r="W35" i="40"/>
  <c r="U62" i="40"/>
  <c r="V38" i="41"/>
  <c r="AD38" i="41"/>
  <c r="V30" i="41"/>
  <c r="V39" i="41"/>
  <c r="AD39" i="41"/>
  <c r="AN35" i="40"/>
  <c r="AN38" i="40" s="1"/>
  <c r="Y38" i="40"/>
  <c r="AO31" i="40"/>
  <c r="AQ31" i="40" s="1"/>
  <c r="AQ21" i="40"/>
  <c r="AO27" i="40"/>
  <c r="AQ27" i="40" s="1"/>
  <c r="AP27" i="40"/>
  <c r="R9" i="40"/>
  <c r="AI7" i="40"/>
  <c r="AK25" i="40"/>
  <c r="AI27" i="40"/>
  <c r="AK27" i="40" s="1"/>
  <c r="R38" i="40"/>
  <c r="AI31" i="40"/>
  <c r="AD27" i="40"/>
  <c r="H56" i="26"/>
  <c r="O56" i="26"/>
  <c r="X56" i="26"/>
  <c r="T56" i="26"/>
  <c r="C46" i="26"/>
  <c r="AS33" i="26"/>
  <c r="AD56" i="26"/>
  <c r="AQ56" i="26"/>
  <c r="I56" i="26"/>
  <c r="AR56" i="26"/>
  <c r="AI56" i="26"/>
  <c r="AG56" i="26"/>
  <c r="AO56" i="26"/>
  <c r="C52" i="26"/>
  <c r="AS39" i="26"/>
  <c r="D56" i="26"/>
  <c r="AP56" i="26"/>
  <c r="G56" i="26"/>
  <c r="C50" i="26"/>
  <c r="M50" i="26" s="1"/>
  <c r="AS50" i="26" s="1"/>
  <c r="AS37" i="26"/>
  <c r="AM56" i="26"/>
  <c r="AC56" i="26"/>
  <c r="AF56" i="26"/>
  <c r="AH56" i="26"/>
  <c r="AB56" i="26"/>
  <c r="AE56" i="26"/>
  <c r="V56" i="26"/>
  <c r="P56" i="26"/>
  <c r="E56" i="26"/>
  <c r="AN56" i="26"/>
  <c r="AA56" i="26"/>
  <c r="AS36" i="26"/>
  <c r="C49" i="26"/>
  <c r="L56" i="26"/>
  <c r="Q56" i="26"/>
  <c r="AJ56" i="26"/>
  <c r="AK56" i="26"/>
  <c r="R56" i="26"/>
  <c r="Y56" i="26"/>
  <c r="C48" i="26"/>
  <c r="AS35" i="26"/>
  <c r="J56" i="26"/>
  <c r="AL56" i="26"/>
  <c r="C47" i="26"/>
  <c r="M47" i="26" s="1"/>
  <c r="AS47" i="26" s="1"/>
  <c r="AS34" i="26"/>
  <c r="N56" i="26"/>
  <c r="K56" i="26"/>
  <c r="F56" i="26"/>
  <c r="W56" i="26"/>
  <c r="Z56" i="26"/>
  <c r="U56" i="26"/>
  <c r="AS44" i="26"/>
  <c r="F23" i="41" l="1"/>
  <c r="G45" i="41"/>
  <c r="K45" i="41" s="1"/>
  <c r="G42" i="41"/>
  <c r="H42" i="41" s="1"/>
  <c r="G26" i="41"/>
  <c r="H26" i="41" s="1"/>
  <c r="G60" i="41"/>
  <c r="K60" i="41" s="1"/>
  <c r="G29" i="41"/>
  <c r="K29" i="41" s="1"/>
  <c r="G58" i="41"/>
  <c r="K58" i="41" s="1"/>
  <c r="G21" i="41"/>
  <c r="K21" i="41" s="1"/>
  <c r="G14" i="41"/>
  <c r="H14" i="41" s="1"/>
  <c r="G19" i="41"/>
  <c r="H19" i="41" s="1"/>
  <c r="G62" i="41"/>
  <c r="K62" i="41" s="1"/>
  <c r="G39" i="41"/>
  <c r="H39" i="41" s="1"/>
  <c r="G25" i="41"/>
  <c r="K25" i="41" s="1"/>
  <c r="G30" i="41"/>
  <c r="H30" i="41" s="1"/>
  <c r="G34" i="41"/>
  <c r="K34" i="41" s="1"/>
  <c r="G37" i="41"/>
  <c r="K37" i="41" s="1"/>
  <c r="G38" i="41"/>
  <c r="H38" i="41" s="1"/>
  <c r="G36" i="41"/>
  <c r="K36" i="41" s="1"/>
  <c r="G27" i="41"/>
  <c r="K27" i="41" s="1"/>
  <c r="G56" i="41"/>
  <c r="H56" i="41" s="1"/>
  <c r="G68" i="41"/>
  <c r="K68" i="41" s="1"/>
  <c r="G13" i="41"/>
  <c r="K13" i="41" s="1"/>
  <c r="G48" i="41"/>
  <c r="H48" i="41" s="1"/>
  <c r="G54" i="41"/>
  <c r="K54" i="41" s="1"/>
  <c r="G20" i="41"/>
  <c r="K20" i="41" s="1"/>
  <c r="G50" i="41"/>
  <c r="H50" i="41" s="1"/>
  <c r="U50" i="41" s="1"/>
  <c r="G52" i="41"/>
  <c r="K52" i="41" s="1"/>
  <c r="G66" i="41"/>
  <c r="W62" i="40"/>
  <c r="AD64" i="41"/>
  <c r="AD40" i="41"/>
  <c r="G33" i="41"/>
  <c r="AP37" i="40"/>
  <c r="AP36" i="40"/>
  <c r="AP33" i="40"/>
  <c r="AP34" i="40"/>
  <c r="AP32" i="40"/>
  <c r="AP31" i="40"/>
  <c r="AP35" i="40"/>
  <c r="AN9" i="40"/>
  <c r="AK7" i="40"/>
  <c r="AI9" i="40"/>
  <c r="AK31" i="40"/>
  <c r="AI38" i="40"/>
  <c r="AK38" i="40" s="1"/>
  <c r="M48" i="26"/>
  <c r="AS48" i="26" s="1"/>
  <c r="S52" i="26"/>
  <c r="S56" i="26" s="1"/>
  <c r="M49" i="26"/>
  <c r="AS49" i="26" s="1"/>
  <c r="M46" i="26"/>
  <c r="AS46" i="26" s="1"/>
  <c r="C56" i="26"/>
  <c r="AS54" i="26"/>
  <c r="H21" i="41" l="1"/>
  <c r="G69" i="41"/>
  <c r="F72" i="41"/>
  <c r="F64" i="41" s="1"/>
  <c r="K48" i="41"/>
  <c r="P48" i="41" s="1"/>
  <c r="R48" i="41" s="1"/>
  <c r="H29" i="41"/>
  <c r="H58" i="41"/>
  <c r="H13" i="41"/>
  <c r="H15" i="41" s="1"/>
  <c r="H34" i="41"/>
  <c r="H54" i="41"/>
  <c r="K56" i="41"/>
  <c r="P56" i="41" s="1"/>
  <c r="R56" i="41" s="1"/>
  <c r="H37" i="41"/>
  <c r="K19" i="41"/>
  <c r="H45" i="41"/>
  <c r="H36" i="41"/>
  <c r="K42" i="41"/>
  <c r="M42" i="41" s="1"/>
  <c r="H62" i="41"/>
  <c r="H27" i="41"/>
  <c r="H52" i="41"/>
  <c r="K26" i="41"/>
  <c r="H20" i="41"/>
  <c r="H66" i="41"/>
  <c r="H60" i="41"/>
  <c r="K66" i="41"/>
  <c r="K69" i="41" s="1"/>
  <c r="G15" i="41"/>
  <c r="H25" i="41"/>
  <c r="K14" i="41"/>
  <c r="K15" i="41" s="1"/>
  <c r="H68" i="41"/>
  <c r="G18" i="41"/>
  <c r="K18" i="41" s="1"/>
  <c r="G28" i="41"/>
  <c r="G31" i="41" s="1"/>
  <c r="AB35" i="40"/>
  <c r="AD35" i="40" s="1"/>
  <c r="AO35" i="40" s="1"/>
  <c r="AQ35" i="40" s="1"/>
  <c r="K33" i="41"/>
  <c r="H33" i="41"/>
  <c r="P58" i="41"/>
  <c r="R58" i="41" s="1"/>
  <c r="M58" i="41"/>
  <c r="P29" i="41"/>
  <c r="P45" i="41"/>
  <c r="R45" i="41" s="1"/>
  <c r="M45" i="41"/>
  <c r="P54" i="41"/>
  <c r="R54" i="41" s="1"/>
  <c r="M54" i="41"/>
  <c r="M62" i="41"/>
  <c r="P62" i="41"/>
  <c r="R62" i="41" s="1"/>
  <c r="P68" i="41"/>
  <c r="R68" i="41" s="1"/>
  <c r="M68" i="41"/>
  <c r="AD72" i="41"/>
  <c r="AE64" i="41"/>
  <c r="C22" i="41"/>
  <c r="P13" i="41"/>
  <c r="M13" i="41"/>
  <c r="P60" i="41"/>
  <c r="R60" i="41" s="1"/>
  <c r="M60" i="41"/>
  <c r="P52" i="41"/>
  <c r="R52" i="41" s="1"/>
  <c r="M52" i="41"/>
  <c r="P27" i="41"/>
  <c r="P25" i="41"/>
  <c r="P20" i="41"/>
  <c r="R20" i="41" s="1"/>
  <c r="M20" i="41"/>
  <c r="P21" i="41"/>
  <c r="AP38" i="40"/>
  <c r="AP7" i="40"/>
  <c r="AP8" i="40"/>
  <c r="AK9" i="40"/>
  <c r="M56" i="26"/>
  <c r="AS52" i="26"/>
  <c r="M48" i="41" l="1"/>
  <c r="T48" i="41" s="1"/>
  <c r="U48" i="41" s="1"/>
  <c r="M56" i="41"/>
  <c r="T56" i="41" s="1"/>
  <c r="U56" i="41" s="1"/>
  <c r="P19" i="41"/>
  <c r="P66" i="41"/>
  <c r="R66" i="41" s="1"/>
  <c r="P26" i="41"/>
  <c r="M14" i="41"/>
  <c r="P42" i="41"/>
  <c r="R42" i="41" s="1"/>
  <c r="T42" i="41" s="1"/>
  <c r="U42" i="41" s="1"/>
  <c r="M66" i="41"/>
  <c r="M69" i="41" s="1"/>
  <c r="P14" i="41"/>
  <c r="R14" i="41" s="1"/>
  <c r="H28" i="41"/>
  <c r="H31" i="41" s="1"/>
  <c r="H69" i="41"/>
  <c r="K28" i="41"/>
  <c r="K31" i="41" s="1"/>
  <c r="G23" i="41"/>
  <c r="H18" i="41"/>
  <c r="H23" i="41" s="1"/>
  <c r="G35" i="41"/>
  <c r="G40" i="41" s="1"/>
  <c r="T68" i="41"/>
  <c r="U68" i="41" s="1"/>
  <c r="T62" i="41"/>
  <c r="U62" i="41" s="1"/>
  <c r="T54" i="41"/>
  <c r="U54" i="41" s="1"/>
  <c r="T58" i="41"/>
  <c r="U58" i="41" s="1"/>
  <c r="K23" i="41"/>
  <c r="P18" i="41"/>
  <c r="T60" i="41"/>
  <c r="U60" i="41" s="1"/>
  <c r="T20" i="41"/>
  <c r="U20" i="41" s="1"/>
  <c r="T52" i="41"/>
  <c r="U52" i="41" s="1"/>
  <c r="T45" i="41"/>
  <c r="U45" i="41" s="1"/>
  <c r="K74" i="41"/>
  <c r="M15" i="41"/>
  <c r="P33" i="41"/>
  <c r="AP9" i="40"/>
  <c r="AS56" i="26"/>
  <c r="P69" i="41" l="1"/>
  <c r="T14" i="41"/>
  <c r="U14" i="41" s="1"/>
  <c r="P15" i="41"/>
  <c r="R15" i="41" s="1"/>
  <c r="R13" i="41" s="1"/>
  <c r="T13" i="41" s="1"/>
  <c r="H35" i="41"/>
  <c r="H40" i="41" s="1"/>
  <c r="H72" i="41" s="1"/>
  <c r="G72" i="41"/>
  <c r="P91" i="41" s="1"/>
  <c r="P93" i="41" s="1"/>
  <c r="P95" i="41" s="1"/>
  <c r="P28" i="41"/>
  <c r="K35" i="41"/>
  <c r="T66" i="41"/>
  <c r="R69" i="41"/>
  <c r="P23" i="41"/>
  <c r="P40" i="41"/>
  <c r="AA8" i="40"/>
  <c r="P31" i="41" l="1"/>
  <c r="P72" i="41" s="1"/>
  <c r="K40" i="41"/>
  <c r="K72" i="41" s="1"/>
  <c r="K76" i="41" s="1"/>
  <c r="U66" i="41"/>
  <c r="T69" i="41"/>
  <c r="T15" i="41"/>
  <c r="U13" i="41"/>
  <c r="AB8" i="40"/>
  <c r="AD8" i="40" s="1"/>
  <c r="AO8" i="40" s="1"/>
  <c r="U15" i="41" l="1"/>
  <c r="AD9" i="40"/>
  <c r="AQ8" i="40"/>
  <c r="AO9" i="40"/>
  <c r="R17" i="40"/>
  <c r="AD17" i="40"/>
  <c r="AO17" i="40" s="1"/>
  <c r="AI17" i="40" l="1"/>
  <c r="AQ9" i="40"/>
  <c r="AN13" i="40" l="1"/>
  <c r="AN18" i="40" l="1"/>
  <c r="AP13" i="40" s="1"/>
  <c r="Y18" i="40"/>
  <c r="M18" i="40"/>
  <c r="AP17" i="40" l="1"/>
  <c r="AP15" i="40"/>
  <c r="AP16" i="40"/>
  <c r="AP14" i="40"/>
  <c r="AN40" i="40"/>
  <c r="O16" i="40"/>
  <c r="AA16" i="40"/>
  <c r="O14" i="40"/>
  <c r="AA14" i="40"/>
  <c r="O13" i="40"/>
  <c r="P13" i="40" s="1"/>
  <c r="R13" i="40" s="1"/>
  <c r="AI13" i="40" s="1"/>
  <c r="AA13" i="40"/>
  <c r="AB13" i="40" s="1"/>
  <c r="AD13" i="40" s="1"/>
  <c r="AO13" i="40" s="1"/>
  <c r="AP18" i="40" l="1"/>
  <c r="AQ13" i="40"/>
  <c r="AK13" i="40"/>
  <c r="AB14" i="40"/>
  <c r="AD14" i="40" s="1"/>
  <c r="AO14" i="40" s="1"/>
  <c r="AQ14" i="40" s="1"/>
  <c r="P14" i="40"/>
  <c r="R14" i="40" s="1"/>
  <c r="AI14" i="40" s="1"/>
  <c r="O15" i="40"/>
  <c r="O62" i="40" s="1"/>
  <c r="AA15" i="40"/>
  <c r="AB16" i="40"/>
  <c r="P16" i="40"/>
  <c r="R16" i="40" l="1"/>
  <c r="AD16" i="40"/>
  <c r="AK14" i="40"/>
  <c r="AB15" i="40"/>
  <c r="AD15" i="40" s="1"/>
  <c r="P15" i="40"/>
  <c r="R15" i="40" s="1"/>
  <c r="AO16" i="40" l="1"/>
  <c r="AQ16" i="40" s="1"/>
  <c r="P62" i="40"/>
  <c r="AI16" i="40"/>
  <c r="AK16" i="40" s="1"/>
  <c r="R62" i="40"/>
  <c r="AD18" i="40"/>
  <c r="AO15" i="40"/>
  <c r="R18" i="40"/>
  <c r="AI15" i="40"/>
  <c r="S62" i="40" l="1"/>
  <c r="R69" i="40"/>
  <c r="AQ15" i="40"/>
  <c r="AO18" i="40"/>
  <c r="AK15" i="40"/>
  <c r="AI18" i="40"/>
  <c r="AQ18" i="40" l="1"/>
  <c r="AK18" i="40"/>
  <c r="AI40" i="40"/>
  <c r="AK40" i="40" s="1"/>
  <c r="X62" i="40"/>
  <c r="Z62" i="40" s="1"/>
  <c r="AC62" i="40"/>
  <c r="AA34" i="40" l="1"/>
  <c r="AB34" i="40" l="1"/>
  <c r="AD34" i="40" l="1"/>
  <c r="AO34" i="40" l="1"/>
  <c r="AD38" i="40"/>
  <c r="AQ34" i="40" l="1"/>
  <c r="AO38" i="40"/>
  <c r="AQ38" i="40" l="1"/>
  <c r="AO40" i="40"/>
  <c r="AQ40" i="40" s="1"/>
  <c r="O33" i="41" l="1"/>
  <c r="V33" i="41"/>
  <c r="M33" i="41"/>
  <c r="V37" i="41"/>
  <c r="M37" i="41"/>
  <c r="T37" i="41" s="1"/>
  <c r="U37" i="41" s="1"/>
  <c r="V36" i="41"/>
  <c r="M36" i="41"/>
  <c r="T36" i="41" s="1"/>
  <c r="U36" i="41" s="1"/>
  <c r="V35" i="41"/>
  <c r="M35" i="41"/>
  <c r="T35" i="41" s="1"/>
  <c r="U35" i="41" s="1"/>
  <c r="V34" i="41"/>
  <c r="M34" i="41"/>
  <c r="J40" i="41"/>
  <c r="V40" i="41" s="1"/>
  <c r="O40" i="41" l="1"/>
  <c r="R33" i="41"/>
  <c r="T34" i="41"/>
  <c r="U34" i="41" s="1"/>
  <c r="M40" i="41"/>
  <c r="R40" i="41" l="1"/>
  <c r="T33" i="41"/>
  <c r="U33" i="41" l="1"/>
  <c r="T40" i="41"/>
  <c r="O26" i="41" l="1"/>
  <c r="R26" i="41" s="1"/>
  <c r="V26" i="41"/>
  <c r="M26" i="41"/>
  <c r="M25" i="41"/>
  <c r="O25" i="41"/>
  <c r="V25" i="41"/>
  <c r="M27" i="41"/>
  <c r="V27" i="41"/>
  <c r="O27" i="41"/>
  <c r="R27" i="41" s="1"/>
  <c r="M29" i="41"/>
  <c r="V29" i="41"/>
  <c r="O29" i="41"/>
  <c r="R29" i="41" s="1"/>
  <c r="T29" i="41" l="1"/>
  <c r="U29" i="41" s="1"/>
  <c r="T27" i="41"/>
  <c r="U27" i="41" s="1"/>
  <c r="T26" i="41"/>
  <c r="U26" i="41" s="1"/>
  <c r="R25" i="41"/>
  <c r="T25" i="41" l="1"/>
  <c r="R31" i="41"/>
  <c r="M28" i="41"/>
  <c r="M31" i="41" s="1"/>
  <c r="O28" i="41"/>
  <c r="V28" i="41"/>
  <c r="J31" i="41"/>
  <c r="T31" i="41" l="1"/>
  <c r="U25" i="41"/>
  <c r="R28" i="41"/>
  <c r="T28" i="41" s="1"/>
  <c r="U28" i="41" s="1"/>
  <c r="O31" i="41"/>
  <c r="V31" i="41"/>
  <c r="AA58" i="40" l="1"/>
  <c r="AB58" i="40" l="1"/>
  <c r="AD58" i="40" l="1"/>
  <c r="AA54" i="40" l="1"/>
  <c r="AB54" i="40" l="1"/>
  <c r="AA62" i="40"/>
  <c r="AD54" i="40" l="1"/>
  <c r="AD62" i="40" s="1"/>
  <c r="AB62" i="40"/>
  <c r="AD69" i="40" l="1"/>
  <c r="AE62" i="40"/>
  <c r="M18" i="41" l="1"/>
  <c r="O18" i="41"/>
  <c r="V18" i="41"/>
  <c r="R18" i="41" l="1"/>
  <c r="O21" i="41" l="1"/>
  <c r="R21" i="41" s="1"/>
  <c r="V21" i="41"/>
  <c r="M21" i="41"/>
  <c r="V19" i="41"/>
  <c r="M19" i="41"/>
  <c r="O19" i="41"/>
  <c r="J23" i="41"/>
  <c r="T18" i="41"/>
  <c r="T21" i="41" l="1"/>
  <c r="U21" i="41" s="1"/>
  <c r="M23" i="41"/>
  <c r="M72" i="41" s="1"/>
  <c r="J72" i="41"/>
  <c r="V23" i="41"/>
  <c r="R19" i="41"/>
  <c r="O23" i="41"/>
  <c r="O72" i="41" s="1"/>
  <c r="U18" i="41"/>
  <c r="V72" i="41" l="1"/>
  <c r="J64" i="41"/>
  <c r="V64" i="41" s="1"/>
  <c r="X64" i="41" s="1"/>
  <c r="T19" i="41"/>
  <c r="R23" i="41"/>
  <c r="R72" i="41" s="1"/>
  <c r="U19" i="41" l="1"/>
  <c r="T23" i="41"/>
  <c r="T72" i="41" s="1"/>
  <c r="U72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tc={F82AC705-3A46-4964-B372-7BCE5E8AFC23}</author>
    <author>tc={66269BE9-78BA-4236-A2F9-86D7DA366CDD}</author>
    <author>Flick, Roger A</author>
  </authors>
  <commentList>
    <comment ref="O5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Already has Modeling Coefficient in It</t>
      </text>
    </comment>
    <comment ref="AA5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Already has Modeling Coefficient in It</t>
      </text>
    </comment>
    <comment ref="B9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Flick, Roger A:</t>
        </r>
        <r>
          <rPr>
            <sz val="9"/>
            <color indexed="81"/>
            <rFont val="Tahoma"/>
            <family val="2"/>
          </rPr>
          <t xml:space="preserve">
Excludes Special Contracts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Flick, Roger A</author>
  </authors>
  <commentList>
    <comment ref="D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Flick, Roger A:</t>
        </r>
        <r>
          <rPr>
            <sz val="9"/>
            <color indexed="81"/>
            <rFont val="Tahoma"/>
            <family val="2"/>
          </rPr>
          <t xml:space="preserve">
High Efficiency
</t>
        </r>
      </text>
    </comment>
    <comment ref="D1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Flick, Roger A:</t>
        </r>
        <r>
          <rPr>
            <sz val="9"/>
            <color indexed="81"/>
            <rFont val="Tahoma"/>
            <family val="2"/>
          </rPr>
          <t xml:space="preserve">
High Efficiency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Flick, Roger A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Flick, Roger A:</t>
        </r>
        <r>
          <rPr>
            <sz val="9"/>
            <color indexed="81"/>
            <rFont val="Tahoma"/>
            <family val="2"/>
          </rPr>
          <t xml:space="preserve">
High Efficiency
</t>
        </r>
      </text>
    </comment>
    <comment ref="B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Flick, Roger A:</t>
        </r>
        <r>
          <rPr>
            <sz val="9"/>
            <color indexed="81"/>
            <rFont val="Tahoma"/>
            <family val="2"/>
          </rPr>
          <t xml:space="preserve">
High Efficiency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Riddle, Jim</author>
    <author>tc={605AB600-C5F3-4017-832F-F66A19AD5958}</author>
    <author>tc={DF75B62F-F8A7-4E4F-B6DC-AEE8262C80AC}</author>
    <author>tc={1D2BAE18-8692-4A75-81E4-68F16A04D36E}</author>
    <author>tc={4A8EBA50-C528-41D9-8571-8F73B6856874}</author>
    <author>tc={4F0F6197-D4BB-4225-90C2-F919FFC3EFB9}</author>
  </authors>
  <commentList>
    <comment ref="R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</t>
        </r>
      </text>
    </comment>
    <comment ref="S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</t>
        </r>
      </text>
    </comment>
    <comment ref="A43" authorId="1" shapeId="0" xr:uid="{00000000-0006-0000-04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Rider Revenue by Customer Class 2025 excl spec contracts</t>
      </text>
    </comment>
    <comment ref="A44" authorId="2" shapeId="0" xr:uid="{00000000-0006-0000-04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Rider Revenue by Customer Class 2025 excl spec contracts</t>
      </text>
    </comment>
    <comment ref="A45" authorId="3" shapeId="0" xr:uid="{00000000-0006-0000-04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Rider Revenue by Customer Class 2025 excl spec contracts</t>
      </text>
    </comment>
    <comment ref="A51" authorId="4" shapeId="0" xr:uid="{00000000-0006-0000-04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Rider Revenue by Customer Class 2025 excl spec contracts</t>
      </text>
    </comment>
    <comment ref="A53" authorId="5" shapeId="0" xr:uid="{00000000-0006-0000-04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Rider Revenue by Customer Class 2025 excl spec contracts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Riddle, Jim</author>
  </authors>
  <commentList>
    <comment ref="G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OCS and it has its own BFA files</t>
        </r>
      </text>
    </comment>
    <comment ref="AC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HLFTOU and it has its own BFA files</t>
        </r>
      </text>
    </comment>
    <comment ref="AD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HLFTOU and it has its own BFA files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D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EU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C18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D18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EU18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BT3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U3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V33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W33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X33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Y33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EU33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C48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D48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G63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 because there are no REVCLASS 15 sales</t>
        </r>
      </text>
    </comment>
    <comment ref="AC6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D63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EU63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Riddle, Jim</author>
  </authors>
  <commentList>
    <comment ref="J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OCS and it has its own BFA files</t>
        </r>
      </text>
    </comment>
    <comment ref="AD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HLFTOU and it has its own BFA files</t>
        </r>
      </text>
    </comment>
    <comment ref="AE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HLFTOU and it has its own BFA files</t>
        </r>
      </text>
    </comment>
    <comment ref="AD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D18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18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19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0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1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2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3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4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5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6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7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8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29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V33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W33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X33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Y33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Z33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A33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CI33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firm level so no growth</t>
        </r>
      </text>
    </comment>
    <comment ref="AV35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W35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X35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Y35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Z35" authorId="0" shapeId="0" xr:uid="{00000000-0006-0000-0700-00001E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A35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V36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W36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X36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Y36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Z36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BA36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
</t>
        </r>
      </text>
    </comment>
    <comment ref="AD48" authorId="0" shapeId="0" xr:uid="{00000000-0006-0000-0700-00002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48" authorId="0" shapeId="0" xr:uid="{00000000-0006-0000-0700-000027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D63" authorId="0" shapeId="0" xr:uid="{00000000-0006-0000-0700-000028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AE63" authorId="0" shapeId="0" xr:uid="{00000000-0006-0000-0700-000029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CZ63" authorId="0" shapeId="0" xr:uid="{00000000-0006-0000-0700-00002A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  <comment ref="CZ125" authorId="0" shapeId="0" xr:uid="{00000000-0006-0000-0700-00002B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hardwired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Riddle, Jim</author>
  </authors>
  <commentList>
    <comment ref="AN1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a "catch-all" formula to elimnate rounding errors</t>
        </r>
      </text>
    </comment>
    <comment ref="AL3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a "catch-all" formula to elimnate rounding errors</t>
        </r>
      </text>
    </comment>
    <comment ref="CH3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3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34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3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35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35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36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36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37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37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38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38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39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39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40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40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41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41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42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42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43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43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CH44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NUCF GROWTH HERE</t>
        </r>
      </text>
    </comment>
    <comment ref="CP44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SDEH GROWTH HERE</t>
        </r>
      </text>
    </comment>
    <comment ref="AM48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a "catch-all" formula to elimnate rounding errors</t>
        </r>
      </text>
    </comment>
    <comment ref="CN48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49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0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1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2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3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4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5" authorId="0" shapeId="0" xr:uid="{00000000-0006-0000-0900-000023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6" authorId="0" shapeId="0" xr:uid="{00000000-0006-0000-0900-000024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7" authorId="0" shapeId="0" xr:uid="{00000000-0006-0000-0900-000025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8" authorId="0" shapeId="0" xr:uid="{00000000-0006-0000-0900-000026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CN59" authorId="0" shapeId="0" xr:uid="{00000000-0006-0000-0900-000027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PUT SPUF GROWTH HERE</t>
        </r>
      </text>
    </comment>
    <comment ref="DI63" authorId="0" shapeId="0" xr:uid="{00000000-0006-0000-0900-000028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this is a "catch-all" formula to elimnate rounding errors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Riddle, Jim</author>
  </authors>
  <commentList>
    <comment ref="I1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Riddle, Jim:</t>
        </r>
        <r>
          <rPr>
            <sz val="9"/>
            <color indexed="81"/>
            <rFont val="Tahoma"/>
            <family val="2"/>
          </rPr>
          <t xml:space="preserve">
includes Impact Forge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Flick, Roger A</author>
  </authors>
  <commentList>
    <comment ref="M1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Flick, Roger A:</t>
        </r>
        <r>
          <rPr>
            <sz val="9"/>
            <color indexed="81"/>
            <rFont val="Tahoma"/>
            <family val="2"/>
          </rPr>
          <t xml:space="preserve">
Actual Peak Demands</t>
        </r>
      </text>
    </comment>
    <comment ref="Q17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Flick, Roger A:</t>
        </r>
        <r>
          <rPr>
            <sz val="9"/>
            <color indexed="81"/>
            <rFont val="Tahoma"/>
            <family val="2"/>
          </rPr>
          <t xml:space="preserve">
Peak Demand for billing purposes</t>
        </r>
      </text>
    </comment>
  </commentList>
</comments>
</file>

<file path=xl/sharedStrings.xml><?xml version="1.0" encoding="utf-8"?>
<sst xmlns="http://schemas.openxmlformats.org/spreadsheetml/2006/main" count="1960" uniqueCount="311">
  <si>
    <t>Duke Energy Indiana</t>
  </si>
  <si>
    <t>Cause No. 46038</t>
  </si>
  <si>
    <t>Workpaper RAF-17 kWh Model</t>
  </si>
  <si>
    <t>12 ME August 2023</t>
  </si>
  <si>
    <t>Forecast 2025</t>
  </si>
  <si>
    <t xml:space="preserve">Forecast </t>
  </si>
  <si>
    <t>Trackers</t>
  </si>
  <si>
    <t xml:space="preserve">  </t>
  </si>
  <si>
    <t xml:space="preserve"> </t>
  </si>
  <si>
    <t>Demand</t>
  </si>
  <si>
    <t>Adjusted</t>
  </si>
  <si>
    <t>Energy</t>
  </si>
  <si>
    <t xml:space="preserve">Total Demand </t>
  </si>
  <si>
    <t xml:space="preserve">Customer, KVAR </t>
  </si>
  <si>
    <t>Present</t>
  </si>
  <si>
    <t>kWh</t>
  </si>
  <si>
    <t>Percentage</t>
  </si>
  <si>
    <t>Revenue</t>
  </si>
  <si>
    <t>Realization</t>
  </si>
  <si>
    <t>kW</t>
  </si>
  <si>
    <t>Rates</t>
  </si>
  <si>
    <t>Demand Revenue</t>
  </si>
  <si>
    <t>And Energy Revenue</t>
  </si>
  <si>
    <t>&amp; Other Revenue</t>
  </si>
  <si>
    <t>% of Total kWh</t>
  </si>
  <si>
    <t>Residential</t>
  </si>
  <si>
    <t>RSNO</t>
  </si>
  <si>
    <t>Commercial</t>
  </si>
  <si>
    <t>RSN2</t>
  </si>
  <si>
    <t xml:space="preserve">Industrial </t>
  </si>
  <si>
    <t>OPA</t>
  </si>
  <si>
    <t>Street Light</t>
  </si>
  <si>
    <t>CSNO</t>
  </si>
  <si>
    <t>LBNO</t>
  </si>
  <si>
    <t>CSN2</t>
  </si>
  <si>
    <t>LDN0</t>
  </si>
  <si>
    <t>CSN7</t>
  </si>
  <si>
    <t>LPNO</t>
  </si>
  <si>
    <t>Kwh Comparison</t>
  </si>
  <si>
    <t>CSN8</t>
  </si>
  <si>
    <t>LSNO</t>
  </si>
  <si>
    <t>CSN9</t>
  </si>
  <si>
    <t>LSN2</t>
  </si>
  <si>
    <t>Actual 12ME Aug 2023 KWH</t>
  </si>
  <si>
    <t>2025 Forecast KWH</t>
  </si>
  <si>
    <t>Difference</t>
  </si>
  <si>
    <t>% Change</t>
  </si>
  <si>
    <t>Industrial</t>
  </si>
  <si>
    <t>Street Lighting</t>
  </si>
  <si>
    <t>Adjusted Actual</t>
  </si>
  <si>
    <t>LSN3</t>
  </si>
  <si>
    <t>HBNO (1)</t>
  </si>
  <si>
    <t>HCNO</t>
  </si>
  <si>
    <t>HDN0 (2)</t>
  </si>
  <si>
    <t>HPN0</t>
  </si>
  <si>
    <t>HSNO</t>
  </si>
  <si>
    <t xml:space="preserve">Customers </t>
  </si>
  <si>
    <t>Actual 12ME Aug 2023 Customers</t>
  </si>
  <si>
    <t>2025 Forecast Customers</t>
  </si>
  <si>
    <t>HCN3</t>
  </si>
  <si>
    <t>HSN3</t>
  </si>
  <si>
    <t>SWP, SWPM</t>
  </si>
  <si>
    <t>WP</t>
  </si>
  <si>
    <t>Subtotal</t>
  </si>
  <si>
    <t>Subttotal</t>
  </si>
  <si>
    <t>MHLS</t>
  </si>
  <si>
    <t>SHL, SHSP, SHSS, SMHL</t>
  </si>
  <si>
    <t>MOLS</t>
  </si>
  <si>
    <t>SMLC, SMLP,SMPC</t>
  </si>
  <si>
    <t>MS</t>
  </si>
  <si>
    <t>SMS</t>
  </si>
  <si>
    <t>TS</t>
  </si>
  <si>
    <t>STS</t>
  </si>
  <si>
    <t>FS</t>
  </si>
  <si>
    <t>SFS</t>
  </si>
  <si>
    <t>SL</t>
  </si>
  <si>
    <t>SSLC, SSLP</t>
  </si>
  <si>
    <t xml:space="preserve">Energy Charges </t>
  </si>
  <si>
    <t>LED</t>
  </si>
  <si>
    <t>XLED</t>
  </si>
  <si>
    <t>UOLS</t>
  </si>
  <si>
    <t>SOLU, SSLU, SUAL, SULL, SULP, SUOL, SWTL, SXLU, SUAC, SULC, UACC, UDES, UFIX</t>
  </si>
  <si>
    <t xml:space="preserve">Energy Charges               </t>
  </si>
  <si>
    <t>WHTL</t>
  </si>
  <si>
    <t>Customer O</t>
  </si>
  <si>
    <t>Customer C (3)</t>
  </si>
  <si>
    <t>Customer L</t>
  </si>
  <si>
    <t>DUKE ENERGY INDIANA, LLC</t>
  </si>
  <si>
    <t>PRESENT REVENUE DETERMINATION</t>
  </si>
  <si>
    <t>FOR THE 2025 FORECASTED TEST YEAR</t>
  </si>
  <si>
    <t>Present Rates</t>
  </si>
  <si>
    <t>2025 Forecasted KWH and Customers</t>
  </si>
  <si>
    <t>Rate</t>
  </si>
  <si>
    <t>12 ME Dec 2025</t>
  </si>
  <si>
    <t>12 ME June 2023</t>
  </si>
  <si>
    <t>Abbreviation</t>
  </si>
  <si>
    <t>Base Revenue</t>
  </si>
  <si>
    <t>Tracker Revenue</t>
  </si>
  <si>
    <t>Total Revenue</t>
  </si>
  <si>
    <t>Other</t>
  </si>
  <si>
    <t>(D) - (A)</t>
  </si>
  <si>
    <t>2025 Forecast</t>
  </si>
  <si>
    <t>RS</t>
  </si>
  <si>
    <t>Cust Class</t>
  </si>
  <si>
    <t>CS</t>
  </si>
  <si>
    <t>Fcst KWH</t>
  </si>
  <si>
    <t>Avg Price Cus Class</t>
  </si>
  <si>
    <t>Avg Price Rate CS</t>
  </si>
  <si>
    <t>Variance</t>
  </si>
  <si>
    <t>Res</t>
  </si>
  <si>
    <t>Comm</t>
  </si>
  <si>
    <t>Ind</t>
  </si>
  <si>
    <t>LLF</t>
  </si>
  <si>
    <t>Avg Price Rate LS</t>
  </si>
  <si>
    <t>HLF</t>
  </si>
  <si>
    <t>Avg Price Rate HC</t>
  </si>
  <si>
    <t>adopted</t>
  </si>
  <si>
    <t>Not Sure we need equipment, should be used to shape kWh</t>
  </si>
  <si>
    <t>No lighting equipment in this.</t>
  </si>
  <si>
    <t>Special Contract</t>
  </si>
  <si>
    <t>Grand Totals</t>
  </si>
  <si>
    <t>I think this is what bottom's up should yield see if you agree by checking the RAF tab.</t>
  </si>
  <si>
    <t>NEW</t>
  </si>
  <si>
    <t>RESIDENTIAL</t>
  </si>
  <si>
    <t>COMMERCIAL</t>
  </si>
  <si>
    <t>INDUSTRIAL</t>
  </si>
  <si>
    <t>STREETLIGHTS</t>
  </si>
  <si>
    <t>Non Res</t>
  </si>
  <si>
    <t>GS-FL</t>
  </si>
  <si>
    <t>Rider 60</t>
  </si>
  <si>
    <t>Rider 72</t>
  </si>
  <si>
    <t>RS - Pilots</t>
  </si>
  <si>
    <t>Rider 73</t>
  </si>
  <si>
    <t>Rider 62</t>
  </si>
  <si>
    <t>Rider 71</t>
  </si>
  <si>
    <t>CS - Pilots</t>
  </si>
  <si>
    <t>Rider 61</t>
  </si>
  <si>
    <t>Rider 65</t>
  </si>
  <si>
    <t>Rider 66</t>
  </si>
  <si>
    <t>Rider 68</t>
  </si>
  <si>
    <t>Rider 63</t>
  </si>
  <si>
    <t>Rider 70</t>
  </si>
  <si>
    <t>Rider 67</t>
  </si>
  <si>
    <t>Totals</t>
  </si>
  <si>
    <t>Historic Tracker Collection</t>
  </si>
  <si>
    <t>Increase</t>
  </si>
  <si>
    <t>1)   Includes SDI 42MW HLF Load Cap</t>
  </si>
  <si>
    <t>2)   Includes Tate &amp; Lyle Customer J</t>
  </si>
  <si>
    <t>3)  Includes SDI RTP portion</t>
  </si>
  <si>
    <t>Comparison of KWH by Rate Class</t>
  </si>
  <si>
    <t>12ME Aug 2023 vs 2025 Forecast</t>
  </si>
  <si>
    <t xml:space="preserve">KWH </t>
  </si>
  <si>
    <t>KWH</t>
  </si>
  <si>
    <t>12 ME Aug 2023</t>
  </si>
  <si>
    <t>% Difference</t>
  </si>
  <si>
    <t>Weather</t>
  </si>
  <si>
    <t>Total RS</t>
  </si>
  <si>
    <t>Total CS</t>
  </si>
  <si>
    <t>Total LLF</t>
  </si>
  <si>
    <t>Rider revenue is allocated at rows 20 to 43</t>
  </si>
  <si>
    <t>AE Staley</t>
  </si>
  <si>
    <t>Nucor</t>
  </si>
  <si>
    <t>Purdue</t>
  </si>
  <si>
    <t>Steel Dynamics</t>
  </si>
  <si>
    <t>check</t>
  </si>
  <si>
    <t>RTP</t>
  </si>
  <si>
    <t>Rider Revenue</t>
  </si>
  <si>
    <t>Year</t>
  </si>
  <si>
    <t>Month</t>
  </si>
  <si>
    <t>CSN0</t>
  </si>
  <si>
    <t>SFOC</t>
  </si>
  <si>
    <t>HBN0</t>
  </si>
  <si>
    <t>HCN0</t>
  </si>
  <si>
    <t>HDN0</t>
  </si>
  <si>
    <t>HSN0</t>
  </si>
  <si>
    <t>LBN0</t>
  </si>
  <si>
    <t>LPN0</t>
  </si>
  <si>
    <t>LSN0</t>
  </si>
  <si>
    <t>LSN3 - Peak</t>
  </si>
  <si>
    <t>LSN3 - Grandfathered</t>
  </si>
  <si>
    <t>SAES</t>
  </si>
  <si>
    <t>SASN</t>
  </si>
  <si>
    <t>NUCF</t>
  </si>
  <si>
    <t>NUIF</t>
  </si>
  <si>
    <t>NUID</t>
  </si>
  <si>
    <t>NUCS</t>
  </si>
  <si>
    <t>SPUF</t>
  </si>
  <si>
    <t>SPUR</t>
  </si>
  <si>
    <t>SDEH</t>
  </si>
  <si>
    <t>SDED</t>
  </si>
  <si>
    <t>RSN0</t>
  </si>
  <si>
    <t xml:space="preserve">SWP </t>
  </si>
  <si>
    <t>total</t>
  </si>
  <si>
    <t xml:space="preserve">  no 60, 63</t>
  </si>
  <si>
    <t>Other Riders</t>
  </si>
  <si>
    <t>UOLS Realization Adjustment</t>
  </si>
  <si>
    <t>Revised UOLS</t>
  </si>
  <si>
    <t>Source:</t>
  </si>
  <si>
    <t>Forecast Billed KWH adjusted to exclude special contracts and to add Tate &amp; Lyle and Econ Dev customer.</t>
  </si>
  <si>
    <t>HBA0</t>
  </si>
  <si>
    <t>HCA0</t>
  </si>
  <si>
    <t>HSS0</t>
  </si>
  <si>
    <t>LBA0</t>
  </si>
  <si>
    <t>LBAM</t>
  </si>
  <si>
    <t>LCA0</t>
  </si>
  <si>
    <t>LCN0</t>
  </si>
  <si>
    <t>LPA0</t>
  </si>
  <si>
    <t>LSS0</t>
  </si>
  <si>
    <t>LSN4</t>
  </si>
  <si>
    <t>LSN3 - Off Peak</t>
  </si>
  <si>
    <t>RSN4</t>
  </si>
  <si>
    <t>SWPM</t>
  </si>
  <si>
    <t>SMLC</t>
  </si>
  <si>
    <t>SMLP</t>
  </si>
  <si>
    <t>SMPC</t>
  </si>
  <si>
    <t>SSLC</t>
  </si>
  <si>
    <t>SSLP</t>
  </si>
  <si>
    <t>First 300</t>
  </si>
  <si>
    <t>Next 700</t>
  </si>
  <si>
    <t>Next 1500</t>
  </si>
  <si>
    <t>Over 2500</t>
  </si>
  <si>
    <t>On Peak</t>
  </si>
  <si>
    <t>Off Peak</t>
  </si>
  <si>
    <t>First 300 kWh</t>
  </si>
  <si>
    <t>Next 700 kWh</t>
  </si>
  <si>
    <t>Next 1500 kWh</t>
  </si>
  <si>
    <t>Over 2500 kWh</t>
  </si>
  <si>
    <t>KWH_NEXT110</t>
  </si>
  <si>
    <t>KWH_300+</t>
  </si>
  <si>
    <t>Over 1000 kWh</t>
  </si>
  <si>
    <t>First 2000</t>
  </si>
  <si>
    <t>Over 2000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</si>
  <si>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</si>
  <si>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</si>
  <si>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</si>
  <si>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</si>
  <si>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</si>
  <si>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</si>
  <si>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</si>
  <si>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</si>
  <si>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</si>
  <si>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</si>
  <si>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</si>
  <si>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</si>
  <si>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CS (all but CSN2)</t>
  </si>
  <si>
    <t>OCS</t>
  </si>
  <si>
    <t>HLF (all except HCN3)</t>
  </si>
  <si>
    <t>LLF (all)</t>
  </si>
  <si>
    <t>Special Contract (all)</t>
  </si>
  <si>
    <t>RS (all)</t>
  </si>
  <si>
    <t>WP (all)</t>
  </si>
  <si>
    <t>Street Light (all)</t>
  </si>
  <si>
    <t>Source:  Actual Monthly Data sorted by Rate Class and then by Customer Class</t>
  </si>
  <si>
    <t>LSN3 Current</t>
  </si>
  <si>
    <t>LSN3 Grandfathered</t>
  </si>
  <si>
    <t>NUCR</t>
  </si>
  <si>
    <t>1st 300</t>
  </si>
  <si>
    <t>Next 110 hrs</t>
  </si>
  <si>
    <t>Over 300 Hrs</t>
  </si>
  <si>
    <t>LDNO</t>
  </si>
  <si>
    <t>Total</t>
  </si>
  <si>
    <t>Rate Design</t>
  </si>
  <si>
    <t>Transmission</t>
  </si>
  <si>
    <t>Primary Direct</t>
  </si>
  <si>
    <t>Primary</t>
  </si>
  <si>
    <t>Secondary</t>
  </si>
  <si>
    <t>HE</t>
  </si>
  <si>
    <t>TOU</t>
  </si>
  <si>
    <t>LBAO, LBAM, LBNO, LCAO, LCNO</t>
  </si>
  <si>
    <t>Actual</t>
  </si>
  <si>
    <t>kw</t>
  </si>
  <si>
    <t>kwh</t>
  </si>
  <si>
    <t>kvar</t>
  </si>
  <si>
    <t>Projected kw</t>
  </si>
  <si>
    <t>Projected kvar</t>
  </si>
  <si>
    <t>LPNO, LPAO</t>
  </si>
  <si>
    <t>LSNO, LSSO</t>
  </si>
  <si>
    <t>LSN2 High Eff</t>
  </si>
  <si>
    <t>kw - Peak</t>
  </si>
  <si>
    <t>kwh - Peak</t>
  </si>
  <si>
    <t>Projected kw - Peak</t>
  </si>
  <si>
    <t>kw - OffPeak</t>
  </si>
  <si>
    <t>kwh - OffPeak</t>
  </si>
  <si>
    <t>Projected kw - OffPeak</t>
  </si>
  <si>
    <t>HBAO, HBNO</t>
  </si>
  <si>
    <t>HCAO, HCNO</t>
  </si>
  <si>
    <t>HCN3 Haynes Grandfathered TOU</t>
  </si>
  <si>
    <t>HSN3 Current TOU</t>
  </si>
  <si>
    <t>HSNO, HSSO</t>
  </si>
  <si>
    <t>Total Per 12 Mo Summary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</si>
  <si>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</si>
  <si>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</si>
  <si>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</si>
  <si>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</si>
  <si>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</si>
  <si>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</si>
  <si>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</si>
  <si>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</si>
  <si>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</si>
  <si>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</si>
  <si>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</si>
  <si>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kVA</t>
  </si>
  <si>
    <t>Projected kVA</t>
  </si>
  <si>
    <t>Sch A</t>
  </si>
  <si>
    <t>SDPA</t>
  </si>
  <si>
    <t>SDPB</t>
  </si>
  <si>
    <t>SDPD</t>
  </si>
  <si>
    <t>SDVR</t>
  </si>
  <si>
    <t>kVar</t>
  </si>
  <si>
    <t>Projected kVar</t>
  </si>
  <si>
    <t>Sch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</si>
</sst>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000000000"/>
    <numFmt numFmtId="167" formatCode="0.000000000"/>
    <numFmt numFmtId="168" formatCode="_(* #,##0.0_);_(* \(#,##0.0\);_(* &quot;-&quot;??_);_(@_)"/>
    <numFmt numFmtId="169" formatCode="#,##0.0000_);\(#,##0.0000\)"/>
    <numFmt numFmtId="170" formatCode="0.00000000000"/>
    <numFmt numFmtId="171" formatCode="_(* #,##0.00000000000_);_(* \(#,##0.00000000000\);_(* &quot;-&quot;??_);_(@_)"/>
    <numFmt numFmtId="172" formatCode="&quot;$&quot;#,##0.00"/>
    <numFmt numFmtId="173" formatCode="0.000%"/>
    <numFmt numFmtId="174" formatCode="0.0%"/>
    <numFmt numFmtId="175" formatCode="_(* #,##0.000_);_(* \(#,##0.000\);_(* &quot;-&quot;??_);_(@_)"/>
    <numFmt numFmtId="176" formatCode="_(&quot;$&quot;* #,##0.000000_);_(&quot;$&quot;* \(#,##0.000000\);_(&quot;$&quot;* &quot;-&quot;??_);_(@_)"/>
    <numFmt numFmtId="177" formatCode="_(&quot;$&quot;* #,##0_);_(&quot;$&quot;* \(#,##0\);_(&quot;$&quot;* &quot;-&quot;??_);_(@_)"/>
    <numFmt numFmtId="178" formatCode="&quot;$&quot;#,##0.000"/>
    <numFmt numFmtId="179" formatCode="_(&quot;$&quot;* #,##0.00000_);_(&quot;$&quot;* \(#,##0.00000\);_(&quot;$&quot;* &quot;-&quot;??_);_(@_)"/>
    <numFmt numFmtId="180" formatCode="_(&quot;$&quot;* #,##0.0000000_);_(&quot;$&quot;* \(#,##0.0000000\);_(&quot;$&quot;* &quot;-&quot;??_);_(@_)"/>
    <numFmt numFmtId="181" formatCode="_(&quot;$&quot;* #,##0.000000000_);_(&quot;$&quot;* \(#,##0.000000000\);_(&quot;$&quot;* &quot;-&quot;??_);_(@_)"/>
    <numFmt numFmtId="182" formatCode="[$$-409]#,##0"/>
    <numFmt numFmtId="183" formatCode="_(* #,##0.00000000_);_(* \(#,##0.00000000\);_(* &quot;-&quot;??????_);_(@_)"/>
    <numFmt numFmtId="184" formatCode="_(* #,##0.0000_);_(* \(#,##0.0000\);_(* &quot;-&quot;??_);_(@_)"/>
    <numFmt numFmtId="185" formatCode="0.0000"/>
    <numFmt numFmtId="186" formatCode="0.0000%"/>
    <numFmt numFmtId="187" formatCode="_(* #,##0.0000000_);_(* \(#,##0.0000000\);_(* &quot;-&quot;??_);_(@_)"/>
    <numFmt numFmtId="188" formatCode="_(* #,##0.00000000_);_(* \(#,##0.00000000\);_(* &quot;-&quot;??_);_(@_)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u val="singleAccounting"/>
      <sz val="10"/>
      <color rgb="FF00B050"/>
      <name val="Arial"/>
      <family val="2"/>
    </font>
    <font>
      <b/>
      <u val="singleAccounting"/>
      <sz val="10"/>
      <color rgb="FF00B050"/>
      <name val="Arial"/>
      <family val="2"/>
    </font>
    <font>
      <u/>
      <sz val="10"/>
      <color rgb="FF00B050"/>
      <name val="Arial"/>
      <family val="2"/>
    </font>
    <font>
      <i/>
      <sz val="14"/>
      <color rgb="FF00B050"/>
      <name val="Arial"/>
      <family val="2"/>
    </font>
    <font>
      <sz val="12"/>
      <name val="Times New Roman"/>
      <family val="1"/>
    </font>
    <font>
      <b/>
      <u val="double"/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i/>
      <sz val="16"/>
      <name val="Times New Roman"/>
      <family val="1"/>
    </font>
    <font>
      <b/>
      <i/>
      <sz val="16"/>
      <name val="Arial"/>
      <family val="2"/>
    </font>
    <font>
      <i/>
      <sz val="16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i/>
      <sz val="12"/>
      <name val="Arial"/>
      <family val="2"/>
    </font>
    <font>
      <sz val="14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5" fontId="0" fillId="2" borderId="0" xfId="1" applyNumberFormat="1" applyFont="1" applyFill="1"/>
    <xf numFmtId="1" fontId="0" fillId="0" borderId="0" xfId="0" applyNumberFormat="1" applyAlignment="1">
      <alignment horizontal="right"/>
    </xf>
    <xf numFmtId="165" fontId="0" fillId="0" borderId="0" xfId="1" applyNumberFormat="1" applyFont="1" applyFill="1"/>
    <xf numFmtId="165" fontId="2" fillId="0" borderId="0" xfId="1" applyNumberFormat="1" applyFont="1" applyFill="1"/>
    <xf numFmtId="0" fontId="1" fillId="0" borderId="0" xfId="0" applyFont="1"/>
    <xf numFmtId="0" fontId="0" fillId="2" borderId="0" xfId="0" applyFill="1"/>
    <xf numFmtId="0" fontId="0" fillId="3" borderId="0" xfId="0" applyFill="1"/>
    <xf numFmtId="165" fontId="0" fillId="2" borderId="0" xfId="0" applyNumberFormat="1" applyFill="1"/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3" borderId="3" xfId="0" applyFill="1" applyBorder="1"/>
    <xf numFmtId="1" fontId="0" fillId="2" borderId="3" xfId="0" applyNumberFormat="1" applyFill="1" applyBorder="1"/>
    <xf numFmtId="1" fontId="0" fillId="0" borderId="2" xfId="0" applyNumberFormat="1" applyBorder="1"/>
    <xf numFmtId="1" fontId="0" fillId="3" borderId="0" xfId="0" applyNumberFormat="1" applyFill="1"/>
    <xf numFmtId="166" fontId="0" fillId="0" borderId="0" xfId="0" applyNumberFormat="1"/>
    <xf numFmtId="166" fontId="0" fillId="0" borderId="2" xfId="0" applyNumberFormat="1" applyBorder="1"/>
    <xf numFmtId="166" fontId="0" fillId="3" borderId="0" xfId="0" applyNumberFormat="1" applyFill="1"/>
    <xf numFmtId="167" fontId="0" fillId="2" borderId="0" xfId="1" applyNumberFormat="1" applyFont="1" applyFill="1"/>
    <xf numFmtId="37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0" fillId="3" borderId="1" xfId="0" applyFill="1" applyBorder="1"/>
    <xf numFmtId="43" fontId="0" fillId="0" borderId="0" xfId="1" applyFont="1"/>
    <xf numFmtId="166" fontId="0" fillId="0" borderId="1" xfId="0" applyNumberFormat="1" applyBorder="1"/>
    <xf numFmtId="168" fontId="0" fillId="0" borderId="0" xfId="1" applyNumberFormat="1" applyFont="1"/>
    <xf numFmtId="166" fontId="0" fillId="0" borderId="3" xfId="0" applyNumberFormat="1" applyBorder="1"/>
    <xf numFmtId="169" fontId="0" fillId="0" borderId="0" xfId="0" applyNumberForma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65" fontId="0" fillId="0" borderId="0" xfId="1" applyNumberFormat="1" applyFont="1" applyBorder="1"/>
    <xf numFmtId="165" fontId="0" fillId="2" borderId="0" xfId="1" applyNumberFormat="1" applyFont="1" applyFill="1" applyBorder="1"/>
    <xf numFmtId="167" fontId="0" fillId="2" borderId="11" xfId="1" applyNumberFormat="1" applyFont="1" applyFill="1" applyBorder="1"/>
    <xf numFmtId="38" fontId="0" fillId="0" borderId="0" xfId="0" applyNumberFormat="1"/>
    <xf numFmtId="0" fontId="2" fillId="0" borderId="0" xfId="0" applyFont="1" applyAlignment="1">
      <alignment horizontal="center"/>
    </xf>
    <xf numFmtId="38" fontId="5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7" borderId="0" xfId="0" applyFont="1" applyFill="1"/>
    <xf numFmtId="0" fontId="1" fillId="8" borderId="0" xfId="0" applyFont="1" applyFill="1"/>
    <xf numFmtId="0" fontId="2" fillId="8" borderId="0" xfId="0" applyFont="1" applyFill="1" applyAlignment="1">
      <alignment horizontal="center"/>
    </xf>
    <xf numFmtId="0" fontId="1" fillId="6" borderId="0" xfId="0" applyFont="1" applyFill="1"/>
    <xf numFmtId="38" fontId="0" fillId="0" borderId="0" xfId="0" applyNumberFormat="1" applyAlignment="1">
      <alignment horizontal="right"/>
    </xf>
    <xf numFmtId="38" fontId="5" fillId="0" borderId="0" xfId="0" applyNumberFormat="1" applyFont="1" applyAlignment="1">
      <alignment horizontal="right"/>
    </xf>
    <xf numFmtId="168" fontId="0" fillId="0" borderId="0" xfId="0" applyNumberFormat="1"/>
    <xf numFmtId="165" fontId="6" fillId="0" borderId="0" xfId="1" applyNumberFormat="1" applyFont="1"/>
    <xf numFmtId="168" fontId="6" fillId="0" borderId="0" xfId="1" applyNumberFormat="1" applyFont="1"/>
    <xf numFmtId="165" fontId="6" fillId="0" borderId="0" xfId="1" applyNumberFormat="1" applyFont="1" applyBorder="1"/>
    <xf numFmtId="168" fontId="6" fillId="0" borderId="0" xfId="1" applyNumberFormat="1" applyFont="1" applyBorder="1"/>
    <xf numFmtId="0" fontId="2" fillId="0" borderId="0" xfId="0" applyFont="1"/>
    <xf numFmtId="2" fontId="0" fillId="0" borderId="0" xfId="0" applyNumberFormat="1"/>
    <xf numFmtId="3" fontId="2" fillId="0" borderId="0" xfId="0" applyNumberFormat="1" applyFont="1"/>
    <xf numFmtId="38" fontId="1" fillId="0" borderId="0" xfId="0" applyNumberFormat="1" applyFont="1" applyAlignment="1">
      <alignment horizontal="right"/>
    </xf>
    <xf numFmtId="165" fontId="0" fillId="5" borderId="0" xfId="1" applyNumberFormat="1" applyFont="1" applyFill="1"/>
    <xf numFmtId="1" fontId="0" fillId="2" borderId="1" xfId="0" applyNumberFormat="1" applyFill="1" applyBorder="1"/>
    <xf numFmtId="165" fontId="0" fillId="0" borderId="0" xfId="1" applyNumberFormat="1" applyFont="1" applyFill="1" applyBorder="1"/>
    <xf numFmtId="1" fontId="0" fillId="2" borderId="2" xfId="0" applyNumberFormat="1" applyFill="1" applyBorder="1"/>
    <xf numFmtId="1" fontId="0" fillId="2" borderId="0" xfId="0" applyNumberFormat="1" applyFill="1"/>
    <xf numFmtId="170" fontId="0" fillId="0" borderId="0" xfId="1" applyNumberFormat="1" applyFont="1"/>
    <xf numFmtId="171" fontId="0" fillId="0" borderId="0" xfId="0" applyNumberFormat="1"/>
    <xf numFmtId="172" fontId="0" fillId="0" borderId="0" xfId="0" applyNumberFormat="1"/>
    <xf numFmtId="172" fontId="0" fillId="0" borderId="0" xfId="1" applyNumberFormat="1" applyFont="1"/>
    <xf numFmtId="172" fontId="0" fillId="2" borderId="0" xfId="1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172" fontId="0" fillId="0" borderId="0" xfId="2" applyNumberFormat="1" applyFont="1"/>
    <xf numFmtId="172" fontId="0" fillId="0" borderId="0" xfId="1" applyNumberFormat="1" applyFont="1" applyFill="1"/>
    <xf numFmtId="165" fontId="0" fillId="9" borderId="0" xfId="1" applyNumberFormat="1" applyFont="1" applyFill="1"/>
    <xf numFmtId="165" fontId="0" fillId="0" borderId="11" xfId="1" applyNumberFormat="1" applyFon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0" fillId="2" borderId="2" xfId="0" applyFill="1" applyBorder="1"/>
    <xf numFmtId="165" fontId="0" fillId="3" borderId="0" xfId="1" applyNumberFormat="1" applyFont="1" applyFill="1"/>
    <xf numFmtId="165" fontId="0" fillId="3" borderId="1" xfId="1" applyNumberFormat="1" applyFont="1" applyFill="1" applyBorder="1"/>
    <xf numFmtId="165" fontId="0" fillId="3" borderId="2" xfId="1" applyNumberFormat="1" applyFont="1" applyFill="1" applyBorder="1"/>
    <xf numFmtId="165" fontId="0" fillId="2" borderId="3" xfId="1" applyNumberFormat="1" applyFont="1" applyFill="1" applyBorder="1"/>
    <xf numFmtId="0" fontId="0" fillId="5" borderId="0" xfId="0" applyFill="1"/>
    <xf numFmtId="165" fontId="1" fillId="0" borderId="0" xfId="1" applyNumberFormat="1" applyFont="1"/>
    <xf numFmtId="43" fontId="0" fillId="0" borderId="0" xfId="0" applyNumberFormat="1"/>
    <xf numFmtId="0" fontId="0" fillId="5" borderId="1" xfId="0" applyFill="1" applyBorder="1"/>
    <xf numFmtId="0" fontId="0" fillId="5" borderId="2" xfId="0" applyFill="1" applyBorder="1"/>
    <xf numFmtId="165" fontId="0" fillId="9" borderId="3" xfId="1" applyNumberFormat="1" applyFont="1" applyFill="1" applyBorder="1"/>
    <xf numFmtId="0" fontId="0" fillId="5" borderId="3" xfId="0" applyFill="1" applyBorder="1"/>
    <xf numFmtId="9" fontId="0" fillId="0" borderId="0" xfId="3" applyFont="1"/>
    <xf numFmtId="173" fontId="0" fillId="0" borderId="0" xfId="0" applyNumberFormat="1"/>
    <xf numFmtId="174" fontId="0" fillId="0" borderId="0" xfId="3" applyNumberFormat="1" applyFont="1"/>
    <xf numFmtId="3" fontId="1" fillId="0" borderId="0" xfId="0" applyNumberFormat="1" applyFont="1"/>
    <xf numFmtId="165" fontId="1" fillId="0" borderId="0" xfId="0" applyNumberFormat="1" applyFont="1"/>
    <xf numFmtId="10" fontId="0" fillId="0" borderId="0" xfId="3" applyNumberFormat="1" applyFont="1"/>
    <xf numFmtId="10" fontId="0" fillId="0" borderId="0" xfId="0" applyNumberFormat="1"/>
    <xf numFmtId="165" fontId="0" fillId="3" borderId="0" xfId="1" applyNumberFormat="1" applyFont="1" applyFill="1" applyBorder="1"/>
    <xf numFmtId="1" fontId="0" fillId="9" borderId="0" xfId="0" applyNumberFormat="1" applyFill="1"/>
    <xf numFmtId="165" fontId="0" fillId="9" borderId="0" xfId="1" applyNumberFormat="1" applyFont="1" applyFill="1" applyBorder="1"/>
    <xf numFmtId="165" fontId="0" fillId="0" borderId="11" xfId="0" applyNumberFormat="1" applyBorder="1"/>
    <xf numFmtId="175" fontId="0" fillId="0" borderId="0" xfId="0" applyNumberFormat="1"/>
    <xf numFmtId="0" fontId="0" fillId="9" borderId="0" xfId="0" applyFill="1"/>
    <xf numFmtId="165" fontId="0" fillId="9" borderId="0" xfId="0" applyNumberFormat="1" applyFill="1"/>
    <xf numFmtId="44" fontId="0" fillId="0" borderId="0" xfId="2" applyFont="1"/>
    <xf numFmtId="176" fontId="0" fillId="0" borderId="0" xfId="2" applyNumberFormat="1" applyFont="1"/>
    <xf numFmtId="177" fontId="0" fillId="0" borderId="0" xfId="2" applyNumberFormat="1" applyFont="1"/>
    <xf numFmtId="44" fontId="2" fillId="0" borderId="0" xfId="0" applyNumberFormat="1" applyFont="1"/>
    <xf numFmtId="10" fontId="0" fillId="0" borderId="11" xfId="3" applyNumberFormat="1" applyFont="1" applyBorder="1"/>
    <xf numFmtId="177" fontId="0" fillId="0" borderId="11" xfId="2" applyNumberFormat="1" applyFont="1" applyBorder="1"/>
    <xf numFmtId="176" fontId="0" fillId="0" borderId="11" xfId="2" applyNumberFormat="1" applyFont="1" applyBorder="1"/>
    <xf numFmtId="177" fontId="0" fillId="0" borderId="0" xfId="0" applyNumberFormat="1"/>
    <xf numFmtId="4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1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76" fontId="0" fillId="0" borderId="0" xfId="2" applyNumberFormat="1" applyFont="1" applyFill="1"/>
    <xf numFmtId="44" fontId="0" fillId="0" borderId="0" xfId="2" applyFont="1" applyFill="1"/>
    <xf numFmtId="165" fontId="6" fillId="0" borderId="0" xfId="1" applyNumberFormat="1" applyFont="1" applyFill="1"/>
    <xf numFmtId="165" fontId="0" fillId="0" borderId="11" xfId="1" applyNumberFormat="1" applyFont="1" applyFill="1" applyBorder="1"/>
    <xf numFmtId="165" fontId="1" fillId="0" borderId="0" xfId="1" applyNumberFormat="1" applyFont="1" applyFill="1"/>
    <xf numFmtId="44" fontId="1" fillId="0" borderId="0" xfId="2" applyFont="1" applyFill="1"/>
    <xf numFmtId="165" fontId="2" fillId="0" borderId="0" xfId="1" applyNumberFormat="1" applyFont="1"/>
    <xf numFmtId="44" fontId="0" fillId="0" borderId="0" xfId="0" applyNumberFormat="1"/>
    <xf numFmtId="44" fontId="6" fillId="0" borderId="0" xfId="2" applyFont="1" applyFill="1"/>
    <xf numFmtId="0" fontId="5" fillId="0" borderId="0" xfId="0" applyFont="1"/>
    <xf numFmtId="44" fontId="1" fillId="0" borderId="0" xfId="0" applyNumberFormat="1" applyFont="1"/>
    <xf numFmtId="174" fontId="1" fillId="0" borderId="0" xfId="3" applyNumberFormat="1" applyFont="1" applyFill="1"/>
    <xf numFmtId="174" fontId="0" fillId="0" borderId="0" xfId="2" applyNumberFormat="1" applyFont="1" applyFill="1"/>
    <xf numFmtId="174" fontId="5" fillId="0" borderId="0" xfId="3" applyNumberFormat="1" applyFont="1" applyFill="1"/>
    <xf numFmtId="178" fontId="0" fillId="0" borderId="0" xfId="0" applyNumberFormat="1"/>
    <xf numFmtId="44" fontId="6" fillId="0" borderId="0" xfId="0" applyNumberFormat="1" applyFont="1"/>
    <xf numFmtId="174" fontId="0" fillId="0" borderId="0" xfId="0" applyNumberFormat="1"/>
    <xf numFmtId="174" fontId="2" fillId="0" borderId="0" xfId="0" applyNumberFormat="1" applyFont="1"/>
    <xf numFmtId="44" fontId="1" fillId="0" borderId="0" xfId="2" applyFont="1"/>
    <xf numFmtId="43" fontId="1" fillId="0" borderId="0" xfId="1" applyFont="1" applyFill="1"/>
    <xf numFmtId="180" fontId="0" fillId="0" borderId="0" xfId="2" applyNumberFormat="1" applyFont="1"/>
    <xf numFmtId="165" fontId="2" fillId="0" borderId="0" xfId="0" applyNumberFormat="1" applyFont="1"/>
    <xf numFmtId="43" fontId="2" fillId="0" borderId="0" xfId="1" applyFont="1" applyFill="1"/>
    <xf numFmtId="0" fontId="11" fillId="0" borderId="13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11" fillId="0" borderId="14" xfId="0" applyFont="1" applyBorder="1" applyAlignment="1">
      <alignment horizontal="centerContinuous"/>
    </xf>
    <xf numFmtId="0" fontId="11" fillId="0" borderId="15" xfId="0" applyFont="1" applyBorder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2" applyFont="1" applyFill="1"/>
    <xf numFmtId="176" fontId="12" fillId="0" borderId="0" xfId="2" applyNumberFormat="1" applyFont="1" applyFill="1"/>
    <xf numFmtId="0" fontId="13" fillId="0" borderId="0" xfId="0" applyFont="1" applyAlignment="1">
      <alignment horizontal="center"/>
    </xf>
    <xf numFmtId="165" fontId="13" fillId="0" borderId="0" xfId="1" applyNumberFormat="1" applyFont="1"/>
    <xf numFmtId="10" fontId="12" fillId="0" borderId="0" xfId="3" applyNumberFormat="1" applyFont="1"/>
    <xf numFmtId="177" fontId="12" fillId="0" borderId="0" xfId="2" applyNumberFormat="1" applyFont="1"/>
    <xf numFmtId="176" fontId="12" fillId="0" borderId="0" xfId="2" applyNumberFormat="1" applyFont="1"/>
    <xf numFmtId="165" fontId="12" fillId="0" borderId="0" xfId="1" applyNumberFormat="1" applyFont="1"/>
    <xf numFmtId="165" fontId="12" fillId="0" borderId="0" xfId="1" applyNumberFormat="1" applyFont="1" applyFill="1" applyAlignment="1">
      <alignment horizontal="center"/>
    </xf>
    <xf numFmtId="44" fontId="12" fillId="0" borderId="0" xfId="2" applyFont="1" applyFill="1" applyAlignment="1">
      <alignment horizontal="center"/>
    </xf>
    <xf numFmtId="165" fontId="12" fillId="0" borderId="0" xfId="1" applyNumberFormat="1" applyFont="1" applyFill="1"/>
    <xf numFmtId="44" fontId="13" fillId="0" borderId="0" xfId="0" applyNumberFormat="1" applyFont="1"/>
    <xf numFmtId="44" fontId="12" fillId="0" borderId="0" xfId="0" applyNumberFormat="1" applyFont="1"/>
    <xf numFmtId="174" fontId="12" fillId="0" borderId="0" xfId="3" applyNumberFormat="1" applyFont="1"/>
    <xf numFmtId="180" fontId="12" fillId="0" borderId="0" xfId="2" applyNumberFormat="1" applyFont="1"/>
    <xf numFmtId="165" fontId="14" fillId="0" borderId="0" xfId="1" applyNumberFormat="1" applyFont="1" applyFill="1"/>
    <xf numFmtId="44" fontId="15" fillId="0" borderId="0" xfId="0" applyNumberFormat="1" applyFont="1"/>
    <xf numFmtId="44" fontId="14" fillId="0" borderId="0" xfId="0" applyNumberFormat="1" applyFont="1"/>
    <xf numFmtId="174" fontId="16" fillId="0" borderId="0" xfId="3" applyNumberFormat="1" applyFont="1"/>
    <xf numFmtId="165" fontId="13" fillId="0" borderId="0" xfId="1" applyNumberFormat="1" applyFont="1" applyFill="1"/>
    <xf numFmtId="174" fontId="12" fillId="0" borderId="0" xfId="0" applyNumberFormat="1" applyFont="1"/>
    <xf numFmtId="9" fontId="12" fillId="0" borderId="0" xfId="3" applyFont="1"/>
    <xf numFmtId="165" fontId="14" fillId="0" borderId="0" xfId="1" applyNumberFormat="1" applyFont="1"/>
    <xf numFmtId="10" fontId="12" fillId="0" borderId="11" xfId="3" applyNumberFormat="1" applyFont="1" applyBorder="1"/>
    <xf numFmtId="177" fontId="12" fillId="0" borderId="11" xfId="2" applyNumberFormat="1" applyFont="1" applyBorder="1"/>
    <xf numFmtId="176" fontId="12" fillId="0" borderId="11" xfId="2" applyNumberFormat="1" applyFont="1" applyBorder="1"/>
    <xf numFmtId="10" fontId="1" fillId="0" borderId="0" xfId="3" applyNumberFormat="1" applyFont="1"/>
    <xf numFmtId="177" fontId="1" fillId="0" borderId="0" xfId="2" applyNumberFormat="1" applyFont="1"/>
    <xf numFmtId="176" fontId="1" fillId="0" borderId="0" xfId="2" applyNumberFormat="1" applyFont="1"/>
    <xf numFmtId="165" fontId="12" fillId="0" borderId="11" xfId="1" applyNumberFormat="1" applyFont="1" applyFill="1" applyBorder="1"/>
    <xf numFmtId="0" fontId="13" fillId="0" borderId="0" xfId="0" applyFont="1"/>
    <xf numFmtId="174" fontId="12" fillId="0" borderId="0" xfId="3" applyNumberFormat="1" applyFont="1" applyFill="1"/>
    <xf numFmtId="44" fontId="14" fillId="0" borderId="0" xfId="2" applyFont="1" applyFill="1"/>
    <xf numFmtId="165" fontId="13" fillId="0" borderId="0" xfId="0" applyNumberFormat="1" applyFont="1"/>
    <xf numFmtId="44" fontId="13" fillId="0" borderId="0" xfId="2" applyFont="1" applyFill="1"/>
    <xf numFmtId="177" fontId="12" fillId="0" borderId="0" xfId="2" applyNumberFormat="1" applyFont="1" applyFill="1"/>
    <xf numFmtId="44" fontId="15" fillId="0" borderId="0" xfId="2" applyFont="1" applyFill="1"/>
    <xf numFmtId="44" fontId="12" fillId="0" borderId="0" xfId="2" applyFont="1"/>
    <xf numFmtId="43" fontId="12" fillId="0" borderId="0" xfId="1" applyFont="1" applyFill="1"/>
    <xf numFmtId="8" fontId="12" fillId="0" borderId="0" xfId="2" applyNumberFormat="1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44" fontId="12" fillId="0" borderId="0" xfId="2" applyFont="1" applyAlignment="1">
      <alignment horizontal="center" vertical="center"/>
    </xf>
    <xf numFmtId="176" fontId="12" fillId="0" borderId="0" xfId="2" applyNumberFormat="1" applyFont="1" applyAlignment="1">
      <alignment horizontal="center" vertical="center"/>
    </xf>
    <xf numFmtId="44" fontId="12" fillId="0" borderId="0" xfId="2" applyFont="1" applyFill="1" applyAlignment="1">
      <alignment horizontal="center" vertical="center"/>
    </xf>
    <xf numFmtId="8" fontId="12" fillId="0" borderId="0" xfId="2" applyNumberFormat="1" applyFont="1" applyFill="1" applyAlignment="1">
      <alignment horizontal="center" vertical="center"/>
    </xf>
    <xf numFmtId="4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14" fillId="0" borderId="0" xfId="1" applyNumberFormat="1" applyFont="1" applyFill="1" applyBorder="1"/>
    <xf numFmtId="44" fontId="13" fillId="0" borderId="0" xfId="2" applyFont="1"/>
    <xf numFmtId="179" fontId="13" fillId="0" borderId="0" xfId="2" applyNumberFormat="1" applyFont="1"/>
    <xf numFmtId="181" fontId="13" fillId="0" borderId="0" xfId="2" applyNumberFormat="1" applyFont="1"/>
    <xf numFmtId="176" fontId="1" fillId="0" borderId="0" xfId="2" applyNumberFormat="1" applyFont="1" applyFill="1"/>
    <xf numFmtId="43" fontId="12" fillId="0" borderId="0" xfId="1" applyFont="1"/>
    <xf numFmtId="0" fontId="10" fillId="0" borderId="0" xfId="0" applyFont="1"/>
    <xf numFmtId="38" fontId="0" fillId="0" borderId="0" xfId="0" applyNumberFormat="1" applyAlignment="1">
      <alignment horizontal="left" indent="2"/>
    </xf>
    <xf numFmtId="174" fontId="0" fillId="0" borderId="11" xfId="3" applyNumberFormat="1" applyFont="1" applyBorder="1"/>
    <xf numFmtId="38" fontId="10" fillId="0" borderId="0" xfId="0" applyNumberFormat="1" applyFont="1" applyAlignment="1">
      <alignment horizontal="left" indent="2"/>
    </xf>
    <xf numFmtId="182" fontId="18" fillId="0" borderId="0" xfId="0" applyNumberFormat="1" applyFont="1" applyAlignment="1">
      <alignment horizontal="centerContinuous"/>
    </xf>
    <xf numFmtId="1" fontId="19" fillId="0" borderId="0" xfId="0" applyNumberFormat="1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1" fontId="21" fillId="0" borderId="0" xfId="0" applyNumberFormat="1" applyFont="1" applyAlignment="1">
      <alignment horizontal="centerContinuous"/>
    </xf>
    <xf numFmtId="1" fontId="21" fillId="0" borderId="0" xfId="0" applyNumberFormat="1" applyFont="1" applyAlignment="1">
      <alignment horizontal="left"/>
    </xf>
    <xf numFmtId="182" fontId="18" fillId="0" borderId="0" xfId="0" applyNumberFormat="1" applyFont="1"/>
    <xf numFmtId="1" fontId="22" fillId="0" borderId="0" xfId="0" applyNumberFormat="1" applyFont="1" applyAlignment="1">
      <alignment horizontal="centerContinuous"/>
    </xf>
    <xf numFmtId="182" fontId="23" fillId="0" borderId="0" xfId="0" applyNumberFormat="1" applyFont="1" applyAlignment="1">
      <alignment horizontal="centerContinuous"/>
    </xf>
    <xf numFmtId="1" fontId="24" fillId="0" borderId="0" xfId="0" applyNumberFormat="1" applyFont="1" applyAlignment="1">
      <alignment horizontal="centerContinuous"/>
    </xf>
    <xf numFmtId="1" fontId="25" fillId="0" borderId="0" xfId="0" applyNumberFormat="1" applyFont="1" applyAlignment="1">
      <alignment horizontal="centerContinuous"/>
    </xf>
    <xf numFmtId="1" fontId="25" fillId="0" borderId="0" xfId="0" applyNumberFormat="1" applyFont="1" applyAlignment="1">
      <alignment horizontal="left"/>
    </xf>
    <xf numFmtId="182" fontId="23" fillId="0" borderId="0" xfId="0" applyNumberFormat="1" applyFont="1"/>
    <xf numFmtId="182" fontId="18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Continuous"/>
    </xf>
    <xf numFmtId="1" fontId="27" fillId="0" borderId="0" xfId="0" quotePrefix="1" applyNumberFormat="1" applyFont="1" applyAlignment="1">
      <alignment horizontal="centerContinuous"/>
    </xf>
    <xf numFmtId="1" fontId="26" fillId="0" borderId="0" xfId="0" applyNumberFormat="1" applyFont="1" applyAlignment="1">
      <alignment horizontal="left"/>
    </xf>
    <xf numFmtId="182" fontId="21" fillId="0" borderId="0" xfId="0" applyNumberFormat="1" applyFont="1"/>
    <xf numFmtId="182" fontId="28" fillId="0" borderId="0" xfId="0" applyNumberFormat="1" applyFont="1" applyAlignment="1">
      <alignment horizontal="center"/>
    </xf>
    <xf numFmtId="182" fontId="2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77" fontId="0" fillId="0" borderId="0" xfId="2" applyNumberFormat="1" applyFont="1" applyAlignment="1">
      <alignment horizontal="center"/>
    </xf>
    <xf numFmtId="182" fontId="21" fillId="0" borderId="0" xfId="0" applyNumberFormat="1" applyFont="1" applyAlignment="1">
      <alignment horizontal="right"/>
    </xf>
    <xf numFmtId="182" fontId="0" fillId="0" borderId="0" xfId="0" applyNumberFormat="1" applyAlignment="1">
      <alignment horizontal="right"/>
    </xf>
    <xf numFmtId="10" fontId="21" fillId="0" borderId="0" xfId="3" applyNumberFormat="1" applyFont="1" applyFill="1" applyAlignment="1">
      <alignment horizontal="right"/>
    </xf>
    <xf numFmtId="182" fontId="0" fillId="0" borderId="0" xfId="0" applyNumberFormat="1"/>
    <xf numFmtId="177" fontId="0" fillId="0" borderId="0" xfId="2" applyNumberFormat="1" applyFont="1" applyFill="1" applyAlignment="1">
      <alignment horizontal="center"/>
    </xf>
    <xf numFmtId="182" fontId="29" fillId="0" borderId="0" xfId="0" applyNumberFormat="1" applyFont="1" applyAlignment="1">
      <alignment horizontal="right"/>
    </xf>
    <xf numFmtId="182" fontId="0" fillId="0" borderId="11" xfId="0" applyNumberFormat="1" applyBorder="1"/>
    <xf numFmtId="0" fontId="21" fillId="0" borderId="0" xfId="0" applyFont="1" applyAlignment="1">
      <alignment horizontal="center"/>
    </xf>
    <xf numFmtId="182" fontId="21" fillId="0" borderId="0" xfId="0" applyNumberFormat="1" applyFont="1" applyAlignment="1">
      <alignment horizontal="left"/>
    </xf>
    <xf numFmtId="177" fontId="0" fillId="0" borderId="0" xfId="0" applyNumberFormat="1" applyAlignment="1">
      <alignment horizontal="center"/>
    </xf>
    <xf numFmtId="183" fontId="21" fillId="0" borderId="0" xfId="2" applyNumberFormat="1" applyFont="1" applyFill="1" applyAlignment="1">
      <alignment horizontal="left"/>
    </xf>
    <xf numFmtId="10" fontId="0" fillId="0" borderId="0" xfId="3" applyNumberFormat="1" applyFont="1" applyFill="1" applyAlignment="1">
      <alignment horizontal="right"/>
    </xf>
    <xf numFmtId="182" fontId="0" fillId="10" borderId="0" xfId="0" applyNumberFormat="1" applyFill="1"/>
    <xf numFmtId="184" fontId="0" fillId="0" borderId="0" xfId="0" applyNumberFormat="1"/>
    <xf numFmtId="184" fontId="0" fillId="0" borderId="0" xfId="1" applyNumberFormat="1" applyFont="1" applyFill="1"/>
    <xf numFmtId="185" fontId="0" fillId="0" borderId="0" xfId="0" applyNumberFormat="1"/>
    <xf numFmtId="184" fontId="0" fillId="0" borderId="0" xfId="1" applyNumberFormat="1" applyFont="1"/>
    <xf numFmtId="182" fontId="21" fillId="0" borderId="11" xfId="0" applyNumberFormat="1" applyFont="1" applyBorder="1" applyAlignment="1">
      <alignment horizontal="right"/>
    </xf>
    <xf numFmtId="182" fontId="21" fillId="0" borderId="0" xfId="0" applyNumberFormat="1" applyFont="1" applyAlignment="1">
      <alignment horizontal="center" wrapText="1"/>
    </xf>
    <xf numFmtId="182" fontId="21" fillId="10" borderId="0" xfId="0" applyNumberFormat="1" applyFont="1" applyFill="1" applyAlignment="1">
      <alignment horizontal="right"/>
    </xf>
    <xf numFmtId="182" fontId="0" fillId="0" borderId="11" xfId="0" applyNumberFormat="1" applyBorder="1" applyAlignment="1">
      <alignment horizontal="right"/>
    </xf>
    <xf numFmtId="182" fontId="21" fillId="0" borderId="0" xfId="0" quotePrefix="1" applyNumberFormat="1" applyFont="1" applyAlignment="1">
      <alignment horizontal="right"/>
    </xf>
    <xf numFmtId="182" fontId="21" fillId="5" borderId="0" xfId="0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82" fontId="2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0" fontId="0" fillId="0" borderId="0" xfId="3" applyNumberFormat="1" applyFont="1" applyFill="1" applyAlignment="1">
      <alignment horizontal="right" vertical="center"/>
    </xf>
    <xf numFmtId="182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 wrapText="1"/>
    </xf>
    <xf numFmtId="182" fontId="21" fillId="0" borderId="1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182" fontId="26" fillId="0" borderId="0" xfId="0" applyNumberFormat="1" applyFont="1" applyAlignment="1">
      <alignment horizontal="right"/>
    </xf>
    <xf numFmtId="182" fontId="21" fillId="9" borderId="0" xfId="0" applyNumberFormat="1" applyFont="1" applyFill="1" applyAlignment="1">
      <alignment horizontal="right"/>
    </xf>
    <xf numFmtId="0" fontId="28" fillId="0" borderId="0" xfId="0" applyFont="1" applyAlignment="1">
      <alignment horizontal="right"/>
    </xf>
    <xf numFmtId="174" fontId="21" fillId="0" borderId="0" xfId="3" applyNumberFormat="1" applyFont="1"/>
    <xf numFmtId="0" fontId="26" fillId="0" borderId="0" xfId="0" applyFont="1" applyAlignment="1">
      <alignment horizontal="right"/>
    </xf>
    <xf numFmtId="10" fontId="26" fillId="0" borderId="0" xfId="3" applyNumberFormat="1" applyFont="1" applyFill="1" applyAlignment="1">
      <alignment horizontal="right"/>
    </xf>
    <xf numFmtId="182" fontId="26" fillId="0" borderId="0" xfId="0" applyNumberFormat="1" applyFont="1" applyAlignment="1">
      <alignment horizontal="left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Alignment="1">
      <alignment horizontal="right"/>
    </xf>
    <xf numFmtId="177" fontId="0" fillId="0" borderId="0" xfId="2" applyNumberFormat="1" applyFont="1" applyFill="1"/>
    <xf numFmtId="0" fontId="30" fillId="0" borderId="0" xfId="0" applyFont="1"/>
    <xf numFmtId="4" fontId="0" fillId="0" borderId="0" xfId="0" applyNumberFormat="1" applyAlignment="1">
      <alignment horizontal="right"/>
    </xf>
    <xf numFmtId="0" fontId="21" fillId="0" borderId="2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77" fontId="26" fillId="0" borderId="0" xfId="0" applyNumberFormat="1" applyFont="1"/>
    <xf numFmtId="4" fontId="26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182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left"/>
    </xf>
    <xf numFmtId="186" fontId="31" fillId="0" borderId="0" xfId="3" applyNumberFormat="1" applyFont="1" applyFill="1" applyAlignment="1">
      <alignment horizontal="right"/>
    </xf>
    <xf numFmtId="165" fontId="0" fillId="0" borderId="0" xfId="1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33" fillId="0" borderId="0" xfId="0" applyFont="1" applyAlignment="1">
      <alignment horizontal="center" vertical="center"/>
    </xf>
    <xf numFmtId="165" fontId="33" fillId="0" borderId="0" xfId="1" applyNumberFormat="1" applyFont="1"/>
    <xf numFmtId="165" fontId="33" fillId="0" borderId="0" xfId="0" applyNumberFormat="1" applyFont="1"/>
    <xf numFmtId="174" fontId="33" fillId="0" borderId="0" xfId="3" applyNumberFormat="1" applyFont="1"/>
    <xf numFmtId="44" fontId="15" fillId="0" borderId="0" xfId="2" applyFont="1"/>
    <xf numFmtId="0" fontId="34" fillId="0" borderId="0" xfId="0" applyFont="1"/>
    <xf numFmtId="0" fontId="35" fillId="0" borderId="0" xfId="0" applyFont="1"/>
    <xf numFmtId="177" fontId="1" fillId="0" borderId="11" xfId="2" applyNumberFormat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165" fontId="33" fillId="0" borderId="11" xfId="1" applyNumberFormat="1" applyFont="1" applyBorder="1"/>
    <xf numFmtId="165" fontId="33" fillId="0" borderId="11" xfId="0" applyNumberFormat="1" applyFont="1" applyBorder="1"/>
    <xf numFmtId="174" fontId="36" fillId="0" borderId="0" xfId="3" applyNumberFormat="1" applyFont="1"/>
    <xf numFmtId="174" fontId="33" fillId="0" borderId="11" xfId="3" applyNumberFormat="1" applyFont="1" applyBorder="1"/>
    <xf numFmtId="165" fontId="36" fillId="0" borderId="0" xfId="0" applyNumberFormat="1" applyFont="1"/>
    <xf numFmtId="0" fontId="36" fillId="0" borderId="0" xfId="0" applyFont="1" applyAlignment="1">
      <alignment horizontal="center"/>
    </xf>
    <xf numFmtId="174" fontId="33" fillId="0" borderId="0" xfId="3" applyNumberFormat="1" applyFont="1" applyFill="1" applyBorder="1"/>
    <xf numFmtId="38" fontId="1" fillId="0" borderId="0" xfId="0" applyNumberFormat="1" applyFont="1" applyAlignment="1">
      <alignment horizontal="left" indent="2"/>
    </xf>
    <xf numFmtId="188" fontId="0" fillId="0" borderId="0" xfId="0" applyNumberFormat="1"/>
    <xf numFmtId="187" fontId="0" fillId="0" borderId="0" xfId="1" applyNumberFormat="1" applyFont="1"/>
    <xf numFmtId="1" fontId="26" fillId="0" borderId="0" xfId="0" applyNumberFormat="1" applyFont="1" applyAlignment="1">
      <alignment horizontal="center"/>
    </xf>
    <xf numFmtId="18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7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1" fontId="26" fillId="0" borderId="0" xfId="0" applyNumberFormat="1" applyFont="1" applyAlignment="1">
      <alignment horizontal="center"/>
    </xf>
    <xf numFmtId="18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65" fontId="0" fillId="5" borderId="0" xfId="1" applyNumberFormat="1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6</xdr:col>
      <xdr:colOff>209219</xdr:colOff>
      <xdr:row>17</xdr:row>
      <xdr:rowOff>66505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D0C053-599B-52B0-A2AC-98D2512E9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457325"/>
          <a:ext cx="2647619" cy="1361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lick, Roger A" id="{00C02BC3-CEBB-48D9-9619-0622A747C19F}" userId="S::Roger.Flick@duke-energy.com::17e12df3-6a32-4057-9280-858131ac041d" providerId="AD"/>
  <person displayName="STEMLE, JAYME" id="{6E7A8493-2750-4D28-9D87-C96E040061D4}" userId="S::jayme.stemle@duke-energy.com::30486149-baaa-45e1-b55e-d7a12891edb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5" dT="2024-01-21T23:46:54.24" personId="{00C02BC3-CEBB-48D9-9619-0622A747C19F}" id="{F82AC705-3A46-4964-B372-7BCE5E8AFC23}">
    <text>Already has Modeling Coefficient in It</text>
  </threadedComment>
  <threadedComment ref="AA5" dT="2024-01-21T23:46:54.24" personId="{00C02BC3-CEBB-48D9-9619-0622A747C19F}" id="{66269BE9-78BA-4236-A2F9-86D7DA366CDD}">
    <text>Already has Modeling Coefficient in It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43" dT="2024-01-31T12:51:52.03" personId="{6E7A8493-2750-4D28-9D87-C96E040061D4}" id="{605AB600-C5F3-4017-832F-F66A19AD5958}">
    <text>From Rider Revenue by Customer Class 2025 excl spec contracts</text>
  </threadedComment>
  <threadedComment ref="A44" dT="2024-01-31T12:52:25.21" personId="{6E7A8493-2750-4D28-9D87-C96E040061D4}" id="{DF75B62F-F8A7-4E4F-B6DC-AEE8262C80AC}">
    <text>From Rider Revenue by Customer Class 2025 excl spec contracts</text>
  </threadedComment>
  <threadedComment ref="A45" dT="2024-01-31T12:52:53.85" personId="{6E7A8493-2750-4D28-9D87-C96E040061D4}" id="{1D2BAE18-8692-4A75-81E4-68F16A04D36E}">
    <text>From Rider Revenue by Customer Class 2025 excl spec contracts</text>
  </threadedComment>
  <threadedComment ref="A51" dT="2024-01-31T12:53:24.92" personId="{6E7A8493-2750-4D28-9D87-C96E040061D4}" id="{4A8EBA50-C528-41D9-8571-8F73B6856874}">
    <text>From Rider Revenue by Customer Class 2025 excl spec contracts</text>
  </threadedComment>
  <threadedComment ref="A53" dT="2024-01-31T12:53:50.15" personId="{6E7A8493-2750-4D28-9D87-C96E040061D4}" id="{4F0F6197-D4BB-4225-90C2-F919FFC3EFB9}">
    <text>From Rider Revenue by Customer Class 2025 excl spec contracts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D5"/>
  <sheetViews>
    <sheetView tabSelected="1" workbookViewId="0">
      <selection activeCell="D22" sqref="D22"/>
    </sheetView>
  </sheetViews>
  <sheetFormatPr defaultRowHeight="12.75" x14ac:dyDescent="0.2"/>
  <sheetData>
    <row r="3" spans="4:4" x14ac:dyDescent="0.2">
      <c r="D3" t="s">
        <v>0</v>
      </c>
    </row>
    <row r="4" spans="4:4" x14ac:dyDescent="0.2">
      <c r="D4" t="s">
        <v>1</v>
      </c>
    </row>
    <row r="5" spans="4:4" x14ac:dyDescent="0.2">
      <c r="D5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X69"/>
  <sheetViews>
    <sheetView topLeftCell="A6" zoomScale="110" zoomScaleNormal="110" workbookViewId="0">
      <selection activeCell="C24" sqref="C24"/>
    </sheetView>
  </sheetViews>
  <sheetFormatPr defaultColWidth="8.85546875" defaultRowHeight="12.75" x14ac:dyDescent="0.2"/>
  <cols>
    <col min="2" max="2" width="21" customWidth="1"/>
    <col min="3" max="3" width="30.28515625" customWidth="1"/>
    <col min="4" max="4" width="24.140625" customWidth="1"/>
    <col min="5" max="5" width="17.7109375" bestFit="1" customWidth="1"/>
    <col min="6" max="6" width="13.28515625" customWidth="1"/>
    <col min="8" max="8" width="21" customWidth="1"/>
    <col min="9" max="9" width="17.28515625" customWidth="1"/>
    <col min="10" max="10" width="8.5703125" customWidth="1"/>
    <col min="11" max="12" width="17.28515625" customWidth="1"/>
    <col min="13" max="13" width="18.7109375" bestFit="1" customWidth="1"/>
    <col min="14" max="14" width="16.5703125" bestFit="1" customWidth="1"/>
    <col min="15" max="15" width="19.28515625" bestFit="1" customWidth="1"/>
    <col min="16" max="16" width="18.42578125" customWidth="1"/>
    <col min="17" max="17" width="16.7109375" customWidth="1"/>
    <col min="18" max="18" width="17.7109375" bestFit="1" customWidth="1"/>
    <col min="19" max="19" width="14" bestFit="1" customWidth="1"/>
    <col min="20" max="20" width="30.140625" customWidth="1"/>
    <col min="21" max="21" width="17.28515625" customWidth="1"/>
    <col min="22" max="22" width="8.5703125" customWidth="1"/>
    <col min="23" max="24" width="17.28515625" customWidth="1"/>
    <col min="25" max="25" width="17.7109375" bestFit="1" customWidth="1"/>
    <col min="26" max="26" width="15.5703125" bestFit="1" customWidth="1"/>
    <col min="27" max="27" width="20.28515625" bestFit="1" customWidth="1"/>
    <col min="28" max="28" width="18.42578125" customWidth="1"/>
    <col min="29" max="29" width="16.7109375" customWidth="1"/>
    <col min="30" max="30" width="17.7109375" bestFit="1" customWidth="1"/>
    <col min="31" max="31" width="12" customWidth="1"/>
    <col min="34" max="34" width="15.140625" bestFit="1" customWidth="1"/>
    <col min="35" max="35" width="17.7109375" bestFit="1" customWidth="1"/>
    <col min="36" max="36" width="16.140625" customWidth="1"/>
    <col min="37" max="38" width="12.7109375" customWidth="1"/>
    <col min="40" max="40" width="18.7109375" bestFit="1" customWidth="1"/>
    <col min="41" max="41" width="17.7109375" bestFit="1" customWidth="1"/>
    <col min="42" max="42" width="16.140625" customWidth="1"/>
    <col min="43" max="43" width="16.28515625" customWidth="1"/>
    <col min="46" max="46" width="14.42578125" customWidth="1"/>
    <col min="47" max="47" width="15.140625" bestFit="1" customWidth="1"/>
    <col min="48" max="48" width="10.42578125" bestFit="1" customWidth="1"/>
    <col min="49" max="49" width="15.140625" bestFit="1" customWidth="1"/>
    <col min="50" max="50" width="10.85546875" bestFit="1" customWidth="1"/>
  </cols>
  <sheetData>
    <row r="1" spans="2:50" ht="13.5" thickBot="1" x14ac:dyDescent="0.25"/>
    <row r="2" spans="2:50" ht="21" thickBot="1" x14ac:dyDescent="0.35">
      <c r="H2" s="152" t="s">
        <v>3</v>
      </c>
      <c r="I2" s="153"/>
      <c r="J2" s="153"/>
      <c r="K2" s="153"/>
      <c r="L2" s="153"/>
      <c r="M2" s="153"/>
      <c r="N2" s="153"/>
      <c r="O2" s="153"/>
      <c r="P2" s="153"/>
      <c r="Q2" s="153"/>
      <c r="R2" s="154"/>
      <c r="T2" s="152" t="s">
        <v>4</v>
      </c>
      <c r="U2" s="153"/>
      <c r="V2" s="155"/>
      <c r="W2" s="155"/>
      <c r="X2" s="155"/>
      <c r="Y2" s="155"/>
      <c r="Z2" s="155"/>
      <c r="AA2" s="155"/>
      <c r="AB2" s="155"/>
      <c r="AC2" s="155"/>
      <c r="AD2" s="156"/>
      <c r="AG2" s="9"/>
      <c r="AU2" s="335" t="s">
        <v>5</v>
      </c>
      <c r="AV2" s="335"/>
      <c r="AW2" s="335"/>
      <c r="AX2" s="335"/>
    </row>
    <row r="3" spans="2:50" s="157" customFormat="1" ht="19.5" thickBot="1" x14ac:dyDescent="0.35">
      <c r="C3" s="334" t="s">
        <v>5</v>
      </c>
      <c r="D3" s="334"/>
      <c r="E3" s="334"/>
      <c r="F3" s="334"/>
      <c r="Q3" s="158" t="s">
        <v>6</v>
      </c>
      <c r="AC3" s="158" t="s">
        <v>6</v>
      </c>
      <c r="AT3" s="157" t="s">
        <v>7</v>
      </c>
    </row>
    <row r="4" spans="2:50" s="157" customFormat="1" x14ac:dyDescent="0.2">
      <c r="B4" s="157" t="s">
        <v>7</v>
      </c>
      <c r="G4" s="157" t="s">
        <v>8</v>
      </c>
      <c r="K4" s="158" t="s">
        <v>9</v>
      </c>
      <c r="L4" s="158" t="s">
        <v>10</v>
      </c>
      <c r="O4" s="158" t="s">
        <v>11</v>
      </c>
      <c r="P4" s="158" t="s">
        <v>12</v>
      </c>
      <c r="Q4" s="158" t="s">
        <v>13</v>
      </c>
      <c r="R4" s="158" t="s">
        <v>14</v>
      </c>
      <c r="W4" s="158" t="s">
        <v>9</v>
      </c>
      <c r="X4" s="158" t="s">
        <v>10</v>
      </c>
      <c r="AA4" s="158" t="s">
        <v>11</v>
      </c>
      <c r="AB4" s="158" t="s">
        <v>12</v>
      </c>
      <c r="AC4" s="158" t="s">
        <v>13</v>
      </c>
      <c r="AD4" s="158" t="s">
        <v>14</v>
      </c>
      <c r="AU4" s="158" t="s">
        <v>15</v>
      </c>
      <c r="AV4" s="158" t="s">
        <v>16</v>
      </c>
      <c r="AW4" s="158" t="s">
        <v>17</v>
      </c>
      <c r="AX4" s="158" t="s">
        <v>18</v>
      </c>
    </row>
    <row r="5" spans="2:50" s="157" customFormat="1" x14ac:dyDescent="0.2">
      <c r="B5" s="9"/>
      <c r="C5" s="332" t="s">
        <v>15</v>
      </c>
      <c r="D5" s="332" t="s">
        <v>16</v>
      </c>
      <c r="E5" s="332" t="s">
        <v>17</v>
      </c>
      <c r="F5" s="332" t="s">
        <v>18</v>
      </c>
      <c r="I5" s="158" t="s">
        <v>19</v>
      </c>
      <c r="J5" s="158" t="s">
        <v>20</v>
      </c>
      <c r="K5" s="158" t="s">
        <v>17</v>
      </c>
      <c r="L5" s="158" t="s">
        <v>21</v>
      </c>
      <c r="M5" s="158" t="s">
        <v>15</v>
      </c>
      <c r="N5" s="158" t="s">
        <v>18</v>
      </c>
      <c r="O5" s="158" t="s">
        <v>17</v>
      </c>
      <c r="P5" s="158" t="s">
        <v>22</v>
      </c>
      <c r="Q5" s="158" t="s">
        <v>23</v>
      </c>
      <c r="R5" s="158" t="s">
        <v>17</v>
      </c>
      <c r="U5" s="158" t="s">
        <v>19</v>
      </c>
      <c r="V5" s="158" t="s">
        <v>20</v>
      </c>
      <c r="W5" s="158" t="s">
        <v>17</v>
      </c>
      <c r="X5" s="158" t="s">
        <v>21</v>
      </c>
      <c r="Y5" s="158" t="s">
        <v>15</v>
      </c>
      <c r="Z5" s="158" t="s">
        <v>18</v>
      </c>
      <c r="AA5" s="158" t="s">
        <v>17</v>
      </c>
      <c r="AB5" s="158" t="s">
        <v>22</v>
      </c>
      <c r="AC5" s="158" t="s">
        <v>23</v>
      </c>
      <c r="AD5" s="158" t="s">
        <v>17</v>
      </c>
      <c r="AU5" s="158"/>
      <c r="AV5" s="158"/>
      <c r="AW5" s="158"/>
      <c r="AX5" s="158"/>
    </row>
    <row r="6" spans="2:50" s="157" customFormat="1" x14ac:dyDescent="0.2">
      <c r="B6" s="9"/>
      <c r="C6" s="332"/>
      <c r="D6" s="332"/>
      <c r="E6" s="332"/>
      <c r="F6" s="332"/>
      <c r="J6" s="159"/>
      <c r="K6" s="159"/>
      <c r="L6" s="159"/>
      <c r="N6" s="160"/>
      <c r="O6" s="160"/>
      <c r="V6" s="159"/>
      <c r="W6" s="159"/>
      <c r="X6" s="159"/>
      <c r="Z6" s="160"/>
      <c r="AA6" s="160"/>
      <c r="AH6" s="161" t="s">
        <v>15</v>
      </c>
      <c r="AI6" s="161" t="s">
        <v>17</v>
      </c>
      <c r="AJ6" s="161" t="s">
        <v>24</v>
      </c>
      <c r="AK6" s="161" t="s">
        <v>18</v>
      </c>
      <c r="AL6" s="161"/>
      <c r="AN6" s="161" t="s">
        <v>15</v>
      </c>
      <c r="AO6" s="161" t="s">
        <v>17</v>
      </c>
      <c r="AP6" s="161" t="s">
        <v>24</v>
      </c>
      <c r="AQ6" s="161" t="s">
        <v>18</v>
      </c>
      <c r="AT6" s="157" t="s">
        <v>25</v>
      </c>
      <c r="AU6" s="162">
        <v>9308693330</v>
      </c>
      <c r="AV6" s="163">
        <v>0.36568343632862998</v>
      </c>
      <c r="AW6" s="164">
        <v>1179738000</v>
      </c>
      <c r="AX6" s="165">
        <v>0.12673508065820019</v>
      </c>
    </row>
    <row r="7" spans="2:50" s="157" customFormat="1" x14ac:dyDescent="0.2">
      <c r="B7" s="9" t="s">
        <v>25</v>
      </c>
      <c r="C7" s="97">
        <f>+'DEI Sales by Revenue'!C15</f>
        <v>9253714339.3770008</v>
      </c>
      <c r="D7" s="185">
        <f>C7/$C$12</f>
        <v>0.35264343376849</v>
      </c>
      <c r="E7" s="186">
        <f>+'DEI Sales by Rate'!A43</f>
        <v>1176869000</v>
      </c>
      <c r="F7" s="187">
        <f>E7/C7</f>
        <v>0.12717801272426482</v>
      </c>
      <c r="H7" s="158" t="s">
        <v>26</v>
      </c>
      <c r="I7" s="167">
        <v>0</v>
      </c>
      <c r="J7" s="168">
        <v>0</v>
      </c>
      <c r="K7" s="168">
        <v>0</v>
      </c>
      <c r="L7" s="168">
        <v>0</v>
      </c>
      <c r="M7" s="169">
        <v>8032837046.7879992</v>
      </c>
      <c r="N7" s="160">
        <v>0.1182377437855308</v>
      </c>
      <c r="O7" s="159">
        <f>M7*N7</f>
        <v>949784528.60903931</v>
      </c>
      <c r="P7" s="159">
        <f>L7+O7</f>
        <v>949784528.60903931</v>
      </c>
      <c r="Q7" s="159">
        <v>94878614.76848121</v>
      </c>
      <c r="R7" s="170">
        <f t="shared" ref="R7:R8" si="0">P7+Q7</f>
        <v>1044663143.3775206</v>
      </c>
      <c r="T7" s="158" t="s">
        <v>26</v>
      </c>
      <c r="U7" s="167">
        <v>0</v>
      </c>
      <c r="V7" s="168">
        <v>0</v>
      </c>
      <c r="W7" s="168">
        <v>0</v>
      </c>
      <c r="X7" s="168">
        <v>0</v>
      </c>
      <c r="Y7" s="169">
        <v>8570675061</v>
      </c>
      <c r="Z7" s="160">
        <v>0.11814352430283115</v>
      </c>
      <c r="AA7" s="159">
        <f>Y7*Z7</f>
        <v>1012569757.3609223</v>
      </c>
      <c r="AB7" s="159">
        <f>X7+AA7</f>
        <v>1012569757.3609223</v>
      </c>
      <c r="AC7" s="159">
        <v>92869130.259965435</v>
      </c>
      <c r="AD7" s="170">
        <f>AC7+AB7</f>
        <v>1105438887.6208878</v>
      </c>
      <c r="AG7" s="158" t="s">
        <v>26</v>
      </c>
      <c r="AH7" s="169">
        <f t="shared" ref="AH7:AH8" si="1">M7</f>
        <v>8032837046.7879992</v>
      </c>
      <c r="AI7" s="171">
        <f>R7</f>
        <v>1044663143.3775206</v>
      </c>
      <c r="AJ7" s="172">
        <f>AH7/$AH$9</f>
        <v>0.92329389071696533</v>
      </c>
      <c r="AK7" s="165">
        <f>AI7/AH7</f>
        <v>0.13004908941794585</v>
      </c>
      <c r="AL7" s="165"/>
      <c r="AN7" s="169">
        <f>Y7</f>
        <v>8570675061</v>
      </c>
      <c r="AO7" s="171">
        <f>AD7</f>
        <v>1105438887.6208878</v>
      </c>
      <c r="AP7" s="172">
        <f>AN7/$AN$9</f>
        <v>0.92306508154286437</v>
      </c>
      <c r="AQ7" s="173">
        <f>AO7/AN7</f>
        <v>0.12897920872663543</v>
      </c>
      <c r="AT7" s="157" t="s">
        <v>27</v>
      </c>
      <c r="AU7" s="166">
        <v>5983194180</v>
      </c>
      <c r="AV7" s="163">
        <v>0.23504426780421817</v>
      </c>
      <c r="AW7" s="164">
        <v>602431000</v>
      </c>
      <c r="AX7" s="165">
        <v>0.10068718846093008</v>
      </c>
    </row>
    <row r="8" spans="2:50" s="157" customFormat="1" ht="15" x14ac:dyDescent="0.35">
      <c r="B8" s="9" t="s">
        <v>27</v>
      </c>
      <c r="C8" s="97">
        <f>+'DEI Sales by Revenue'!D15</f>
        <v>5860812710.4110012</v>
      </c>
      <c r="D8" s="185">
        <f t="shared" ref="D8:D11" si="2">C8/$C$12</f>
        <v>0.22334567969951952</v>
      </c>
      <c r="E8" s="186">
        <f>+'DEI Sales by Rate'!A44</f>
        <v>596867000</v>
      </c>
      <c r="F8" s="187">
        <f t="shared" ref="F8:F12" si="3">E8/C8</f>
        <v>0.10184031285281313</v>
      </c>
      <c r="H8" s="158" t="s">
        <v>28</v>
      </c>
      <c r="I8" s="167">
        <v>0</v>
      </c>
      <c r="J8" s="168">
        <v>0</v>
      </c>
      <c r="K8" s="168">
        <v>0</v>
      </c>
      <c r="L8" s="168">
        <v>0</v>
      </c>
      <c r="M8" s="174">
        <v>667358121.35100007</v>
      </c>
      <c r="N8" s="160">
        <v>0.11204497260893644</v>
      </c>
      <c r="O8" s="159">
        <f>M8*N8</f>
        <v>74774122.427124083</v>
      </c>
      <c r="P8" s="159">
        <f>L8+O8</f>
        <v>74774122.427124083</v>
      </c>
      <c r="Q8" s="159">
        <v>4963469.310577306</v>
      </c>
      <c r="R8" s="175">
        <f t="shared" si="0"/>
        <v>79737591.737701386</v>
      </c>
      <c r="T8" s="158" t="s">
        <v>28</v>
      </c>
      <c r="U8" s="167">
        <v>0</v>
      </c>
      <c r="V8" s="168">
        <v>0</v>
      </c>
      <c r="W8" s="168">
        <v>0</v>
      </c>
      <c r="X8" s="168">
        <v>0</v>
      </c>
      <c r="Y8" s="174">
        <v>714342033</v>
      </c>
      <c r="Z8" s="160">
        <v>0.1125903252154879</v>
      </c>
      <c r="AA8" s="159">
        <f>Y8*Z8</f>
        <v>80428001.810562789</v>
      </c>
      <c r="AB8" s="159">
        <f>X8+AA8</f>
        <v>80428001.810562789</v>
      </c>
      <c r="AC8" s="159">
        <v>4858896.3479077229</v>
      </c>
      <c r="AD8" s="175">
        <f>AC8+AB8</f>
        <v>85286898.158470511</v>
      </c>
      <c r="AG8" s="158" t="s">
        <v>28</v>
      </c>
      <c r="AH8" s="174">
        <f t="shared" si="1"/>
        <v>667358121.35100007</v>
      </c>
      <c r="AI8" s="176">
        <f>R8</f>
        <v>79737591.737701386</v>
      </c>
      <c r="AJ8" s="172">
        <f>AH8/$AH$9</f>
        <v>7.6706109283034646E-2</v>
      </c>
      <c r="AK8" s="165">
        <f>AI8/AH8</f>
        <v>0.11948246254391956</v>
      </c>
      <c r="AL8" s="165"/>
      <c r="AN8" s="174">
        <f>Y8</f>
        <v>714342033</v>
      </c>
      <c r="AO8" s="171">
        <f>AD8</f>
        <v>85286898.158470511</v>
      </c>
      <c r="AP8" s="177">
        <f>AN8/$AN$9</f>
        <v>7.6934918457135584E-2</v>
      </c>
      <c r="AQ8" s="173">
        <f>AO8/AN8</f>
        <v>0.11939224379712583</v>
      </c>
      <c r="AT8" s="157" t="s">
        <v>29</v>
      </c>
      <c r="AU8" s="166">
        <v>8153995511</v>
      </c>
      <c r="AV8" s="163">
        <v>0.32032219695765862</v>
      </c>
      <c r="AW8" s="164">
        <v>632210172.47000003</v>
      </c>
      <c r="AX8" s="165">
        <v>7.7533789614812554E-2</v>
      </c>
    </row>
    <row r="9" spans="2:50" s="157" customFormat="1" x14ac:dyDescent="0.2">
      <c r="B9" s="9" t="s">
        <v>29</v>
      </c>
      <c r="C9" s="97">
        <f>+'DEI Sales by Revenue'!E15</f>
        <v>9250045215.7039986</v>
      </c>
      <c r="D9" s="185">
        <f t="shared" si="2"/>
        <v>0.35250360965856881</v>
      </c>
      <c r="E9" s="186">
        <f>+'DEI Sales by Rate'!A45</f>
        <v>730216000</v>
      </c>
      <c r="F9" s="187">
        <f t="shared" si="3"/>
        <v>7.8941884387797021E-2</v>
      </c>
      <c r="H9" s="158"/>
      <c r="I9" s="169"/>
      <c r="J9" s="159"/>
      <c r="K9" s="159"/>
      <c r="L9" s="159"/>
      <c r="M9" s="169">
        <f>SUM(M7:M8)</f>
        <v>8700195168.1389999</v>
      </c>
      <c r="N9" s="160"/>
      <c r="O9" s="160"/>
      <c r="P9" s="159"/>
      <c r="Q9" s="159"/>
      <c r="R9" s="170">
        <f>SUM(R7:R8)</f>
        <v>1124400735.115222</v>
      </c>
      <c r="T9" s="158"/>
      <c r="U9" s="169"/>
      <c r="V9" s="159"/>
      <c r="W9" s="159"/>
      <c r="X9" s="159"/>
      <c r="Y9" s="169">
        <f>SUM(Y7:Y8)</f>
        <v>9285017094</v>
      </c>
      <c r="Z9" s="160"/>
      <c r="AA9" s="160"/>
      <c r="AB9" s="159"/>
      <c r="AC9" s="159"/>
      <c r="AD9" s="170">
        <f>SUM(AD7:AD8)</f>
        <v>1190725785.7793584</v>
      </c>
      <c r="AH9" s="178">
        <f>SUM(AH7:AH8)</f>
        <v>8700195168.1389999</v>
      </c>
      <c r="AI9" s="171">
        <f>SUM(AI7:AI8)</f>
        <v>1124400735.115222</v>
      </c>
      <c r="AJ9" s="179">
        <f>SUM(AJ7:AJ8)</f>
        <v>1</v>
      </c>
      <c r="AK9" s="165">
        <f>AI9/AH9</f>
        <v>0.12923856458219374</v>
      </c>
      <c r="AL9" s="165"/>
      <c r="AN9" s="178">
        <f>SUM(AN7:AN8)</f>
        <v>9285017094</v>
      </c>
      <c r="AO9" s="171">
        <f>SUM(AO7:AO8)</f>
        <v>1190725785.7793584</v>
      </c>
      <c r="AP9" s="179">
        <f>SUM(AP7:AP8)</f>
        <v>1</v>
      </c>
      <c r="AQ9" s="173">
        <f>AO9/AN9</f>
        <v>0.12824163636153219</v>
      </c>
      <c r="AT9" s="157" t="s">
        <v>30</v>
      </c>
      <c r="AU9" s="166">
        <v>1948274260</v>
      </c>
      <c r="AV9" s="163">
        <v>7.6536158303908669E-2</v>
      </c>
      <c r="AW9" s="164">
        <v>168487000</v>
      </c>
      <c r="AX9" s="165">
        <v>8.6480124210027806E-2</v>
      </c>
    </row>
    <row r="10" spans="2:50" s="157" customFormat="1" ht="15" x14ac:dyDescent="0.35">
      <c r="B10" s="9" t="s">
        <v>30</v>
      </c>
      <c r="C10" s="97">
        <f>+'DEI Sales by Revenue'!F15</f>
        <v>1750172484</v>
      </c>
      <c r="D10" s="185">
        <f t="shared" si="2"/>
        <v>6.669611918087795E-2</v>
      </c>
      <c r="E10" s="186">
        <f>+'DEI Sales by Rate'!A51</f>
        <v>161959000</v>
      </c>
      <c r="F10" s="187">
        <f t="shared" si="3"/>
        <v>9.2538879156552886E-2</v>
      </c>
      <c r="H10" s="158"/>
      <c r="I10" s="169"/>
      <c r="J10" s="159"/>
      <c r="K10" s="159"/>
      <c r="L10" s="159"/>
      <c r="M10" s="169"/>
      <c r="N10" s="160"/>
      <c r="O10" s="160"/>
      <c r="P10" s="159"/>
      <c r="Q10" s="159"/>
      <c r="T10" s="158"/>
      <c r="U10" s="169"/>
      <c r="V10" s="159"/>
      <c r="W10" s="159"/>
      <c r="X10" s="159"/>
      <c r="Y10" s="169"/>
      <c r="Z10" s="160"/>
      <c r="AA10" s="160"/>
      <c r="AB10" s="159"/>
      <c r="AC10" s="159"/>
      <c r="AN10" s="180" t="s">
        <v>8</v>
      </c>
      <c r="AT10" s="157" t="s">
        <v>31</v>
      </c>
      <c r="AU10" s="181">
        <v>61448320</v>
      </c>
      <c r="AV10" s="182">
        <v>2.4139406055845736E-3</v>
      </c>
      <c r="AW10" s="183">
        <v>9375000</v>
      </c>
      <c r="AX10" s="184">
        <v>0.15256723047920595</v>
      </c>
    </row>
    <row r="11" spans="2:50" ht="15" x14ac:dyDescent="0.35">
      <c r="B11" t="s">
        <v>31</v>
      </c>
      <c r="C11" s="63">
        <f>+'DEI Sales by Revenue'!G15</f>
        <v>126249561.64000002</v>
      </c>
      <c r="D11" s="121">
        <f t="shared" si="2"/>
        <v>4.8111576925437697E-3</v>
      </c>
      <c r="E11" s="122">
        <f>+'DEI Sales by Rate'!A53</f>
        <v>18101000</v>
      </c>
      <c r="F11" s="123">
        <f t="shared" si="3"/>
        <v>0.14337475524560561</v>
      </c>
      <c r="H11" s="126"/>
      <c r="I11" s="133"/>
      <c r="J11" s="134"/>
      <c r="K11" s="134"/>
      <c r="L11" s="134"/>
      <c r="M11" s="133"/>
      <c r="N11" s="213"/>
      <c r="O11" s="213"/>
      <c r="P11" s="134"/>
      <c r="Q11" s="134"/>
      <c r="T11" s="126"/>
      <c r="U11" s="7"/>
      <c r="V11" s="130"/>
      <c r="W11" s="130"/>
      <c r="X11" s="130"/>
      <c r="Y11" s="7"/>
      <c r="Z11" s="129"/>
      <c r="AA11" s="129"/>
      <c r="AB11" s="130"/>
      <c r="AC11" s="130"/>
      <c r="AU11" s="3">
        <v>25455605601</v>
      </c>
      <c r="AV11" s="108">
        <v>1</v>
      </c>
      <c r="AW11" s="124">
        <v>2592241172.4700003</v>
      </c>
      <c r="AX11" s="118">
        <v>0.10183380482482673</v>
      </c>
    </row>
    <row r="12" spans="2:50" x14ac:dyDescent="0.2">
      <c r="C12" s="3">
        <f>SUM(C7:C11)</f>
        <v>26240994311.132</v>
      </c>
      <c r="D12" s="108">
        <f>C12/$C$12</f>
        <v>1</v>
      </c>
      <c r="E12" s="124">
        <f>SUM(E7:E11)</f>
        <v>2684012000</v>
      </c>
      <c r="F12" s="118">
        <f t="shared" si="3"/>
        <v>0.10228316687151537</v>
      </c>
      <c r="H12" s="126"/>
      <c r="I12" s="133"/>
      <c r="J12" s="134"/>
      <c r="K12" s="134"/>
      <c r="L12" s="134"/>
      <c r="M12" s="133"/>
      <c r="N12" s="213"/>
      <c r="O12" s="213"/>
      <c r="P12" s="134"/>
      <c r="Q12" s="134"/>
      <c r="T12" s="126"/>
      <c r="U12" s="7"/>
      <c r="V12" s="130"/>
      <c r="W12" s="130"/>
      <c r="X12" s="130"/>
      <c r="Y12" s="7"/>
      <c r="Z12" s="129"/>
      <c r="AA12" s="129"/>
      <c r="AB12" s="130"/>
      <c r="AC12" s="130"/>
      <c r="AG12" s="157"/>
      <c r="AH12" s="157"/>
      <c r="AI12" s="157"/>
      <c r="AJ12" s="161" t="s">
        <v>24</v>
      </c>
      <c r="AK12" s="189"/>
      <c r="AL12" s="67"/>
      <c r="AM12" s="67"/>
      <c r="AN12" s="46" t="s">
        <v>15</v>
      </c>
      <c r="AO12" s="46" t="s">
        <v>17</v>
      </c>
      <c r="AP12" s="46" t="s">
        <v>24</v>
      </c>
    </row>
    <row r="13" spans="2:50" x14ac:dyDescent="0.2">
      <c r="H13" s="158" t="s">
        <v>32</v>
      </c>
      <c r="I13" s="169"/>
      <c r="J13" s="159">
        <v>0</v>
      </c>
      <c r="K13" s="159">
        <v>0</v>
      </c>
      <c r="L13" s="159">
        <v>0</v>
      </c>
      <c r="M13" s="169">
        <v>995688923.65400016</v>
      </c>
      <c r="N13" s="160">
        <v>0.11676999322072283</v>
      </c>
      <c r="O13" s="159">
        <f>M13*N13</f>
        <v>116266588.86502641</v>
      </c>
      <c r="P13" s="159">
        <f>L13+O13</f>
        <v>116266588.86502641</v>
      </c>
      <c r="Q13" s="159">
        <v>8355194.0719342586</v>
      </c>
      <c r="R13" s="170">
        <f>Q13+P13</f>
        <v>124621782.93696067</v>
      </c>
      <c r="S13" s="157"/>
      <c r="T13" s="158" t="s">
        <v>32</v>
      </c>
      <c r="U13" s="169">
        <v>0</v>
      </c>
      <c r="V13" s="159">
        <v>0</v>
      </c>
      <c r="W13" s="159">
        <v>0</v>
      </c>
      <c r="X13" s="159">
        <v>0</v>
      </c>
      <c r="Y13" s="169">
        <v>997914660</v>
      </c>
      <c r="Z13" s="160">
        <v>0.11662351181575535</v>
      </c>
      <c r="AA13" s="159">
        <f>Y13*Z13</f>
        <v>116380312.14162548</v>
      </c>
      <c r="AB13" s="159">
        <f>X13+AA13</f>
        <v>116380312.14162548</v>
      </c>
      <c r="AC13" s="159">
        <v>7466392.9209192926</v>
      </c>
      <c r="AD13" s="170">
        <f>AC13+AB13</f>
        <v>123846705.06254478</v>
      </c>
      <c r="AG13" s="158" t="s">
        <v>32</v>
      </c>
      <c r="AH13" s="169">
        <f>M13</f>
        <v>995688923.65400016</v>
      </c>
      <c r="AI13" s="171">
        <f t="shared" ref="AI13:AI17" si="4">R13</f>
        <v>124621782.93696067</v>
      </c>
      <c r="AJ13" s="190">
        <f>AH13/$AH$18</f>
        <v>0.97045242725961101</v>
      </c>
      <c r="AK13" s="165">
        <f t="shared" ref="AK13:AK18" si="5">AI13/AH13</f>
        <v>0.1251613631289791</v>
      </c>
      <c r="AL13" s="118"/>
      <c r="AM13" s="126" t="s">
        <v>33</v>
      </c>
      <c r="AN13" s="7">
        <f t="shared" ref="AN13:AN17" si="6">Y13</f>
        <v>997914660</v>
      </c>
      <c r="AO13" s="136">
        <f t="shared" ref="AO13:AO17" si="7">AD13</f>
        <v>123846705.06254478</v>
      </c>
      <c r="AP13" s="140">
        <f>AN13/$AN$18</f>
        <v>0.97165818412802629</v>
      </c>
      <c r="AQ13" s="149">
        <f t="shared" ref="AQ13:AQ16" si="8">AO13/AN13</f>
        <v>0.12410550724101475</v>
      </c>
    </row>
    <row r="14" spans="2:50" x14ac:dyDescent="0.2">
      <c r="H14" s="158" t="s">
        <v>34</v>
      </c>
      <c r="I14" s="169">
        <v>14970.063723608444</v>
      </c>
      <c r="J14" s="159">
        <v>10.42</v>
      </c>
      <c r="K14" s="159">
        <f>I14*J14</f>
        <v>155988.06399999998</v>
      </c>
      <c r="L14" s="159">
        <v>156035.67246640153</v>
      </c>
      <c r="M14" s="169">
        <v>5454366.0590000004</v>
      </c>
      <c r="N14" s="160">
        <v>6.7592623368283394E-2</v>
      </c>
      <c r="O14" s="159">
        <f>M14*N14</f>
        <v>368674.91073873523</v>
      </c>
      <c r="P14" s="159">
        <f t="shared" ref="P14:P17" si="9">L14+O14</f>
        <v>524710.5832051367</v>
      </c>
      <c r="Q14" s="159">
        <v>38900.6890945505</v>
      </c>
      <c r="R14" s="170">
        <f>P14+Q14</f>
        <v>563611.27229968715</v>
      </c>
      <c r="T14" s="158" t="s">
        <v>34</v>
      </c>
      <c r="U14" s="169">
        <v>13760.679413660297</v>
      </c>
      <c r="V14" s="159">
        <v>10.42</v>
      </c>
      <c r="W14" s="159">
        <f>U14*V14</f>
        <v>143386.2794903403</v>
      </c>
      <c r="X14" s="159">
        <v>143430.04181865253</v>
      </c>
      <c r="Y14" s="169">
        <v>5013725</v>
      </c>
      <c r="Z14" s="160">
        <v>6.759262336828338E-2</v>
      </c>
      <c r="AA14" s="159">
        <f>Y14*Z14</f>
        <v>338890.82559714658</v>
      </c>
      <c r="AB14" s="159">
        <f t="shared" ref="AB14:AB17" si="10">X14+AA14</f>
        <v>482320.86741579912</v>
      </c>
      <c r="AC14" s="159">
        <v>24970.388782914277</v>
      </c>
      <c r="AD14" s="170">
        <f t="shared" ref="AD14:AD17" si="11">AC14+AB14</f>
        <v>507291.25619871338</v>
      </c>
      <c r="AG14" s="158" t="s">
        <v>34</v>
      </c>
      <c r="AH14" s="169">
        <f t="shared" ref="AH14:AH17" si="12">M14</f>
        <v>5454366.0590000004</v>
      </c>
      <c r="AI14" s="171">
        <f t="shared" si="4"/>
        <v>563611.27229968715</v>
      </c>
      <c r="AJ14" s="190">
        <f t="shared" ref="AJ14:AJ17" si="13">AH14/$AH$18</f>
        <v>5.3161209845479472E-3</v>
      </c>
      <c r="AK14" s="165">
        <f t="shared" si="5"/>
        <v>0.10333213176436847</v>
      </c>
      <c r="AL14" s="118"/>
      <c r="AM14" s="126" t="s">
        <v>35</v>
      </c>
      <c r="AN14" s="7">
        <f t="shared" si="6"/>
        <v>5013725</v>
      </c>
      <c r="AO14" s="136">
        <f t="shared" si="7"/>
        <v>507291.25619871338</v>
      </c>
      <c r="AP14" s="140">
        <f t="shared" ref="AP14:AP17" si="14">AN14/$AN$18</f>
        <v>4.8818071569539708E-3</v>
      </c>
      <c r="AQ14" s="149">
        <f t="shared" si="8"/>
        <v>0.1011805107377675</v>
      </c>
    </row>
    <row r="15" spans="2:50" x14ac:dyDescent="0.2">
      <c r="H15" s="158" t="s">
        <v>36</v>
      </c>
      <c r="I15" s="169">
        <v>0</v>
      </c>
      <c r="J15" s="159">
        <v>0</v>
      </c>
      <c r="K15" s="159">
        <v>0</v>
      </c>
      <c r="L15" s="159">
        <v>0</v>
      </c>
      <c r="M15" s="169">
        <v>3209.0000000000005</v>
      </c>
      <c r="N15" s="160">
        <v>9.0885258230339494E-2</v>
      </c>
      <c r="O15" s="159">
        <f t="shared" ref="O15:O17" si="15">M15*N15</f>
        <v>291.65079366115947</v>
      </c>
      <c r="P15" s="159">
        <f t="shared" si="9"/>
        <v>291.65079366115947</v>
      </c>
      <c r="Q15" s="159">
        <v>0</v>
      </c>
      <c r="R15" s="170">
        <f>P15+Q15</f>
        <v>291.65079366115947</v>
      </c>
      <c r="T15" s="158" t="s">
        <v>36</v>
      </c>
      <c r="U15" s="169">
        <v>0</v>
      </c>
      <c r="V15" s="159">
        <v>0</v>
      </c>
      <c r="W15" s="159">
        <v>0</v>
      </c>
      <c r="X15" s="159">
        <v>0</v>
      </c>
      <c r="Y15" s="169">
        <v>3377</v>
      </c>
      <c r="Z15" s="160">
        <v>9.0885258230339508E-2</v>
      </c>
      <c r="AA15" s="159">
        <f t="shared" ref="AA15:AA17" si="16">Y15*Z15</f>
        <v>306.9195170438565</v>
      </c>
      <c r="AB15" s="159">
        <f t="shared" si="10"/>
        <v>306.9195170438565</v>
      </c>
      <c r="AC15" s="159">
        <v>0</v>
      </c>
      <c r="AD15" s="170">
        <f t="shared" si="11"/>
        <v>306.9195170438565</v>
      </c>
      <c r="AG15" s="158" t="s">
        <v>36</v>
      </c>
      <c r="AH15" s="169">
        <f t="shared" si="12"/>
        <v>3209.0000000000005</v>
      </c>
      <c r="AI15" s="171">
        <f t="shared" si="4"/>
        <v>291.65079366115947</v>
      </c>
      <c r="AJ15" s="190">
        <f t="shared" si="13"/>
        <v>3.127665443588146E-6</v>
      </c>
      <c r="AK15" s="165">
        <f t="shared" si="5"/>
        <v>9.0885258230339494E-2</v>
      </c>
      <c r="AL15" s="118"/>
      <c r="AM15" s="126" t="s">
        <v>37</v>
      </c>
      <c r="AN15" s="7">
        <f t="shared" si="6"/>
        <v>3377</v>
      </c>
      <c r="AO15" s="136">
        <f t="shared" si="7"/>
        <v>306.9195170438565</v>
      </c>
      <c r="AP15" s="140">
        <f t="shared" si="14"/>
        <v>3.2881465914132822E-6</v>
      </c>
      <c r="AQ15" s="149">
        <f t="shared" si="8"/>
        <v>9.0885258230339508E-2</v>
      </c>
    </row>
    <row r="16" spans="2:50" ht="15" x14ac:dyDescent="0.25">
      <c r="B16" s="215" t="s">
        <v>38</v>
      </c>
      <c r="H16" s="158" t="s">
        <v>39</v>
      </c>
      <c r="I16" s="167">
        <v>0</v>
      </c>
      <c r="J16" s="168">
        <v>0</v>
      </c>
      <c r="K16" s="159">
        <v>0</v>
      </c>
      <c r="L16" s="168">
        <v>0</v>
      </c>
      <c r="M16" s="169">
        <v>24858378.688000005</v>
      </c>
      <c r="N16" s="160">
        <v>9.0964718228174479E-2</v>
      </c>
      <c r="O16" s="159">
        <f t="shared" si="15"/>
        <v>2261235.412963178</v>
      </c>
      <c r="P16" s="159">
        <f t="shared" si="9"/>
        <v>2261235.412963178</v>
      </c>
      <c r="Q16" s="159">
        <v>546768.26112741267</v>
      </c>
      <c r="R16" s="170">
        <f t="shared" ref="R16:R17" si="17">P16+Q16</f>
        <v>2808003.6740905908</v>
      </c>
      <c r="T16" s="158" t="s">
        <v>39</v>
      </c>
      <c r="U16" s="167">
        <v>0</v>
      </c>
      <c r="V16" s="168">
        <v>0</v>
      </c>
      <c r="W16" s="159">
        <v>0</v>
      </c>
      <c r="X16" s="168">
        <v>0</v>
      </c>
      <c r="Y16" s="169">
        <v>24090576</v>
      </c>
      <c r="Z16" s="160">
        <v>9.0964718228174493E-2</v>
      </c>
      <c r="AA16" s="159">
        <f t="shared" si="16"/>
        <v>2191392.4577944227</v>
      </c>
      <c r="AB16" s="159">
        <f t="shared" si="10"/>
        <v>2191392.4577944227</v>
      </c>
      <c r="AC16" s="159">
        <v>496824.16179292457</v>
      </c>
      <c r="AD16" s="170">
        <f t="shared" si="11"/>
        <v>2688216.6195873474</v>
      </c>
      <c r="AG16" s="158" t="s">
        <v>39</v>
      </c>
      <c r="AH16" s="169">
        <f t="shared" si="12"/>
        <v>24858378.688000005</v>
      </c>
      <c r="AI16" s="159">
        <f t="shared" si="4"/>
        <v>2808003.6740905908</v>
      </c>
      <c r="AJ16" s="190">
        <f t="shared" si="13"/>
        <v>2.4228324090397518E-2</v>
      </c>
      <c r="AK16" s="165">
        <f t="shared" si="5"/>
        <v>0.1129600489772131</v>
      </c>
      <c r="AL16" s="118"/>
      <c r="AM16" s="126" t="s">
        <v>40</v>
      </c>
      <c r="AN16" s="7">
        <f t="shared" si="6"/>
        <v>24090576</v>
      </c>
      <c r="AO16" s="136">
        <f t="shared" si="7"/>
        <v>2688216.6195873474</v>
      </c>
      <c r="AP16" s="140">
        <f t="shared" si="14"/>
        <v>2.3456720568428378E-2</v>
      </c>
      <c r="AQ16" s="149">
        <f t="shared" si="8"/>
        <v>0.11158789310755157</v>
      </c>
    </row>
    <row r="17" spans="2:43" ht="15" x14ac:dyDescent="0.35">
      <c r="H17" s="158" t="s">
        <v>41</v>
      </c>
      <c r="I17" s="167">
        <v>0</v>
      </c>
      <c r="J17" s="168">
        <v>0</v>
      </c>
      <c r="K17" s="159">
        <v>0</v>
      </c>
      <c r="L17" s="168">
        <v>0</v>
      </c>
      <c r="M17" s="209">
        <v>0</v>
      </c>
      <c r="N17" s="160">
        <v>0</v>
      </c>
      <c r="O17" s="159">
        <f t="shared" si="15"/>
        <v>0</v>
      </c>
      <c r="P17" s="159">
        <f t="shared" si="9"/>
        <v>0</v>
      </c>
      <c r="Q17" s="159">
        <v>9893.606236420861</v>
      </c>
      <c r="R17" s="175">
        <f t="shared" si="17"/>
        <v>9893.606236420861</v>
      </c>
      <c r="S17" s="157"/>
      <c r="T17" s="158" t="s">
        <v>41</v>
      </c>
      <c r="U17" s="167">
        <v>0</v>
      </c>
      <c r="V17" s="168">
        <v>0</v>
      </c>
      <c r="W17" s="159">
        <v>0</v>
      </c>
      <c r="X17" s="168">
        <v>0</v>
      </c>
      <c r="Y17" s="188">
        <v>0</v>
      </c>
      <c r="Z17" s="160">
        <v>0</v>
      </c>
      <c r="AA17" s="159">
        <f t="shared" si="16"/>
        <v>0</v>
      </c>
      <c r="AB17" s="159">
        <f t="shared" si="10"/>
        <v>0</v>
      </c>
      <c r="AC17" s="159">
        <v>9893.606236420861</v>
      </c>
      <c r="AD17" s="175">
        <f t="shared" si="11"/>
        <v>9893.606236420861</v>
      </c>
      <c r="AG17" s="158" t="s">
        <v>41</v>
      </c>
      <c r="AH17" s="174">
        <f t="shared" si="12"/>
        <v>0</v>
      </c>
      <c r="AI17" s="191">
        <f t="shared" si="4"/>
        <v>9893.606236420861</v>
      </c>
      <c r="AJ17" s="190">
        <f t="shared" si="13"/>
        <v>0</v>
      </c>
      <c r="AK17" s="165">
        <v>0</v>
      </c>
      <c r="AL17" s="118"/>
      <c r="AM17" s="126" t="s">
        <v>42</v>
      </c>
      <c r="AN17" s="131">
        <f t="shared" si="6"/>
        <v>0</v>
      </c>
      <c r="AO17" s="136">
        <f t="shared" si="7"/>
        <v>9893.606236420861</v>
      </c>
      <c r="AP17" s="142">
        <f t="shared" si="14"/>
        <v>0</v>
      </c>
      <c r="AQ17" s="149">
        <v>0</v>
      </c>
    </row>
    <row r="18" spans="2:43" x14ac:dyDescent="0.2">
      <c r="C18" s="126" t="s">
        <v>43</v>
      </c>
      <c r="D18" s="126" t="s">
        <v>44</v>
      </c>
      <c r="E18" s="126" t="s">
        <v>45</v>
      </c>
      <c r="F18" s="126" t="s">
        <v>46</v>
      </c>
      <c r="H18" s="126"/>
      <c r="I18" s="127"/>
      <c r="J18" s="128"/>
      <c r="K18" s="134"/>
      <c r="L18" s="128"/>
      <c r="M18" s="169">
        <f>SUM(M13:M17)</f>
        <v>1026004877.4010001</v>
      </c>
      <c r="N18" s="160"/>
      <c r="O18" s="160"/>
      <c r="P18" s="159"/>
      <c r="Q18" s="159"/>
      <c r="R18" s="170">
        <f>SUM(R13:R17)</f>
        <v>128003583.14038104</v>
      </c>
      <c r="T18" s="126"/>
      <c r="U18" s="167"/>
      <c r="V18" s="168"/>
      <c r="W18" s="159"/>
      <c r="X18" s="168"/>
      <c r="Y18" s="169">
        <f>SUM(Y13:Y17)</f>
        <v>1027022338</v>
      </c>
      <c r="Z18" s="160"/>
      <c r="AA18" s="160"/>
      <c r="AB18" s="159"/>
      <c r="AC18" s="159"/>
      <c r="AD18" s="170">
        <f>SUM(AD13:AD17)</f>
        <v>127052413.46408431</v>
      </c>
      <c r="AG18" s="157"/>
      <c r="AH18" s="192">
        <f>SUM(AH13:AH17)</f>
        <v>1026004877.4010001</v>
      </c>
      <c r="AI18" s="171">
        <f>SUM(AI13:AI17)</f>
        <v>128003583.14038104</v>
      </c>
      <c r="AJ18" s="179">
        <f>SUM(AJ13:AJ17)</f>
        <v>1</v>
      </c>
      <c r="AK18" s="165">
        <f t="shared" si="5"/>
        <v>0.12475923454148705</v>
      </c>
      <c r="AL18" s="118"/>
      <c r="AN18" s="150">
        <f>SUM(AN13:AN17)</f>
        <v>1027022338</v>
      </c>
      <c r="AO18" s="136">
        <f>SUM(AO13:AO17)</f>
        <v>127052413.46408431</v>
      </c>
      <c r="AP18" s="145">
        <f>SUM(AP13:AP17)</f>
        <v>1</v>
      </c>
      <c r="AQ18" s="149">
        <f>AO18/AN18</f>
        <v>0.12370949371121109</v>
      </c>
    </row>
    <row r="19" spans="2:43" x14ac:dyDescent="0.2">
      <c r="B19" s="216" t="s">
        <v>25</v>
      </c>
      <c r="C19" s="2">
        <v>8716249389.6019993</v>
      </c>
      <c r="D19" s="2">
        <f>+C7</f>
        <v>9253714339.3770008</v>
      </c>
      <c r="E19" s="3">
        <f>+D19-C19</f>
        <v>537464949.77500153</v>
      </c>
      <c r="F19" s="105">
        <f>+E19/C19</f>
        <v>6.1662410717179261E-2</v>
      </c>
      <c r="H19" s="126"/>
      <c r="I19" s="127"/>
      <c r="J19" s="128"/>
      <c r="K19" s="134"/>
      <c r="L19" s="128"/>
      <c r="M19" s="133"/>
      <c r="N19" s="213"/>
      <c r="O19" s="213"/>
      <c r="P19" s="134"/>
      <c r="Q19" s="134"/>
      <c r="R19" s="120"/>
      <c r="T19" s="126"/>
      <c r="U19" s="127"/>
      <c r="V19" s="128"/>
      <c r="W19" s="130"/>
      <c r="X19" s="128"/>
      <c r="Y19" s="7"/>
      <c r="Z19" s="129"/>
      <c r="AA19" s="129"/>
      <c r="AB19" s="130"/>
      <c r="AC19" s="130"/>
      <c r="AD19" s="120"/>
      <c r="AH19" s="9"/>
    </row>
    <row r="20" spans="2:43" x14ac:dyDescent="0.2">
      <c r="B20" s="216" t="s">
        <v>27</v>
      </c>
      <c r="C20" s="135">
        <f>6158844780-179037814</f>
        <v>5979806966</v>
      </c>
      <c r="D20" s="135">
        <f>+C8</f>
        <v>5860812710.4110012</v>
      </c>
      <c r="E20" s="3">
        <f t="shared" ref="E20:E23" si="18">+D20-C20</f>
        <v>-118994255.58899879</v>
      </c>
      <c r="F20" s="105">
        <f t="shared" ref="F20:F23" si="19">+E20/C20</f>
        <v>-1.9899347297592816E-2</v>
      </c>
      <c r="H20" s="126"/>
      <c r="I20" s="133"/>
      <c r="J20" s="134"/>
      <c r="K20" s="134"/>
      <c r="L20" s="134"/>
      <c r="M20" s="133"/>
      <c r="N20" s="213"/>
      <c r="O20" s="213"/>
      <c r="P20" s="134"/>
      <c r="Q20" s="134"/>
      <c r="T20" s="126"/>
      <c r="U20" s="7"/>
      <c r="V20" s="130"/>
      <c r="W20" s="130"/>
      <c r="X20" s="130"/>
      <c r="Y20" s="7"/>
      <c r="Z20" s="129"/>
      <c r="AA20" s="129"/>
      <c r="AB20" s="130"/>
      <c r="AC20" s="130"/>
      <c r="AH20" s="46" t="s">
        <v>8</v>
      </c>
      <c r="AI20" s="46" t="s">
        <v>8</v>
      </c>
      <c r="AJ20" s="46" t="s">
        <v>8</v>
      </c>
      <c r="AK20" s="67"/>
      <c r="AL20" s="67"/>
      <c r="AM20" s="67"/>
      <c r="AN20" s="46" t="s">
        <v>15</v>
      </c>
      <c r="AO20" s="46" t="s">
        <v>17</v>
      </c>
      <c r="AP20" s="46" t="s">
        <v>24</v>
      </c>
    </row>
    <row r="21" spans="2:43" x14ac:dyDescent="0.2">
      <c r="B21" s="216" t="s">
        <v>47</v>
      </c>
      <c r="C21" s="2">
        <f>7903147112+179037814</f>
        <v>8082184926</v>
      </c>
      <c r="D21" s="2">
        <f>+C9</f>
        <v>9250045215.7039986</v>
      </c>
      <c r="E21" s="3">
        <f t="shared" si="18"/>
        <v>1167860289.7039986</v>
      </c>
      <c r="F21" s="105">
        <f t="shared" si="19"/>
        <v>0.14449809060258548</v>
      </c>
      <c r="H21" s="158" t="s">
        <v>33</v>
      </c>
      <c r="I21" s="169">
        <v>417322.63799999998</v>
      </c>
      <c r="J21" s="159">
        <v>3.62</v>
      </c>
      <c r="K21" s="159">
        <f>I21*J21</f>
        <v>1510707.9495599999</v>
      </c>
      <c r="L21" s="159">
        <v>1510691.6607460268</v>
      </c>
      <c r="M21" s="169">
        <v>146762287.69199997</v>
      </c>
      <c r="N21" s="160">
        <v>7.1845225339266239E-2</v>
      </c>
      <c r="O21" s="159">
        <f>M21*N21</f>
        <v>10544169.630537959</v>
      </c>
      <c r="P21" s="159">
        <f>L21+O21</f>
        <v>12054861.291283986</v>
      </c>
      <c r="Q21" s="159">
        <v>181516.84106095822</v>
      </c>
      <c r="R21" s="170">
        <f>Q21+P21</f>
        <v>12236378.132344944</v>
      </c>
      <c r="T21" s="158" t="s">
        <v>33</v>
      </c>
      <c r="U21" s="169">
        <v>489151.73557541595</v>
      </c>
      <c r="V21" s="159">
        <v>3.62</v>
      </c>
      <c r="W21" s="159">
        <f>U21*V21</f>
        <v>1770729.2827830059</v>
      </c>
      <c r="X21" s="159">
        <v>1770710.190356907</v>
      </c>
      <c r="Y21" s="169">
        <v>172381664</v>
      </c>
      <c r="Z21" s="160">
        <v>7.1845225339266225E-2</v>
      </c>
      <c r="AA21" s="159">
        <f>Y21*Z21</f>
        <v>12384799.494437676</v>
      </c>
      <c r="AB21" s="159">
        <f>X21+AA21</f>
        <v>14155509.684794582</v>
      </c>
      <c r="AC21" s="159">
        <v>202857.11249698745</v>
      </c>
      <c r="AD21" s="170">
        <f>AC21+AB21</f>
        <v>14358366.797291569</v>
      </c>
      <c r="AG21" s="126" t="s">
        <v>33</v>
      </c>
      <c r="AH21" s="7">
        <f t="shared" ref="AH21:AH26" si="20">M21</f>
        <v>146762287.69199997</v>
      </c>
      <c r="AI21" s="139">
        <f t="shared" ref="AI21:AI26" si="21">R21</f>
        <v>12236378.132344944</v>
      </c>
      <c r="AJ21" s="140">
        <f>AH21/$AH$27</f>
        <v>2.1798443501149938E-2</v>
      </c>
      <c r="AK21" s="118">
        <f t="shared" ref="AK21:AK27" si="22">AI21/AH21</f>
        <v>8.3375493287653021E-2</v>
      </c>
      <c r="AL21" s="118"/>
      <c r="AM21" s="126" t="s">
        <v>33</v>
      </c>
      <c r="AN21" s="7">
        <f t="shared" ref="AN21:AN26" si="23">Y21</f>
        <v>172381664</v>
      </c>
      <c r="AO21" s="136">
        <f t="shared" ref="AO21:AO26" si="24">AD21</f>
        <v>14358366.797291569</v>
      </c>
      <c r="AP21" s="140">
        <f>AN21/$AN$27</f>
        <v>3.0742035912379485E-2</v>
      </c>
      <c r="AQ21" s="149">
        <f t="shared" ref="AQ21:AQ27" si="25">AO21/AN21</f>
        <v>8.3294049170401147E-2</v>
      </c>
    </row>
    <row r="22" spans="2:43" x14ac:dyDescent="0.2">
      <c r="B22" s="216" t="s">
        <v>30</v>
      </c>
      <c r="C22" s="2">
        <v>1744846439</v>
      </c>
      <c r="D22" s="2">
        <f>+C10</f>
        <v>1750172484</v>
      </c>
      <c r="E22" s="3">
        <f t="shared" si="18"/>
        <v>5326045</v>
      </c>
      <c r="F22" s="105">
        <f t="shared" si="19"/>
        <v>3.052443401868902E-3</v>
      </c>
      <c r="H22" s="158" t="s">
        <v>35</v>
      </c>
      <c r="I22" s="169">
        <v>672173.22600000002</v>
      </c>
      <c r="J22" s="159">
        <v>4.03</v>
      </c>
      <c r="K22" s="159">
        <f>I22*J22</f>
        <v>2708858.1007800004</v>
      </c>
      <c r="L22" s="159">
        <v>2709664.0362307369</v>
      </c>
      <c r="M22" s="169">
        <v>253313144.176</v>
      </c>
      <c r="N22" s="160">
        <v>7.2881677199305425E-2</v>
      </c>
      <c r="O22" s="159">
        <f t="shared" ref="O22:O26" si="26">M22*N22</f>
        <v>18461886.804176345</v>
      </c>
      <c r="P22" s="159">
        <f>L22+O22</f>
        <v>21171550.840407081</v>
      </c>
      <c r="Q22" s="159">
        <v>106761.43333612896</v>
      </c>
      <c r="R22" s="170">
        <f>Q22+P22</f>
        <v>21278312.273743208</v>
      </c>
      <c r="T22" s="158" t="s">
        <v>35</v>
      </c>
      <c r="U22" s="169">
        <v>771348</v>
      </c>
      <c r="V22" s="159">
        <v>4.03</v>
      </c>
      <c r="W22" s="159">
        <f>U22*V22</f>
        <v>3108532.4400000004</v>
      </c>
      <c r="X22" s="159">
        <v>3109457.2859682846</v>
      </c>
      <c r="Y22" s="169">
        <v>293117742</v>
      </c>
      <c r="Z22" s="160">
        <v>7.2881677199305411E-2</v>
      </c>
      <c r="AA22" s="159">
        <f t="shared" ref="AA22:AA26" si="27">Y22*Z22</f>
        <v>21362912.653833285</v>
      </c>
      <c r="AB22" s="159">
        <f>X22+AA22</f>
        <v>24472369.93980157</v>
      </c>
      <c r="AC22" s="159">
        <v>117734.86588448135</v>
      </c>
      <c r="AD22" s="170">
        <f>AC22+AB22</f>
        <v>24590104.805686053</v>
      </c>
      <c r="AG22" s="126" t="s">
        <v>35</v>
      </c>
      <c r="AH22" s="7">
        <f t="shared" si="20"/>
        <v>253313144.176</v>
      </c>
      <c r="AI22" s="139">
        <f t="shared" si="21"/>
        <v>21278312.273743208</v>
      </c>
      <c r="AJ22" s="140">
        <f t="shared" ref="AJ22:AJ26" si="28">AH22/$AH$27</f>
        <v>3.762432671400897E-2</v>
      </c>
      <c r="AK22" s="118">
        <f t="shared" si="22"/>
        <v>8.400003222477552E-2</v>
      </c>
      <c r="AL22" s="118"/>
      <c r="AM22" s="126" t="s">
        <v>35</v>
      </c>
      <c r="AN22" s="7">
        <f t="shared" si="23"/>
        <v>293117742</v>
      </c>
      <c r="AO22" s="136">
        <f t="shared" si="24"/>
        <v>24590104.805686053</v>
      </c>
      <c r="AP22" s="140">
        <f t="shared" ref="AP22:AP26" si="29">AN22/$AN$27</f>
        <v>5.2273750827231749E-2</v>
      </c>
      <c r="AQ22" s="149">
        <f t="shared" si="25"/>
        <v>8.3891560565058032E-2</v>
      </c>
    </row>
    <row r="23" spans="2:43" x14ac:dyDescent="0.2">
      <c r="B23" s="216" t="s">
        <v>48</v>
      </c>
      <c r="C23" s="86">
        <v>67963873</v>
      </c>
      <c r="D23" s="86">
        <f>+C11</f>
        <v>126249561.64000002</v>
      </c>
      <c r="E23" s="113">
        <f t="shared" si="18"/>
        <v>58285688.640000015</v>
      </c>
      <c r="F23" s="217">
        <f t="shared" si="19"/>
        <v>0.85759810421633886</v>
      </c>
      <c r="H23" s="158" t="s">
        <v>37</v>
      </c>
      <c r="I23" s="169">
        <v>1544680.2969999998</v>
      </c>
      <c r="J23" s="159">
        <v>3.9</v>
      </c>
      <c r="K23" s="159">
        <f>I23*J23</f>
        <v>6024253.1582999993</v>
      </c>
      <c r="L23" s="159">
        <v>6024284.0075602978</v>
      </c>
      <c r="M23" s="169">
        <v>590579544.64100003</v>
      </c>
      <c r="N23" s="160">
        <v>7.7619397343356836E-2</v>
      </c>
      <c r="O23" s="159">
        <f t="shared" si="26"/>
        <v>45840428.33834853</v>
      </c>
      <c r="P23" s="159">
        <f>L23+O23</f>
        <v>51864712.345908828</v>
      </c>
      <c r="Q23" s="159">
        <v>368847.7676021845</v>
      </c>
      <c r="R23" s="170">
        <f>Q23+P23</f>
        <v>52233560.113511011</v>
      </c>
      <c r="T23" s="158" t="s">
        <v>37</v>
      </c>
      <c r="U23" s="169">
        <v>1735428</v>
      </c>
      <c r="V23" s="159">
        <v>3.9</v>
      </c>
      <c r="W23" s="159">
        <f>U23*V23</f>
        <v>6768169.2000000002</v>
      </c>
      <c r="X23" s="159">
        <v>6768203.8587382557</v>
      </c>
      <c r="Y23" s="169">
        <v>682079631</v>
      </c>
      <c r="Z23" s="160">
        <v>7.7619397474786037E-2</v>
      </c>
      <c r="AA23" s="159">
        <f t="shared" si="27"/>
        <v>52942609.988044389</v>
      </c>
      <c r="AB23" s="159">
        <f>X23+AA23</f>
        <v>59710813.846782647</v>
      </c>
      <c r="AC23" s="159">
        <v>383900.66988535319</v>
      </c>
      <c r="AD23" s="170">
        <f>AC23+AB23</f>
        <v>60094714.516667999</v>
      </c>
      <c r="AG23" s="126" t="s">
        <v>37</v>
      </c>
      <c r="AH23" s="7">
        <f t="shared" si="20"/>
        <v>590579544.64100003</v>
      </c>
      <c r="AI23" s="139">
        <f t="shared" si="21"/>
        <v>52233560.113511011</v>
      </c>
      <c r="AJ23" s="140">
        <f t="shared" si="28"/>
        <v>8.7718139579623391E-2</v>
      </c>
      <c r="AK23" s="118">
        <f t="shared" si="22"/>
        <v>8.8444580560714497E-2</v>
      </c>
      <c r="AL23" s="118"/>
      <c r="AM23" s="126" t="s">
        <v>37</v>
      </c>
      <c r="AN23" s="7">
        <f t="shared" si="23"/>
        <v>682079631</v>
      </c>
      <c r="AO23" s="136">
        <f t="shared" si="24"/>
        <v>60094714.516667999</v>
      </c>
      <c r="AP23" s="140">
        <f t="shared" si="29"/>
        <v>0.12164006324538408</v>
      </c>
      <c r="AQ23" s="149">
        <f t="shared" si="25"/>
        <v>8.8105129937046889E-2</v>
      </c>
    </row>
    <row r="24" spans="2:43" x14ac:dyDescent="0.2">
      <c r="C24" s="3">
        <f>SUM(C19:C23)</f>
        <v>24591051593.601997</v>
      </c>
      <c r="D24" s="3">
        <f>SUM(D19:D23)</f>
        <v>26240994311.132</v>
      </c>
      <c r="E24" s="3">
        <f>SUM(E19:E23)</f>
        <v>1649942717.5300014</v>
      </c>
      <c r="F24" s="105">
        <f>+E24/C24</f>
        <v>6.7095248499225504E-2</v>
      </c>
      <c r="H24" s="158" t="s">
        <v>40</v>
      </c>
      <c r="I24" s="167">
        <v>0</v>
      </c>
      <c r="J24" s="168">
        <v>0</v>
      </c>
      <c r="K24" s="159">
        <f t="shared" ref="K24:K26" si="30">I24*J24</f>
        <v>0</v>
      </c>
      <c r="L24" s="168">
        <v>0</v>
      </c>
      <c r="M24" s="169">
        <v>4075261822.2660007</v>
      </c>
      <c r="N24" s="160">
        <v>0.10193149316398435</v>
      </c>
      <c r="O24" s="159">
        <f t="shared" si="26"/>
        <v>415397522.57775325</v>
      </c>
      <c r="P24" s="159">
        <f>(I24*J24)+(M24*N24)</f>
        <v>415397522.57775325</v>
      </c>
      <c r="Q24" s="159">
        <v>8739946.8081319984</v>
      </c>
      <c r="R24" s="193">
        <f>P24+Q24</f>
        <v>424137469.38588524</v>
      </c>
      <c r="T24" s="158" t="s">
        <v>40</v>
      </c>
      <c r="U24" s="167">
        <v>0</v>
      </c>
      <c r="V24" s="168">
        <v>0</v>
      </c>
      <c r="W24" s="159">
        <f t="shared" ref="W24:W26" si="31">U24*V24</f>
        <v>0</v>
      </c>
      <c r="X24" s="168"/>
      <c r="Y24" s="169">
        <v>4285861916</v>
      </c>
      <c r="Z24" s="160">
        <v>0.10161025418134355</v>
      </c>
      <c r="AA24" s="159">
        <f t="shared" si="27"/>
        <v>435487518.67090005</v>
      </c>
      <c r="AB24" s="159">
        <f>(U24*V24)+(Y24*Z24)</f>
        <v>435487518.67090005</v>
      </c>
      <c r="AC24" s="159">
        <v>8042893.2601001114</v>
      </c>
      <c r="AD24" s="193">
        <f>AB24+AC24</f>
        <v>443530411.93100017</v>
      </c>
      <c r="AG24" s="126" t="s">
        <v>40</v>
      </c>
      <c r="AH24" s="7">
        <f t="shared" si="20"/>
        <v>4075261822.2660007</v>
      </c>
      <c r="AI24" s="134">
        <f t="shared" si="21"/>
        <v>424137469.38588524</v>
      </c>
      <c r="AJ24" s="140">
        <f t="shared" si="28"/>
        <v>0.60529422089337692</v>
      </c>
      <c r="AK24" s="118">
        <f t="shared" si="22"/>
        <v>0.10407612759222637</v>
      </c>
      <c r="AL24" s="118"/>
      <c r="AM24" s="126" t="s">
        <v>40</v>
      </c>
      <c r="AN24" s="7">
        <f t="shared" si="23"/>
        <v>4285861916</v>
      </c>
      <c r="AO24" s="136">
        <f t="shared" si="24"/>
        <v>443530411.93100017</v>
      </c>
      <c r="AP24" s="140">
        <f t="shared" si="29"/>
        <v>0.76432793302872137</v>
      </c>
      <c r="AQ24" s="149">
        <f t="shared" si="25"/>
        <v>0.10348686463164161</v>
      </c>
    </row>
    <row r="25" spans="2:43" x14ac:dyDescent="0.2">
      <c r="H25" s="158" t="s">
        <v>42</v>
      </c>
      <c r="I25" s="167">
        <v>396753.24999999994</v>
      </c>
      <c r="J25" s="168">
        <v>10.79</v>
      </c>
      <c r="K25" s="159">
        <f t="shared" si="30"/>
        <v>4280967.567499999</v>
      </c>
      <c r="L25" s="168">
        <v>4277149.2576041883</v>
      </c>
      <c r="M25" s="169">
        <v>157696050.912</v>
      </c>
      <c r="N25" s="160">
        <v>6.3783059390218402E-2</v>
      </c>
      <c r="O25" s="159">
        <f t="shared" si="26"/>
        <v>10058336.580923</v>
      </c>
      <c r="P25" s="159">
        <f>L25+O25</f>
        <v>14335485.838527188</v>
      </c>
      <c r="Q25" s="159">
        <v>67441.853100596607</v>
      </c>
      <c r="R25" s="193">
        <f t="shared" ref="R25" si="32">P25+Q25</f>
        <v>14402927.691627784</v>
      </c>
      <c r="T25" s="158" t="s">
        <v>42</v>
      </c>
      <c r="U25" s="167">
        <v>397494</v>
      </c>
      <c r="V25" s="168">
        <v>10.79</v>
      </c>
      <c r="W25" s="159">
        <f t="shared" si="31"/>
        <v>4288960.26</v>
      </c>
      <c r="X25" s="168">
        <v>4285134.8212071843</v>
      </c>
      <c r="Y25" s="169">
        <v>158201706</v>
      </c>
      <c r="Z25" s="160">
        <v>6.3783059390218416E-2</v>
      </c>
      <c r="AA25" s="194">
        <f t="shared" ref="AA25" si="33">Y25*Z25</f>
        <v>10090588.809431873</v>
      </c>
      <c r="AB25" s="159">
        <f>(U25*V25)+(Y25*Z25)</f>
        <v>14379549.069431873</v>
      </c>
      <c r="AC25" s="159">
        <v>55238.647184273512</v>
      </c>
      <c r="AD25" s="193">
        <f t="shared" ref="AD25" si="34">AB25+AC25</f>
        <v>14434787.716616146</v>
      </c>
      <c r="AG25" s="126" t="s">
        <v>42</v>
      </c>
      <c r="AH25" s="7">
        <f t="shared" si="20"/>
        <v>157696050.912</v>
      </c>
      <c r="AI25" s="134">
        <f t="shared" si="21"/>
        <v>14402927.691627784</v>
      </c>
      <c r="AJ25" s="140">
        <f t="shared" si="28"/>
        <v>2.3422423500060203E-2</v>
      </c>
      <c r="AK25" s="118">
        <f t="shared" si="22"/>
        <v>9.1333470992657442E-2</v>
      </c>
      <c r="AL25" s="118"/>
      <c r="AM25" s="126" t="s">
        <v>42</v>
      </c>
      <c r="AN25" s="7">
        <f t="shared" si="23"/>
        <v>158201706</v>
      </c>
      <c r="AO25" s="136">
        <f t="shared" si="24"/>
        <v>14434787.716616146</v>
      </c>
      <c r="AP25" s="140">
        <f t="shared" si="29"/>
        <v>2.8213224158525941E-2</v>
      </c>
      <c r="AQ25" s="149">
        <f t="shared" si="25"/>
        <v>9.1242933351275909E-2</v>
      </c>
    </row>
    <row r="26" spans="2:43" ht="16.5" x14ac:dyDescent="0.35">
      <c r="B26" s="218" t="s">
        <v>49</v>
      </c>
      <c r="H26" s="158" t="s">
        <v>50</v>
      </c>
      <c r="I26" s="167">
        <v>0</v>
      </c>
      <c r="J26" s="168">
        <v>0</v>
      </c>
      <c r="K26" s="159">
        <f t="shared" si="30"/>
        <v>0</v>
      </c>
      <c r="L26" s="168"/>
      <c r="M26" s="174">
        <v>1509082890</v>
      </c>
      <c r="N26" s="160">
        <v>0</v>
      </c>
      <c r="O26" s="159">
        <f t="shared" si="26"/>
        <v>0</v>
      </c>
      <c r="P26" s="159">
        <f t="shared" ref="P26" si="35">(I26*J26)+(M26*N26)</f>
        <v>0</v>
      </c>
      <c r="Q26" s="159">
        <v>0</v>
      </c>
      <c r="R26" s="195">
        <v>1145381.77</v>
      </c>
      <c r="S26" s="157"/>
      <c r="T26" s="158" t="s">
        <v>50</v>
      </c>
      <c r="U26" s="167">
        <v>0</v>
      </c>
      <c r="V26" s="168">
        <v>0</v>
      </c>
      <c r="W26" s="159">
        <f t="shared" si="31"/>
        <v>0</v>
      </c>
      <c r="X26" s="168"/>
      <c r="Y26" s="174">
        <v>15717390</v>
      </c>
      <c r="Z26" s="160">
        <v>0</v>
      </c>
      <c r="AA26" s="159">
        <f t="shared" si="27"/>
        <v>0</v>
      </c>
      <c r="AB26" s="159">
        <f t="shared" ref="AB26" si="36">(U26*V26)+(Y26*Z26)</f>
        <v>0</v>
      </c>
      <c r="AC26" s="159">
        <v>0</v>
      </c>
      <c r="AD26" s="195">
        <v>1145381.77</v>
      </c>
      <c r="AG26" s="126" t="s">
        <v>50</v>
      </c>
      <c r="AH26" s="7">
        <f t="shared" si="20"/>
        <v>1509082890</v>
      </c>
      <c r="AI26" s="137">
        <f t="shared" si="21"/>
        <v>1145381.77</v>
      </c>
      <c r="AJ26" s="140">
        <f t="shared" si="28"/>
        <v>0.22414244581178067</v>
      </c>
      <c r="AK26" s="118">
        <f t="shared" si="22"/>
        <v>7.5899195305302288E-4</v>
      </c>
      <c r="AL26" s="118"/>
      <c r="AM26" s="126" t="s">
        <v>50</v>
      </c>
      <c r="AN26" s="131">
        <f t="shared" si="23"/>
        <v>15717390</v>
      </c>
      <c r="AO26" s="136">
        <f t="shared" si="24"/>
        <v>1145381.77</v>
      </c>
      <c r="AP26" s="142">
        <f t="shared" si="29"/>
        <v>2.8029928277573317E-3</v>
      </c>
      <c r="AQ26" s="149">
        <f t="shared" si="25"/>
        <v>7.2873534982589347E-2</v>
      </c>
    </row>
    <row r="27" spans="2:43" x14ac:dyDescent="0.2">
      <c r="B27" s="216" t="s">
        <v>25</v>
      </c>
      <c r="C27" s="2">
        <v>8722115591</v>
      </c>
      <c r="D27" s="2">
        <v>9308693330</v>
      </c>
      <c r="E27" s="3">
        <f>+D27-C27</f>
        <v>586577739</v>
      </c>
      <c r="F27" s="105">
        <f>+E27/C27</f>
        <v>6.7251773136928608E-2</v>
      </c>
      <c r="H27" s="158"/>
      <c r="I27" s="169"/>
      <c r="J27" s="159"/>
      <c r="K27" s="159"/>
      <c r="L27" s="159"/>
      <c r="M27" s="169">
        <f>SUM(M21:M26)</f>
        <v>6732695739.6870003</v>
      </c>
      <c r="N27" s="160"/>
      <c r="O27" s="160"/>
      <c r="P27" s="159"/>
      <c r="Q27" s="159"/>
      <c r="R27" s="170">
        <f>SUM(R21:R26)</f>
        <v>525434029.36711222</v>
      </c>
      <c r="S27" s="157"/>
      <c r="T27" s="158"/>
      <c r="U27" s="169"/>
      <c r="V27" s="159"/>
      <c r="W27" s="159"/>
      <c r="X27" s="159"/>
      <c r="Y27" s="169">
        <f>SUM(Y21:Y26)</f>
        <v>5607360049</v>
      </c>
      <c r="Z27" s="160"/>
      <c r="AA27" s="160"/>
      <c r="AB27" s="159"/>
      <c r="AC27" s="159"/>
      <c r="AD27" s="170">
        <f>SUM(AD21:AD26)</f>
        <v>558153767.53726196</v>
      </c>
      <c r="AG27" s="126"/>
      <c r="AH27" s="8">
        <f>SUM(AH21:AH26)</f>
        <v>6732695739.6870003</v>
      </c>
      <c r="AI27" s="120">
        <f>SUM(AI21:AI26)</f>
        <v>525434029.36711222</v>
      </c>
      <c r="AJ27" s="146">
        <f>SUM(AJ21:AJ26)</f>
        <v>1</v>
      </c>
      <c r="AK27" s="118">
        <f t="shared" si="22"/>
        <v>7.8042146813475252E-2</v>
      </c>
      <c r="AL27" s="118"/>
      <c r="AM27" s="46"/>
      <c r="AN27" s="8">
        <f>SUM(AN21:AN26)</f>
        <v>5607360049</v>
      </c>
      <c r="AO27" s="120">
        <f>SUM(AO21:AO26)</f>
        <v>558153767.53726196</v>
      </c>
      <c r="AP27" s="146">
        <f>SUM(AP21:AP26)</f>
        <v>0.99999999999999989</v>
      </c>
      <c r="AQ27" s="149">
        <f t="shared" si="25"/>
        <v>9.9539491429090854E-2</v>
      </c>
    </row>
    <row r="28" spans="2:43" x14ac:dyDescent="0.2">
      <c r="B28" s="216" t="s">
        <v>27</v>
      </c>
      <c r="C28" s="135">
        <f>6093659885-179037814</f>
        <v>5914622071</v>
      </c>
      <c r="D28" s="135">
        <v>5874362067</v>
      </c>
      <c r="E28" s="3">
        <f t="shared" ref="E28:E31" si="37">+D28-C28</f>
        <v>-40260004</v>
      </c>
      <c r="F28" s="105">
        <f t="shared" ref="F28:F31" si="38">+E28/C28</f>
        <v>-6.8068599340267129E-3</v>
      </c>
      <c r="H28" s="126"/>
      <c r="I28" s="133"/>
      <c r="J28" s="134"/>
      <c r="K28" s="134"/>
      <c r="L28" s="134"/>
      <c r="M28" s="133"/>
      <c r="N28" s="213"/>
      <c r="O28" s="213"/>
      <c r="P28" s="134"/>
      <c r="Q28" s="134"/>
      <c r="T28" s="126"/>
      <c r="U28" s="7"/>
      <c r="V28" s="130"/>
      <c r="W28" s="130"/>
      <c r="X28" s="130"/>
      <c r="Y28" s="7"/>
      <c r="Z28" s="129"/>
      <c r="AA28" s="129"/>
      <c r="AB28" s="130"/>
      <c r="AC28" s="130"/>
      <c r="AG28" s="126"/>
      <c r="AH28" s="7"/>
      <c r="AI28" s="120"/>
      <c r="AJ28" s="120"/>
      <c r="AM28" s="126"/>
      <c r="AN28" s="7"/>
      <c r="AO28" s="120"/>
      <c r="AP28" s="120"/>
    </row>
    <row r="29" spans="2:43" x14ac:dyDescent="0.2">
      <c r="B29" s="216" t="s">
        <v>47</v>
      </c>
      <c r="C29" s="2">
        <f>7517523837+179037814</f>
        <v>7696561651</v>
      </c>
      <c r="D29" s="2">
        <v>8778391951</v>
      </c>
      <c r="E29" s="3">
        <f t="shared" si="37"/>
        <v>1081830300</v>
      </c>
      <c r="F29" s="105">
        <f t="shared" si="38"/>
        <v>0.14056020714905074</v>
      </c>
      <c r="H29" s="126"/>
      <c r="I29" s="133"/>
      <c r="J29" s="134"/>
      <c r="K29" s="134"/>
      <c r="L29" s="134"/>
      <c r="M29" s="133"/>
      <c r="N29" s="213"/>
      <c r="O29" s="213"/>
      <c r="P29" s="134"/>
      <c r="Q29" s="134"/>
      <c r="T29" s="126"/>
      <c r="U29" s="7"/>
      <c r="V29" s="130"/>
      <c r="W29" s="130"/>
      <c r="X29" s="130"/>
      <c r="Y29" s="7"/>
      <c r="Z29" s="129"/>
      <c r="AA29" s="129"/>
      <c r="AB29" s="130"/>
      <c r="AC29" s="130"/>
      <c r="AG29" s="126"/>
      <c r="AH29" s="7"/>
      <c r="AI29" s="120"/>
      <c r="AJ29" s="120" t="s">
        <v>8</v>
      </c>
      <c r="AM29" s="126"/>
      <c r="AN29" s="7"/>
      <c r="AO29" s="120"/>
      <c r="AP29" s="120"/>
    </row>
    <row r="30" spans="2:43" x14ac:dyDescent="0.2">
      <c r="B30" s="216" t="s">
        <v>30</v>
      </c>
      <c r="C30" s="2">
        <v>1640979535</v>
      </c>
      <c r="D30" s="2">
        <v>1843592800</v>
      </c>
      <c r="E30" s="3">
        <f t="shared" si="37"/>
        <v>202613265</v>
      </c>
      <c r="F30" s="105">
        <f t="shared" si="38"/>
        <v>0.1234709273811876</v>
      </c>
      <c r="H30" s="126"/>
      <c r="I30" s="133"/>
      <c r="J30" s="134"/>
      <c r="K30" s="134"/>
      <c r="L30" s="134"/>
      <c r="M30" s="133"/>
      <c r="N30" s="213"/>
      <c r="O30" s="213"/>
      <c r="P30" s="134"/>
      <c r="Q30" s="134"/>
      <c r="T30" s="126"/>
      <c r="U30" s="7"/>
      <c r="V30" s="130"/>
      <c r="W30" s="130"/>
      <c r="X30" s="130"/>
      <c r="Y30" s="7"/>
      <c r="Z30" s="129"/>
      <c r="AA30" s="129"/>
      <c r="AB30" s="130"/>
      <c r="AC30" s="130"/>
      <c r="AG30" s="126"/>
      <c r="AH30" s="46" t="s">
        <v>8</v>
      </c>
      <c r="AI30" s="46" t="s">
        <v>8</v>
      </c>
      <c r="AJ30" s="46" t="s">
        <v>24</v>
      </c>
      <c r="AK30" s="67"/>
      <c r="AL30" s="67"/>
      <c r="AM30" s="67"/>
      <c r="AN30" s="46" t="s">
        <v>15</v>
      </c>
      <c r="AO30" s="46" t="s">
        <v>17</v>
      </c>
      <c r="AP30" s="46"/>
    </row>
    <row r="31" spans="2:43" x14ac:dyDescent="0.2">
      <c r="B31" s="323" t="s">
        <v>48</v>
      </c>
      <c r="C31" s="86">
        <v>65675906</v>
      </c>
      <c r="D31" s="86">
        <v>61448320</v>
      </c>
      <c r="E31" s="113">
        <f t="shared" si="37"/>
        <v>-4227586</v>
      </c>
      <c r="F31" s="217">
        <f t="shared" si="38"/>
        <v>-6.4370425281990024E-2</v>
      </c>
      <c r="H31" s="158" t="s">
        <v>51</v>
      </c>
      <c r="I31" s="169">
        <v>2103716.9759999998</v>
      </c>
      <c r="J31" s="159">
        <v>16.22</v>
      </c>
      <c r="K31" s="159">
        <f>I31*J31</f>
        <v>34122289.350719996</v>
      </c>
      <c r="L31" s="159">
        <v>34070415.079941973</v>
      </c>
      <c r="M31" s="169">
        <v>1181378398.3510001</v>
      </c>
      <c r="N31" s="160">
        <v>4.2613118945112119E-2</v>
      </c>
      <c r="O31" s="159">
        <f>M31*N31</f>
        <v>50342218.208117209</v>
      </c>
      <c r="P31" s="159">
        <f>L31+O31</f>
        <v>84412633.288059175</v>
      </c>
      <c r="Q31" s="159">
        <v>270624.64294799679</v>
      </c>
      <c r="R31" s="170">
        <f>Q31+P31</f>
        <v>84683257.931007177</v>
      </c>
      <c r="T31" s="158" t="s">
        <v>51</v>
      </c>
      <c r="U31" s="169">
        <v>2477950</v>
      </c>
      <c r="V31" s="159">
        <v>16.22</v>
      </c>
      <c r="W31" s="159">
        <f>U31*V31</f>
        <v>40192349</v>
      </c>
      <c r="X31" s="159">
        <v>40131246.745875113</v>
      </c>
      <c r="Y31" s="169">
        <v>1391536050</v>
      </c>
      <c r="Z31" s="160">
        <v>4.2613118945112112E-2</v>
      </c>
      <c r="AA31" s="159">
        <f>Y31*Z31</f>
        <v>59297691.215061478</v>
      </c>
      <c r="AB31" s="159">
        <f>X31+AA31</f>
        <v>99428937.960936591</v>
      </c>
      <c r="AC31" s="159">
        <v>271782.87411089131</v>
      </c>
      <c r="AD31" s="170">
        <f>AC31+AB31</f>
        <v>99700720.835047483</v>
      </c>
      <c r="AG31" s="126" t="s">
        <v>51</v>
      </c>
      <c r="AH31" s="7">
        <f t="shared" ref="AH31:AH35" si="39">M31</f>
        <v>1181378398.3510001</v>
      </c>
      <c r="AI31" s="139">
        <f t="shared" ref="AI31:AI37" si="40">R31</f>
        <v>84683257.931007177</v>
      </c>
      <c r="AJ31" s="140">
        <f>AH31/$AH$38</f>
        <v>0.13499292732301299</v>
      </c>
      <c r="AK31" s="118">
        <f t="shared" ref="AK31:AK38" si="41">AI31/AH31</f>
        <v>7.1681738932428726E-2</v>
      </c>
      <c r="AL31" s="118"/>
      <c r="AM31" s="126" t="s">
        <v>51</v>
      </c>
      <c r="AN31" s="133">
        <f t="shared" ref="AN31:AN37" si="42">Y31</f>
        <v>1391536050</v>
      </c>
      <c r="AO31" s="136">
        <f t="shared" ref="AO31:AO37" si="43">AD31</f>
        <v>99700720.835047483</v>
      </c>
      <c r="AP31" s="140">
        <f>AN31/$AN$38</f>
        <v>0.14313368747821095</v>
      </c>
      <c r="AQ31" s="149">
        <f t="shared" ref="AQ31:AQ40" si="44">AO31/AN31</f>
        <v>7.1647961139811991E-2</v>
      </c>
    </row>
    <row r="32" spans="2:43" x14ac:dyDescent="0.2">
      <c r="C32" s="3">
        <f>SUM(C27:C31)</f>
        <v>24039954754</v>
      </c>
      <c r="D32" s="3">
        <f>SUM(D27:D31)</f>
        <v>25866488468</v>
      </c>
      <c r="E32" s="3">
        <f>SUM(E27:E31)</f>
        <v>1826533714</v>
      </c>
      <c r="F32" s="105">
        <f>+E32/C32</f>
        <v>7.597908285148014E-2</v>
      </c>
      <c r="H32" s="158" t="s">
        <v>52</v>
      </c>
      <c r="I32" s="169">
        <v>1627646.9040000001</v>
      </c>
      <c r="J32" s="159">
        <v>17.21</v>
      </c>
      <c r="K32" s="159">
        <f>I32*J32</f>
        <v>28011803.217840005</v>
      </c>
      <c r="L32" s="159">
        <v>28006519.870777901</v>
      </c>
      <c r="M32" s="169">
        <v>979822876.76700008</v>
      </c>
      <c r="N32" s="160">
        <v>4.215004851812959E-2</v>
      </c>
      <c r="O32" s="159">
        <f>M32*N32</f>
        <v>41299581.794902362</v>
      </c>
      <c r="P32" s="159">
        <f>L32+O32</f>
        <v>69306101.665680259</v>
      </c>
      <c r="Q32" s="159">
        <v>322818.0874034937</v>
      </c>
      <c r="R32" s="170">
        <f>Q32+P32</f>
        <v>69628919.753083751</v>
      </c>
      <c r="S32" s="157"/>
      <c r="T32" s="158" t="s">
        <v>52</v>
      </c>
      <c r="U32" s="169">
        <v>1904825</v>
      </c>
      <c r="V32" s="159">
        <v>17.21</v>
      </c>
      <c r="W32" s="159">
        <f>U32*V32</f>
        <v>32782038.25</v>
      </c>
      <c r="X32" s="159">
        <v>32779186.212672252</v>
      </c>
      <c r="Y32" s="169">
        <v>1130882331</v>
      </c>
      <c r="Z32" s="160">
        <v>4.2154332254000004E-2</v>
      </c>
      <c r="AA32" s="159">
        <f>Y32*Z32</f>
        <v>47671589.521152012</v>
      </c>
      <c r="AB32" s="159">
        <f>X32+AA32</f>
        <v>80450775.733824268</v>
      </c>
      <c r="AC32" s="159">
        <v>361795.32906770409</v>
      </c>
      <c r="AD32" s="170">
        <f>AC32+AB32</f>
        <v>80812571.062891975</v>
      </c>
      <c r="AG32" s="126" t="s">
        <v>52</v>
      </c>
      <c r="AH32" s="7">
        <f t="shared" si="39"/>
        <v>979822876.76700008</v>
      </c>
      <c r="AI32" s="139">
        <f t="shared" si="40"/>
        <v>69628919.753083751</v>
      </c>
      <c r="AJ32" s="140">
        <f t="shared" ref="AJ32:AJ37" si="45">AH32/$AH$38</f>
        <v>0.11196172079789</v>
      </c>
      <c r="AK32" s="118">
        <f t="shared" si="41"/>
        <v>7.1062761856336379E-2</v>
      </c>
      <c r="AL32" s="118"/>
      <c r="AM32" s="126" t="s">
        <v>52</v>
      </c>
      <c r="AN32" s="133">
        <f t="shared" si="42"/>
        <v>1130882331</v>
      </c>
      <c r="AO32" s="136">
        <f t="shared" si="43"/>
        <v>80812571.062891975</v>
      </c>
      <c r="AP32" s="140">
        <f t="shared" ref="AP32:AP36" si="46">AN32/$AN$38</f>
        <v>0.11632279173793932</v>
      </c>
      <c r="AQ32" s="149">
        <f t="shared" si="44"/>
        <v>7.1459752131269233E-2</v>
      </c>
    </row>
    <row r="33" spans="2:43" x14ac:dyDescent="0.2">
      <c r="H33" s="158" t="s">
        <v>53</v>
      </c>
      <c r="I33" s="169">
        <v>2846082.8800000004</v>
      </c>
      <c r="J33" s="159">
        <v>17.850000000000001</v>
      </c>
      <c r="K33" s="159">
        <f>I33*J33</f>
        <v>50802579.408000007</v>
      </c>
      <c r="L33" s="159">
        <v>50802103.952025011</v>
      </c>
      <c r="M33" s="169">
        <v>1535175689.5999999</v>
      </c>
      <c r="N33" s="160">
        <v>4.3353594254492971E-2</v>
      </c>
      <c r="O33" s="159">
        <f>M33*N33</f>
        <v>66555383.956279837</v>
      </c>
      <c r="P33" s="159">
        <f>L33+O33</f>
        <v>117357487.90830484</v>
      </c>
      <c r="Q33" s="159">
        <v>412872.07833766239</v>
      </c>
      <c r="R33" s="170">
        <f>Q33+P33</f>
        <v>117770359.98664251</v>
      </c>
      <c r="S33" s="157"/>
      <c r="T33" s="158" t="s">
        <v>53</v>
      </c>
      <c r="U33" s="169">
        <v>3784566</v>
      </c>
      <c r="V33" s="159">
        <v>17.850000000000001</v>
      </c>
      <c r="W33" s="159">
        <f>U33*V33</f>
        <v>67554503.100000009</v>
      </c>
      <c r="X33" s="159">
        <v>67553870.864540488</v>
      </c>
      <c r="Y33" s="169">
        <v>1820910810</v>
      </c>
      <c r="Z33" s="160">
        <v>4.3353594254492971E-2</v>
      </c>
      <c r="AA33" s="159">
        <f>Y33*Z33</f>
        <v>78943028.430360138</v>
      </c>
      <c r="AB33" s="159">
        <f>X33+AA33</f>
        <v>146496899.29490063</v>
      </c>
      <c r="AC33" s="159">
        <v>481977.66117975849</v>
      </c>
      <c r="AD33" s="170">
        <f>AC33+AB33</f>
        <v>146978876.95608038</v>
      </c>
      <c r="AG33" s="126" t="s">
        <v>53</v>
      </c>
      <c r="AH33" s="7">
        <f t="shared" si="39"/>
        <v>1535175689.5999999</v>
      </c>
      <c r="AI33" s="139">
        <f t="shared" si="40"/>
        <v>117770359.98664251</v>
      </c>
      <c r="AJ33" s="140">
        <f t="shared" si="45"/>
        <v>0.17542039077699181</v>
      </c>
      <c r="AK33" s="118">
        <f t="shared" si="41"/>
        <v>7.6714581128709991E-2</v>
      </c>
      <c r="AL33" s="118"/>
      <c r="AM33" s="126" t="s">
        <v>53</v>
      </c>
      <c r="AN33" s="133">
        <f t="shared" si="42"/>
        <v>1820910810</v>
      </c>
      <c r="AO33" s="136">
        <f t="shared" si="43"/>
        <v>146978876.95608038</v>
      </c>
      <c r="AP33" s="140">
        <f t="shared" si="46"/>
        <v>0.18729926458192439</v>
      </c>
      <c r="AQ33" s="149">
        <f t="shared" si="44"/>
        <v>8.0717230162459394E-2</v>
      </c>
    </row>
    <row r="34" spans="2:43" x14ac:dyDescent="0.2">
      <c r="H34" s="158" t="s">
        <v>54</v>
      </c>
      <c r="I34" s="169">
        <v>3036083.939999999</v>
      </c>
      <c r="J34" s="159">
        <v>14.26</v>
      </c>
      <c r="K34" s="159">
        <f>I34*J34</f>
        <v>43294556.984399982</v>
      </c>
      <c r="L34" s="159">
        <v>43289391.158846214</v>
      </c>
      <c r="M34" s="169">
        <v>1669112517.8269999</v>
      </c>
      <c r="N34" s="160">
        <v>5.510042473584164E-2</v>
      </c>
      <c r="O34" s="159">
        <f>M34*N34</f>
        <v>91968808.664177746</v>
      </c>
      <c r="P34" s="159">
        <f>L34+O34</f>
        <v>135258199.82302397</v>
      </c>
      <c r="Q34" s="159">
        <v>469387.21531211497</v>
      </c>
      <c r="R34" s="170">
        <f>Q34+P34</f>
        <v>135727587.0383361</v>
      </c>
      <c r="T34" s="158" t="s">
        <v>54</v>
      </c>
      <c r="U34" s="169">
        <v>3348145</v>
      </c>
      <c r="V34" s="159">
        <v>14.26</v>
      </c>
      <c r="W34" s="159">
        <f>U34*V34</f>
        <v>47744547.700000003</v>
      </c>
      <c r="X34" s="159">
        <v>47643926.79280474</v>
      </c>
      <c r="Y34" s="169">
        <v>1802727362</v>
      </c>
      <c r="Z34" s="160">
        <v>5.510042473584164E-2</v>
      </c>
      <c r="AA34" s="159">
        <f>Y34*Z34</f>
        <v>99331043.329123348</v>
      </c>
      <c r="AB34" s="159">
        <f>X34+AA34</f>
        <v>146974970.1219281</v>
      </c>
      <c r="AC34" s="159">
        <v>488970.76996016619</v>
      </c>
      <c r="AD34" s="170">
        <f>AC34+AB34</f>
        <v>147463940.89188826</v>
      </c>
      <c r="AG34" s="126" t="s">
        <v>54</v>
      </c>
      <c r="AH34" s="7">
        <f t="shared" si="39"/>
        <v>1669112517.8269999</v>
      </c>
      <c r="AI34" s="139">
        <f t="shared" si="40"/>
        <v>135727587.0383361</v>
      </c>
      <c r="AJ34" s="140">
        <f t="shared" si="45"/>
        <v>0.19072499135540052</v>
      </c>
      <c r="AK34" s="118">
        <f t="shared" si="41"/>
        <v>8.131721833530936E-2</v>
      </c>
      <c r="AL34" s="118"/>
      <c r="AM34" s="126" t="s">
        <v>54</v>
      </c>
      <c r="AN34" s="133">
        <f t="shared" si="42"/>
        <v>1802727362</v>
      </c>
      <c r="AO34" s="136">
        <f t="shared" si="43"/>
        <v>147463940.89188826</v>
      </c>
      <c r="AP34" s="140">
        <f t="shared" si="46"/>
        <v>0.18542891133932726</v>
      </c>
      <c r="AQ34" s="149">
        <f t="shared" si="44"/>
        <v>8.1800467447438824E-2</v>
      </c>
    </row>
    <row r="35" spans="2:43" x14ac:dyDescent="0.2">
      <c r="H35" s="158" t="s">
        <v>55</v>
      </c>
      <c r="I35" s="169">
        <v>7024322.1640000008</v>
      </c>
      <c r="J35" s="159">
        <v>20.079999999999998</v>
      </c>
      <c r="K35" s="159">
        <f>I35*J35</f>
        <v>141048389.05312002</v>
      </c>
      <c r="L35" s="159">
        <v>140923378.54430282</v>
      </c>
      <c r="M35" s="169">
        <v>3385920104.4490004</v>
      </c>
      <c r="N35" s="160">
        <v>4.8084345271376491E-2</v>
      </c>
      <c r="O35" s="159">
        <f>M35*N35</f>
        <v>162809751.36362088</v>
      </c>
      <c r="P35" s="159">
        <f>L35+O35</f>
        <v>303733129.9079237</v>
      </c>
      <c r="Q35" s="159">
        <v>1923917.4469256094</v>
      </c>
      <c r="R35" s="170">
        <f>Q35+P35</f>
        <v>305657047.35484928</v>
      </c>
      <c r="T35" s="158" t="s">
        <v>55</v>
      </c>
      <c r="U35" s="169">
        <v>7468810</v>
      </c>
      <c r="V35" s="159">
        <v>20.079999999999998</v>
      </c>
      <c r="W35" s="159">
        <f>U35*V35</f>
        <v>149973704.79999998</v>
      </c>
      <c r="X35" s="159">
        <v>149840783.82676443</v>
      </c>
      <c r="Y35" s="169">
        <v>3575875960</v>
      </c>
      <c r="Z35" s="160">
        <v>4.8084345271376484E-2</v>
      </c>
      <c r="AA35" s="159">
        <f>Y35*Z35</f>
        <v>171943654.30825484</v>
      </c>
      <c r="AB35" s="159">
        <f>X35+AA35</f>
        <v>321784438.1350193</v>
      </c>
      <c r="AC35" s="159">
        <v>1855609.3474505523</v>
      </c>
      <c r="AD35" s="170">
        <f>AC35+AB35</f>
        <v>323640047.48246986</v>
      </c>
      <c r="AG35" s="126" t="s">
        <v>55</v>
      </c>
      <c r="AH35" s="7">
        <f t="shared" si="39"/>
        <v>3385920104.4490004</v>
      </c>
      <c r="AI35" s="139">
        <f t="shared" si="40"/>
        <v>305657047.35484928</v>
      </c>
      <c r="AJ35" s="140">
        <f t="shared" si="45"/>
        <v>0.38689996974670476</v>
      </c>
      <c r="AK35" s="118">
        <f t="shared" si="41"/>
        <v>9.0272965080665915E-2</v>
      </c>
      <c r="AL35" s="118"/>
      <c r="AM35" s="126" t="s">
        <v>55</v>
      </c>
      <c r="AN35" s="133">
        <f t="shared" si="42"/>
        <v>3575875960</v>
      </c>
      <c r="AO35" s="136">
        <f t="shared" si="43"/>
        <v>323640047.48246986</v>
      </c>
      <c r="AP35" s="140">
        <f>AN35/$AN$38</f>
        <v>0.36781534486259809</v>
      </c>
      <c r="AQ35" s="149">
        <f t="shared" si="44"/>
        <v>9.050650836402889E-2</v>
      </c>
    </row>
    <row r="36" spans="2:43" x14ac:dyDescent="0.2">
      <c r="B36" s="67" t="s">
        <v>56</v>
      </c>
      <c r="C36" s="126" t="s">
        <v>57</v>
      </c>
      <c r="D36" s="332" t="s">
        <v>58</v>
      </c>
      <c r="E36" s="332" t="s">
        <v>45</v>
      </c>
      <c r="F36" s="332" t="s">
        <v>46</v>
      </c>
      <c r="H36" s="158" t="s">
        <v>59</v>
      </c>
      <c r="I36" s="169">
        <v>0</v>
      </c>
      <c r="J36" s="159">
        <v>0</v>
      </c>
      <c r="K36" s="159">
        <v>0</v>
      </c>
      <c r="L36" s="159">
        <v>0</v>
      </c>
      <c r="M36" s="169">
        <v>0</v>
      </c>
      <c r="N36" s="160">
        <v>0</v>
      </c>
      <c r="O36" s="160">
        <v>0</v>
      </c>
      <c r="P36" s="159">
        <v>0</v>
      </c>
      <c r="Q36" s="159">
        <v>0</v>
      </c>
      <c r="R36" s="159">
        <v>0</v>
      </c>
      <c r="S36" s="157"/>
      <c r="T36" s="158" t="s">
        <v>59</v>
      </c>
      <c r="U36" s="169">
        <v>0</v>
      </c>
      <c r="V36" s="159">
        <v>0</v>
      </c>
      <c r="W36" s="159">
        <v>0</v>
      </c>
      <c r="X36" s="159">
        <v>0</v>
      </c>
      <c r="Y36" s="169">
        <v>0</v>
      </c>
      <c r="Z36" s="160">
        <v>0</v>
      </c>
      <c r="AA36" s="160">
        <v>0</v>
      </c>
      <c r="AB36" s="159">
        <v>0</v>
      </c>
      <c r="AC36" s="159">
        <v>0</v>
      </c>
      <c r="AD36" s="159">
        <v>0</v>
      </c>
      <c r="AG36" t="s">
        <v>59</v>
      </c>
      <c r="AH36" s="133">
        <v>0</v>
      </c>
      <c r="AI36" s="139">
        <f t="shared" si="40"/>
        <v>0</v>
      </c>
      <c r="AJ36" s="140">
        <f t="shared" si="45"/>
        <v>0</v>
      </c>
      <c r="AK36" s="118" t="e">
        <f t="shared" si="41"/>
        <v>#DIV/0!</v>
      </c>
      <c r="AL36" s="118"/>
      <c r="AM36" t="s">
        <v>59</v>
      </c>
      <c r="AN36" s="133">
        <f t="shared" si="42"/>
        <v>0</v>
      </c>
      <c r="AO36" s="136">
        <f t="shared" si="43"/>
        <v>0</v>
      </c>
      <c r="AP36" s="140">
        <f t="shared" si="46"/>
        <v>0</v>
      </c>
      <c r="AQ36" s="149">
        <v>0</v>
      </c>
    </row>
    <row r="37" spans="2:43" ht="15" x14ac:dyDescent="0.35">
      <c r="B37" s="216" t="s">
        <v>25</v>
      </c>
      <c r="C37" s="2">
        <v>9336313</v>
      </c>
      <c r="D37" s="2">
        <v>9595502</v>
      </c>
      <c r="E37" s="3">
        <f>+D37-C37</f>
        <v>259189</v>
      </c>
      <c r="F37" s="105">
        <f>+E37/C37</f>
        <v>2.7761387177143697E-2</v>
      </c>
      <c r="H37" s="158" t="s">
        <v>60</v>
      </c>
      <c r="I37" s="169">
        <v>0</v>
      </c>
      <c r="J37" s="159">
        <v>0</v>
      </c>
      <c r="K37" s="159">
        <v>0</v>
      </c>
      <c r="L37" s="159">
        <v>0</v>
      </c>
      <c r="M37" s="209">
        <v>0</v>
      </c>
      <c r="N37" s="160">
        <v>0</v>
      </c>
      <c r="O37" s="160">
        <v>0</v>
      </c>
      <c r="P37" s="159">
        <v>0</v>
      </c>
      <c r="Q37" s="159">
        <v>0</v>
      </c>
      <c r="R37" s="159">
        <v>0</v>
      </c>
      <c r="S37" s="157"/>
      <c r="T37" s="158" t="s">
        <v>60</v>
      </c>
      <c r="U37" s="169">
        <v>0</v>
      </c>
      <c r="V37" s="159">
        <v>0</v>
      </c>
      <c r="W37" s="159">
        <v>0</v>
      </c>
      <c r="X37" s="159">
        <v>0</v>
      </c>
      <c r="Y37" s="209">
        <v>0</v>
      </c>
      <c r="Z37" s="160">
        <v>0</v>
      </c>
      <c r="AA37" s="160">
        <v>0</v>
      </c>
      <c r="AB37" s="159">
        <v>0</v>
      </c>
      <c r="AC37" s="159">
        <v>0</v>
      </c>
      <c r="AD37" s="159">
        <v>0</v>
      </c>
      <c r="AG37" t="s">
        <v>60</v>
      </c>
      <c r="AH37" s="138">
        <v>0</v>
      </c>
      <c r="AI37" s="138">
        <f t="shared" si="40"/>
        <v>0</v>
      </c>
      <c r="AJ37" s="140">
        <f t="shared" si="45"/>
        <v>0</v>
      </c>
      <c r="AK37" s="118" t="e">
        <f t="shared" si="41"/>
        <v>#DIV/0!</v>
      </c>
      <c r="AL37" s="118"/>
      <c r="AM37" t="s">
        <v>60</v>
      </c>
      <c r="AN37" s="131">
        <f t="shared" si="42"/>
        <v>0</v>
      </c>
      <c r="AO37" s="144">
        <f t="shared" si="43"/>
        <v>0</v>
      </c>
      <c r="AP37" s="140">
        <f>AN37/$AN$38</f>
        <v>0</v>
      </c>
      <c r="AQ37" s="149">
        <v>0</v>
      </c>
    </row>
    <row r="38" spans="2:43" x14ac:dyDescent="0.2">
      <c r="B38" s="216" t="s">
        <v>27</v>
      </c>
      <c r="C38" s="2">
        <v>1153298</v>
      </c>
      <c r="D38" s="2">
        <v>1169303</v>
      </c>
      <c r="E38" s="3">
        <f t="shared" ref="E38:E42" si="47">+D38-C38</f>
        <v>16005</v>
      </c>
      <c r="F38" s="105">
        <f t="shared" ref="F38:F42" si="48">+E38/C38</f>
        <v>1.3877592781744181E-2</v>
      </c>
      <c r="H38" s="158" t="s">
        <v>8</v>
      </c>
      <c r="I38" s="169"/>
      <c r="J38" s="159"/>
      <c r="K38" s="159"/>
      <c r="L38" s="159"/>
      <c r="M38" s="169">
        <f>SUM(M31:M35)</f>
        <v>8751409586.9939995</v>
      </c>
      <c r="N38" s="160"/>
      <c r="O38" s="160"/>
      <c r="P38" s="159"/>
      <c r="Q38" s="159"/>
      <c r="R38" s="170">
        <f>SUM(R31:R37)</f>
        <v>713467172.06391883</v>
      </c>
      <c r="S38" s="157"/>
      <c r="T38" s="158" t="s">
        <v>8</v>
      </c>
      <c r="U38" s="169"/>
      <c r="V38" s="159"/>
      <c r="W38" s="159"/>
      <c r="X38" s="159"/>
      <c r="Y38" s="169">
        <f>SUM(Y31:Y35)</f>
        <v>9721932513</v>
      </c>
      <c r="Z38" s="160"/>
      <c r="AA38" s="160"/>
      <c r="AB38" s="159"/>
      <c r="AC38" s="159"/>
      <c r="AD38" s="170">
        <f>SUM(AD31:AD37)</f>
        <v>798596157.22837794</v>
      </c>
      <c r="AG38" t="s">
        <v>8</v>
      </c>
      <c r="AH38" s="150">
        <f>SUM(AH31:AH37)</f>
        <v>8751409586.9939995</v>
      </c>
      <c r="AI38" s="139">
        <f>SUM(AI31:AI37)</f>
        <v>713467172.06391883</v>
      </c>
      <c r="AJ38" s="141">
        <f>SUM(AJ31:AJ37)</f>
        <v>1.0000000000000002</v>
      </c>
      <c r="AK38" s="118">
        <f t="shared" si="41"/>
        <v>8.152597189877224E-2</v>
      </c>
      <c r="AL38" s="118"/>
      <c r="AM38" t="s">
        <v>8</v>
      </c>
      <c r="AN38" s="150">
        <f>SUM(AN31:AN37)</f>
        <v>9721932513</v>
      </c>
      <c r="AO38" s="130">
        <f>SUM(AO31:AO37)</f>
        <v>798596157.22837794</v>
      </c>
      <c r="AP38" s="141">
        <f>SUM(AP31:AP37)</f>
        <v>1</v>
      </c>
      <c r="AQ38" s="149">
        <f t="shared" si="44"/>
        <v>8.2143766803617388E-2</v>
      </c>
    </row>
    <row r="39" spans="2:43" x14ac:dyDescent="0.2">
      <c r="B39" s="216" t="s">
        <v>47</v>
      </c>
      <c r="C39" s="2">
        <v>31834</v>
      </c>
      <c r="D39" s="2">
        <v>32112</v>
      </c>
      <c r="E39" s="3">
        <f t="shared" si="47"/>
        <v>278</v>
      </c>
      <c r="F39" s="105">
        <f t="shared" si="48"/>
        <v>8.7328014073003706E-3</v>
      </c>
      <c r="H39" s="126"/>
      <c r="I39" s="97"/>
      <c r="J39" s="147"/>
      <c r="K39" s="147"/>
      <c r="L39" s="147"/>
      <c r="M39" s="97"/>
      <c r="N39" s="187"/>
      <c r="O39" s="187"/>
      <c r="P39" s="147"/>
      <c r="Q39" s="147"/>
      <c r="T39" s="126"/>
      <c r="U39" s="2"/>
      <c r="V39" s="117"/>
      <c r="W39" s="117"/>
      <c r="X39" s="117"/>
      <c r="Y39" s="2">
        <v>0</v>
      </c>
      <c r="Z39" s="105"/>
      <c r="AA39" s="118"/>
      <c r="AB39" s="117"/>
      <c r="AC39" s="117"/>
      <c r="AN39" s="9" t="s">
        <v>8</v>
      </c>
    </row>
    <row r="40" spans="2:43" x14ac:dyDescent="0.2">
      <c r="B40" s="216" t="s">
        <v>30</v>
      </c>
      <c r="C40" s="2">
        <v>111589</v>
      </c>
      <c r="D40" s="2">
        <v>112582</v>
      </c>
      <c r="E40" s="3">
        <f t="shared" si="47"/>
        <v>993</v>
      </c>
      <c r="F40" s="105">
        <f t="shared" si="48"/>
        <v>8.8987265769923558E-3</v>
      </c>
      <c r="H40" s="158" t="s">
        <v>61</v>
      </c>
      <c r="I40" s="169">
        <v>0</v>
      </c>
      <c r="J40" s="159">
        <v>0</v>
      </c>
      <c r="K40" s="159">
        <f>I40*J40</f>
        <v>0</v>
      </c>
      <c r="L40" s="159">
        <v>0</v>
      </c>
      <c r="M40" s="169">
        <v>157852834.64500004</v>
      </c>
      <c r="N40" s="160">
        <v>8.4890765931098441E-2</v>
      </c>
      <c r="O40" s="159">
        <f>M40*N40</f>
        <v>13400248.037409086</v>
      </c>
      <c r="P40" s="159">
        <f>L40+O40</f>
        <v>13400248.037409086</v>
      </c>
      <c r="Q40" s="159">
        <v>312386.82659453579</v>
      </c>
      <c r="R40" s="170">
        <f>Q40+P40</f>
        <v>13712634.864003621</v>
      </c>
      <c r="S40" s="157"/>
      <c r="T40" s="158" t="s">
        <v>62</v>
      </c>
      <c r="U40" s="169">
        <v>0</v>
      </c>
      <c r="V40" s="159">
        <v>0</v>
      </c>
      <c r="W40" s="159">
        <f>U40*V40</f>
        <v>0</v>
      </c>
      <c r="X40" s="159">
        <v>0</v>
      </c>
      <c r="Y40" s="169">
        <v>180159075</v>
      </c>
      <c r="Z40" s="160">
        <v>8.4881301823945057E-2</v>
      </c>
      <c r="AA40" s="159">
        <f>Y40*Z40</f>
        <v>15292136.821397755</v>
      </c>
      <c r="AB40" s="159">
        <f>X40+AA40</f>
        <v>15292136.821397755</v>
      </c>
      <c r="AC40" s="159">
        <v>277290.97663730697</v>
      </c>
      <c r="AD40" s="170">
        <f>AC40+AB40</f>
        <v>15569427.798035063</v>
      </c>
      <c r="AG40" t="s">
        <v>63</v>
      </c>
      <c r="AH40" s="8">
        <f>AH9+AH18+AH27+AH38</f>
        <v>25210305372.221001</v>
      </c>
      <c r="AI40" s="139">
        <f>AI9+AI18+AI27+AI38</f>
        <v>2491305519.6866341</v>
      </c>
      <c r="AK40" s="118">
        <f>AI40/AH40</f>
        <v>9.8820917989822538E-2</v>
      </c>
      <c r="AL40" s="118"/>
      <c r="AM40" s="133" t="s">
        <v>64</v>
      </c>
      <c r="AN40" s="151">
        <f>AN9+AN18+AN27+AN38</f>
        <v>25641331994</v>
      </c>
      <c r="AO40" s="148">
        <f>AO9+AO18+AO27+AO38</f>
        <v>2674528124.0090828</v>
      </c>
      <c r="AP40" s="118"/>
      <c r="AQ40" s="149">
        <f t="shared" si="44"/>
        <v>0.10430535062043247</v>
      </c>
    </row>
    <row r="41" spans="2:43" x14ac:dyDescent="0.2">
      <c r="B41" s="216" t="s">
        <v>48</v>
      </c>
      <c r="C41" s="86">
        <v>47238</v>
      </c>
      <c r="D41" s="86">
        <v>49989</v>
      </c>
      <c r="E41" s="113">
        <f t="shared" si="47"/>
        <v>2751</v>
      </c>
      <c r="F41" s="217">
        <f t="shared" si="48"/>
        <v>5.8237012574622125E-2</v>
      </c>
      <c r="H41" s="126"/>
      <c r="I41" s="97"/>
      <c r="J41" s="147"/>
      <c r="K41" s="147"/>
      <c r="L41" s="147"/>
      <c r="M41" s="97"/>
      <c r="N41" s="187"/>
      <c r="O41" s="187"/>
      <c r="P41" s="147"/>
      <c r="Q41" s="147"/>
      <c r="T41" s="126"/>
      <c r="U41" s="2"/>
      <c r="V41" s="117"/>
      <c r="W41" s="117"/>
      <c r="X41" s="117"/>
      <c r="Y41" s="2"/>
      <c r="Z41" s="118"/>
      <c r="AA41" s="118"/>
      <c r="AB41" s="117"/>
      <c r="AC41" s="117"/>
      <c r="AH41" s="107" t="s">
        <v>8</v>
      </c>
      <c r="AI41" s="147" t="s">
        <v>8</v>
      </c>
    </row>
    <row r="42" spans="2:43" x14ac:dyDescent="0.2">
      <c r="C42" s="3">
        <f>SUM(C37:C41)</f>
        <v>10680272</v>
      </c>
      <c r="D42" s="3">
        <f>SUM(D37:D41)</f>
        <v>10959488</v>
      </c>
      <c r="E42" s="3">
        <f t="shared" si="47"/>
        <v>279216</v>
      </c>
      <c r="F42" s="105">
        <f t="shared" si="48"/>
        <v>2.6143154406554441E-2</v>
      </c>
      <c r="H42" s="126"/>
      <c r="I42" s="97"/>
      <c r="J42" s="147"/>
      <c r="K42" s="147"/>
      <c r="L42" s="147"/>
      <c r="M42" s="97"/>
      <c r="N42" s="187"/>
      <c r="O42" s="187"/>
      <c r="P42" s="147"/>
      <c r="Q42" s="147"/>
      <c r="T42" s="126"/>
      <c r="U42" s="2"/>
      <c r="V42" s="117"/>
      <c r="W42" s="117"/>
      <c r="X42" s="117"/>
      <c r="Y42" s="2"/>
      <c r="Z42" s="118"/>
      <c r="AA42" s="118"/>
      <c r="AB42" s="117"/>
      <c r="AC42" s="117"/>
    </row>
    <row r="43" spans="2:43" x14ac:dyDescent="0.2">
      <c r="G43" s="157" t="s">
        <v>65</v>
      </c>
      <c r="H43" s="158" t="s">
        <v>66</v>
      </c>
      <c r="I43" s="166">
        <v>0</v>
      </c>
      <c r="J43" s="196">
        <v>0</v>
      </c>
      <c r="K43" s="196">
        <v>0</v>
      </c>
      <c r="L43" s="196">
        <v>0</v>
      </c>
      <c r="M43" s="166">
        <v>4241033.46</v>
      </c>
      <c r="N43" s="160">
        <v>7.9595555564063378E-2</v>
      </c>
      <c r="O43" s="159">
        <f>M43*N43</f>
        <v>337567.41441448196</v>
      </c>
      <c r="P43" s="159">
        <f>L43+O43</f>
        <v>337567.41441448196</v>
      </c>
      <c r="Q43" s="159">
        <v>37948.416087504462</v>
      </c>
      <c r="R43" s="170">
        <f>Q43+P43</f>
        <v>375515.83050198643</v>
      </c>
      <c r="T43" s="158" t="s">
        <v>66</v>
      </c>
      <c r="U43" s="169">
        <v>0</v>
      </c>
      <c r="V43" s="159">
        <v>0</v>
      </c>
      <c r="W43" s="159">
        <v>0</v>
      </c>
      <c r="X43" s="159">
        <v>0</v>
      </c>
      <c r="Y43" s="197">
        <v>3950298</v>
      </c>
      <c r="Z43" s="160">
        <v>7.9595555564063392E-2</v>
      </c>
      <c r="AA43" s="159">
        <f>Y43*Z43</f>
        <v>314426.16395360848</v>
      </c>
      <c r="AB43" s="159">
        <f>X43+AA43</f>
        <v>314426.16395360848</v>
      </c>
      <c r="AC43" s="159">
        <v>33844.095463997648</v>
      </c>
      <c r="AD43" s="170">
        <f>AC43+AB43</f>
        <v>348270.25941760611</v>
      </c>
    </row>
    <row r="44" spans="2:43" x14ac:dyDescent="0.2">
      <c r="H44" s="126"/>
      <c r="I44" s="97"/>
      <c r="J44" s="147"/>
      <c r="K44" s="147"/>
      <c r="L44" s="147"/>
      <c r="M44" s="97"/>
      <c r="N44" s="187"/>
      <c r="O44" s="187"/>
      <c r="P44" s="147"/>
      <c r="Q44" s="147"/>
      <c r="T44" s="126"/>
      <c r="U44" s="2"/>
      <c r="V44" s="117"/>
      <c r="W44" s="117"/>
      <c r="X44" s="117"/>
      <c r="Y44" s="2"/>
      <c r="Z44" s="118"/>
      <c r="AA44" s="118"/>
      <c r="AB44" s="117"/>
      <c r="AC44" s="117"/>
    </row>
    <row r="45" spans="2:43" x14ac:dyDescent="0.2">
      <c r="H45" s="126"/>
      <c r="I45" s="97"/>
      <c r="J45" s="147"/>
      <c r="K45" s="147"/>
      <c r="L45" s="147"/>
      <c r="M45" s="97"/>
      <c r="N45" s="187"/>
      <c r="O45" s="187"/>
      <c r="P45" s="147"/>
      <c r="Q45" s="147"/>
      <c r="T45" s="126"/>
      <c r="U45" s="2"/>
      <c r="V45" s="117"/>
      <c r="W45" s="117"/>
      <c r="X45" s="117"/>
      <c r="Y45" s="2"/>
      <c r="Z45" s="118"/>
      <c r="AA45" s="118"/>
      <c r="AB45" s="117"/>
      <c r="AC45" s="117"/>
    </row>
    <row r="46" spans="2:43" x14ac:dyDescent="0.2">
      <c r="G46" s="157" t="s">
        <v>67</v>
      </c>
      <c r="H46" s="158" t="s">
        <v>68</v>
      </c>
      <c r="I46" s="166">
        <v>0</v>
      </c>
      <c r="J46" s="196">
        <v>0</v>
      </c>
      <c r="K46" s="196">
        <v>0</v>
      </c>
      <c r="L46" s="196">
        <v>0</v>
      </c>
      <c r="M46" s="166">
        <v>2945942</v>
      </c>
      <c r="N46" s="160">
        <v>5.923887562966796E-2</v>
      </c>
      <c r="O46" s="159">
        <f>M46*N46</f>
        <v>174514.29175021528</v>
      </c>
      <c r="P46" s="159">
        <f>L46+O46</f>
        <v>174514.29175021528</v>
      </c>
      <c r="Q46" s="159">
        <v>58800.747274745794</v>
      </c>
      <c r="R46" s="170">
        <f>Q46+P46</f>
        <v>233315.03902496106</v>
      </c>
      <c r="S46" s="157"/>
      <c r="T46" s="158" t="s">
        <v>68</v>
      </c>
      <c r="U46" s="166">
        <v>0</v>
      </c>
      <c r="V46" s="196">
        <v>0</v>
      </c>
      <c r="W46" s="196">
        <v>0</v>
      </c>
      <c r="X46" s="196">
        <v>0</v>
      </c>
      <c r="Y46" s="166">
        <v>3130048</v>
      </c>
      <c r="Z46" s="160">
        <v>5.9238875629667953E-2</v>
      </c>
      <c r="AA46" s="159">
        <f>Y46*Z46</f>
        <v>185420.52418689092</v>
      </c>
      <c r="AB46" s="159">
        <f>X46+AA46</f>
        <v>185420.52418689092</v>
      </c>
      <c r="AC46" s="159">
        <v>56242.113700773523</v>
      </c>
      <c r="AD46" s="170">
        <f>AC46+AB46</f>
        <v>241662.63788766443</v>
      </c>
    </row>
    <row r="47" spans="2:43" x14ac:dyDescent="0.2">
      <c r="H47" s="126" t="s">
        <v>8</v>
      </c>
      <c r="I47" s="97"/>
      <c r="J47" s="147"/>
      <c r="K47" s="147"/>
      <c r="L47" s="147"/>
      <c r="M47" s="97"/>
      <c r="N47" s="187"/>
      <c r="O47" s="187"/>
      <c r="P47" s="147"/>
      <c r="Q47" s="147"/>
      <c r="T47" s="126" t="s">
        <v>8</v>
      </c>
      <c r="U47" s="2"/>
      <c r="V47" s="117"/>
      <c r="W47" s="117"/>
      <c r="X47" s="117"/>
      <c r="Y47" s="2"/>
      <c r="Z47" s="118"/>
      <c r="AA47" s="118"/>
      <c r="AB47" s="117"/>
      <c r="AC47" s="117"/>
      <c r="AN47" s="3">
        <f>AN31-AH31</f>
        <v>210157651.64899993</v>
      </c>
    </row>
    <row r="48" spans="2:43" x14ac:dyDescent="0.2">
      <c r="G48" s="157" t="s">
        <v>69</v>
      </c>
      <c r="H48" s="158" t="s">
        <v>70</v>
      </c>
      <c r="I48" s="166">
        <v>0</v>
      </c>
      <c r="J48" s="196">
        <v>0</v>
      </c>
      <c r="K48" s="196">
        <v>0</v>
      </c>
      <c r="L48" s="196">
        <v>0</v>
      </c>
      <c r="M48" s="166">
        <v>2886823</v>
      </c>
      <c r="N48" s="160">
        <v>9.9165882799396268E-2</v>
      </c>
      <c r="O48" s="159">
        <f>M48*N48</f>
        <v>286274.35128060152</v>
      </c>
      <c r="P48" s="159">
        <f>L48+O48</f>
        <v>286274.35128060152</v>
      </c>
      <c r="Q48" s="159">
        <v>191186.34121123914</v>
      </c>
      <c r="R48" s="170">
        <f>Q48+P48</f>
        <v>477460.69249184069</v>
      </c>
      <c r="T48" s="158" t="s">
        <v>70</v>
      </c>
      <c r="U48" s="166">
        <v>0</v>
      </c>
      <c r="V48" s="196">
        <v>0</v>
      </c>
      <c r="W48" s="196">
        <v>0</v>
      </c>
      <c r="X48" s="196">
        <v>0</v>
      </c>
      <c r="Y48" s="166">
        <v>2697230</v>
      </c>
      <c r="Z48" s="165">
        <v>9.9165882799396282E-2</v>
      </c>
      <c r="AA48" s="159">
        <f>Y48*Z48</f>
        <v>267473.19406301563</v>
      </c>
      <c r="AB48" s="159">
        <f>X48+AA48</f>
        <v>267473.19406301563</v>
      </c>
      <c r="AC48" s="159">
        <v>169556.62909188302</v>
      </c>
      <c r="AD48" s="170">
        <f>AC48+AB48</f>
        <v>437029.82315489865</v>
      </c>
      <c r="AN48" s="67">
        <f>AN47/AH31</f>
        <v>0.17789190317204348</v>
      </c>
    </row>
    <row r="49" spans="4:31" x14ac:dyDescent="0.2">
      <c r="H49" s="126"/>
      <c r="I49" s="97"/>
      <c r="J49" s="147"/>
      <c r="K49" s="147"/>
      <c r="L49" s="147"/>
      <c r="M49" s="97"/>
      <c r="N49" s="187"/>
      <c r="O49" s="187"/>
      <c r="P49" s="147"/>
      <c r="Q49" s="147"/>
      <c r="T49" s="126"/>
      <c r="U49" s="2"/>
      <c r="V49" s="117"/>
      <c r="W49" s="117"/>
      <c r="X49" s="117"/>
      <c r="Y49" s="2"/>
      <c r="Z49" s="118"/>
      <c r="AA49" s="118"/>
      <c r="AB49" s="117"/>
      <c r="AC49" s="117"/>
    </row>
    <row r="50" spans="4:31" x14ac:dyDescent="0.2">
      <c r="G50" s="157" t="s">
        <v>71</v>
      </c>
      <c r="H50" s="158" t="s">
        <v>72</v>
      </c>
      <c r="I50" s="166">
        <v>0</v>
      </c>
      <c r="J50" s="196">
        <v>0</v>
      </c>
      <c r="K50" s="196">
        <v>0</v>
      </c>
      <c r="L50" s="196">
        <v>0</v>
      </c>
      <c r="M50" s="166">
        <v>3490943.733</v>
      </c>
      <c r="N50" s="165">
        <v>9.9163012656541344E-2</v>
      </c>
      <c r="O50" s="159">
        <f>M50*N50</f>
        <v>346172.49757875269</v>
      </c>
      <c r="P50" s="159">
        <f>L50+O50</f>
        <v>346172.49757875269</v>
      </c>
      <c r="Q50" s="159">
        <v>0</v>
      </c>
      <c r="R50" s="170">
        <f>Q50+P50</f>
        <v>346172.49757875269</v>
      </c>
      <c r="S50" s="157"/>
      <c r="T50" s="158" t="s">
        <v>72</v>
      </c>
      <c r="U50" s="166">
        <v>0</v>
      </c>
      <c r="V50" s="196">
        <v>0</v>
      </c>
      <c r="W50" s="196">
        <v>0</v>
      </c>
      <c r="X50" s="196">
        <v>0</v>
      </c>
      <c r="Y50" s="166">
        <v>3266928</v>
      </c>
      <c r="Z50" s="165">
        <v>9.9163012656541358E-2</v>
      </c>
      <c r="AA50" s="159">
        <f>Y50*Z50</f>
        <v>323958.42261200934</v>
      </c>
      <c r="AB50" s="159">
        <f>X50+AA50</f>
        <v>323958.42261200934</v>
      </c>
      <c r="AC50" s="159">
        <v>0</v>
      </c>
      <c r="AD50" s="170">
        <f>AC50+AB50</f>
        <v>323958.42261200934</v>
      </c>
    </row>
    <row r="51" spans="4:31" x14ac:dyDescent="0.2">
      <c r="H51" s="126"/>
      <c r="I51" s="97"/>
      <c r="J51" s="147"/>
      <c r="K51" s="147"/>
      <c r="L51" s="147"/>
      <c r="M51" s="97"/>
      <c r="N51" s="187"/>
      <c r="O51" s="187"/>
      <c r="P51" s="147"/>
      <c r="Q51" s="147"/>
      <c r="T51" s="126"/>
      <c r="U51" s="2"/>
      <c r="V51" s="117"/>
      <c r="W51" s="117"/>
      <c r="X51" s="117"/>
      <c r="Y51" s="2"/>
      <c r="Z51" s="118"/>
      <c r="AA51" s="118"/>
      <c r="AB51" s="117"/>
      <c r="AC51" s="117"/>
    </row>
    <row r="52" spans="4:31" x14ac:dyDescent="0.2">
      <c r="G52" s="157" t="s">
        <v>73</v>
      </c>
      <c r="H52" s="158" t="s">
        <v>74</v>
      </c>
      <c r="I52" s="166">
        <v>0</v>
      </c>
      <c r="J52" s="196">
        <v>0</v>
      </c>
      <c r="K52" s="196">
        <v>0</v>
      </c>
      <c r="L52" s="196">
        <v>0</v>
      </c>
      <c r="M52" s="166">
        <v>299794.66699999996</v>
      </c>
      <c r="N52" s="165">
        <v>9.9164515519459678E-2</v>
      </c>
      <c r="O52" s="159">
        <f>M52*N52</f>
        <v>29728.992908372744</v>
      </c>
      <c r="P52" s="159">
        <f>L52+O52</f>
        <v>29728.992908372744</v>
      </c>
      <c r="Q52" s="198">
        <v>0</v>
      </c>
      <c r="R52" s="170">
        <f>Q52+P52</f>
        <v>29728.992908372744</v>
      </c>
      <c r="S52" s="157"/>
      <c r="T52" s="158" t="s">
        <v>74</v>
      </c>
      <c r="U52" s="166">
        <v>0</v>
      </c>
      <c r="V52" s="196">
        <v>0</v>
      </c>
      <c r="W52" s="196">
        <v>0</v>
      </c>
      <c r="X52" s="196">
        <v>0</v>
      </c>
      <c r="Y52" s="166">
        <v>280660</v>
      </c>
      <c r="Z52" s="165">
        <v>9.9164515519459678E-2</v>
      </c>
      <c r="AA52" s="159">
        <f>Y52*Z52</f>
        <v>27831.512925691553</v>
      </c>
      <c r="AB52" s="159">
        <f>X52+AA52</f>
        <v>27831.512925691553</v>
      </c>
      <c r="AC52" s="198">
        <v>0</v>
      </c>
      <c r="AD52" s="170">
        <f>AC52+AB52</f>
        <v>27831.512925691553</v>
      </c>
    </row>
    <row r="53" spans="4:31" x14ac:dyDescent="0.2">
      <c r="H53" s="126"/>
      <c r="I53" s="97"/>
      <c r="J53" s="147"/>
      <c r="K53" s="147"/>
      <c r="L53" s="147"/>
      <c r="M53" s="97"/>
      <c r="N53" s="187"/>
      <c r="O53" s="187"/>
      <c r="P53" s="147"/>
      <c r="Q53" s="147"/>
      <c r="T53" s="126"/>
      <c r="U53" s="2"/>
      <c r="V53" s="117"/>
      <c r="W53" s="117"/>
      <c r="X53" s="117"/>
      <c r="Y53" s="2"/>
      <c r="Z53" s="118"/>
      <c r="AA53" s="118"/>
      <c r="AB53" s="117"/>
      <c r="AC53" s="117"/>
    </row>
    <row r="54" spans="4:31" x14ac:dyDescent="0.2">
      <c r="G54" s="157" t="s">
        <v>75</v>
      </c>
      <c r="H54" s="158" t="s">
        <v>76</v>
      </c>
      <c r="I54" s="166">
        <v>0</v>
      </c>
      <c r="J54" s="196">
        <v>0</v>
      </c>
      <c r="K54" s="196">
        <v>0</v>
      </c>
      <c r="L54" s="196">
        <v>0</v>
      </c>
      <c r="M54" s="166">
        <v>34439322.265000001</v>
      </c>
      <c r="N54" s="165">
        <v>7.3733704024672955E-2</v>
      </c>
      <c r="O54" s="159">
        <f>M54*N54</f>
        <v>2539338.7946978393</v>
      </c>
      <c r="P54" s="159">
        <f>L54+O54</f>
        <v>2539338.7946978393</v>
      </c>
      <c r="Q54" s="198">
        <v>0</v>
      </c>
      <c r="R54" s="170">
        <f>Q54+P54</f>
        <v>2539338.7946978393</v>
      </c>
      <c r="T54" s="158" t="s">
        <v>76</v>
      </c>
      <c r="U54" s="166">
        <v>0</v>
      </c>
      <c r="V54" s="196">
        <v>0</v>
      </c>
      <c r="W54" s="196">
        <v>0</v>
      </c>
      <c r="X54" s="196">
        <v>0</v>
      </c>
      <c r="Y54" s="166" t="s">
        <v>77</v>
      </c>
      <c r="Z54" s="165">
        <v>2456811.7370591597</v>
      </c>
      <c r="AA54" s="159" t="e">
        <f>Y54*Z54</f>
        <v>#VALUE!</v>
      </c>
      <c r="AB54" s="159" t="e">
        <f>X54+AA54</f>
        <v>#VALUE!</v>
      </c>
      <c r="AC54" s="198">
        <v>0</v>
      </c>
      <c r="AD54" s="170" t="e">
        <f>AC54+AB54</f>
        <v>#VALUE!</v>
      </c>
    </row>
    <row r="55" spans="4:31" x14ac:dyDescent="0.2">
      <c r="H55" s="126"/>
      <c r="I55" s="97"/>
      <c r="J55" s="147"/>
      <c r="K55" s="147"/>
      <c r="L55" s="147"/>
      <c r="M55" s="97"/>
      <c r="N55" s="187"/>
      <c r="O55" s="187"/>
      <c r="P55" s="147"/>
      <c r="Q55" s="147"/>
      <c r="T55" s="126"/>
      <c r="U55" s="2"/>
      <c r="V55" s="117"/>
      <c r="W55" s="117"/>
      <c r="X55" s="117"/>
      <c r="Y55" s="2"/>
      <c r="Z55" s="118"/>
      <c r="AA55" s="118"/>
      <c r="AB55" s="117"/>
      <c r="AC55" s="117"/>
    </row>
    <row r="56" spans="4:31" x14ac:dyDescent="0.2">
      <c r="G56" s="157" t="s">
        <v>78</v>
      </c>
      <c r="H56" s="158" t="s">
        <v>79</v>
      </c>
      <c r="I56" s="166">
        <v>0</v>
      </c>
      <c r="J56" s="196">
        <v>0</v>
      </c>
      <c r="K56" s="196">
        <v>0</v>
      </c>
      <c r="L56" s="196">
        <v>0</v>
      </c>
      <c r="M56" s="166">
        <v>3860773.5549999988</v>
      </c>
      <c r="N56" s="165">
        <v>7.331630437983723E-2</v>
      </c>
      <c r="O56" s="159">
        <f>M56*N56</f>
        <v>283057.64910000615</v>
      </c>
      <c r="P56" s="159">
        <f>L56+O56</f>
        <v>283057.64910000615</v>
      </c>
      <c r="Q56" s="198">
        <v>0</v>
      </c>
      <c r="R56" s="170">
        <f>Q56+P56</f>
        <v>283057.64910000615</v>
      </c>
      <c r="T56" s="158" t="s">
        <v>79</v>
      </c>
      <c r="U56" s="166">
        <v>0</v>
      </c>
      <c r="V56" s="196">
        <v>0</v>
      </c>
      <c r="W56" s="196">
        <v>0</v>
      </c>
      <c r="X56" s="196">
        <v>0</v>
      </c>
      <c r="Y56" s="166">
        <v>3874063</v>
      </c>
      <c r="Z56" s="165">
        <v>7.331630437983723E-2</v>
      </c>
      <c r="AA56" s="159">
        <f>Y56*Z56</f>
        <v>284031.98209466535</v>
      </c>
      <c r="AB56" s="159">
        <f>X56+AA56</f>
        <v>284031.98209466535</v>
      </c>
      <c r="AC56" s="198">
        <v>0</v>
      </c>
      <c r="AD56" s="170">
        <f>AC56+AB56</f>
        <v>284031.98209466535</v>
      </c>
    </row>
    <row r="57" spans="4:31" x14ac:dyDescent="0.2">
      <c r="H57" s="126"/>
      <c r="I57" s="97"/>
      <c r="J57" s="147"/>
      <c r="K57" s="147"/>
      <c r="L57" s="147"/>
      <c r="M57" s="97"/>
      <c r="N57" s="187"/>
      <c r="O57" s="187"/>
      <c r="P57" s="147"/>
      <c r="Q57" s="147"/>
      <c r="T57" s="126"/>
      <c r="U57" s="2"/>
      <c r="V57" s="117"/>
      <c r="W57" s="117"/>
      <c r="X57" s="117"/>
      <c r="Y57" s="2"/>
      <c r="Z57" s="118"/>
      <c r="AA57" s="118"/>
      <c r="AB57" s="117"/>
      <c r="AC57" s="117"/>
    </row>
    <row r="58" spans="4:31" s="200" customFormat="1" ht="63.75" x14ac:dyDescent="0.2">
      <c r="D58" s="199" t="s">
        <v>8</v>
      </c>
      <c r="G58" s="201" t="s">
        <v>80</v>
      </c>
      <c r="H58" s="208" t="s">
        <v>81</v>
      </c>
      <c r="I58" s="202">
        <v>0</v>
      </c>
      <c r="J58" s="203">
        <v>0</v>
      </c>
      <c r="K58" s="203">
        <v>0</v>
      </c>
      <c r="L58" s="203">
        <v>0</v>
      </c>
      <c r="M58" s="202">
        <v>87467984.737000003</v>
      </c>
      <c r="N58" s="204">
        <v>7.3298000000007274E-2</v>
      </c>
      <c r="O58" s="205">
        <f>M58*N58</f>
        <v>6411228.3452532627</v>
      </c>
      <c r="P58" s="205">
        <f>L58+O58</f>
        <v>6411228.3452532627</v>
      </c>
      <c r="Q58" s="206">
        <v>0</v>
      </c>
      <c r="R58" s="207">
        <f>Q58+P58</f>
        <v>6411228.3452532627</v>
      </c>
      <c r="T58" s="201" t="s">
        <v>79</v>
      </c>
      <c r="U58" s="202">
        <v>0</v>
      </c>
      <c r="V58" s="203">
        <v>0</v>
      </c>
      <c r="W58" s="203">
        <v>0</v>
      </c>
      <c r="X58" s="203">
        <v>0</v>
      </c>
      <c r="Y58" s="202" t="s">
        <v>82</v>
      </c>
      <c r="Z58" s="204">
        <v>6283384.8515526243</v>
      </c>
      <c r="AA58" s="205" t="e">
        <f>Y58*Z58</f>
        <v>#VALUE!</v>
      </c>
      <c r="AB58" s="205" t="e">
        <f>X58+AA58</f>
        <v>#VALUE!</v>
      </c>
      <c r="AC58" s="206">
        <v>0</v>
      </c>
      <c r="AD58" s="207" t="e">
        <f>AC58+AB58</f>
        <v>#VALUE!</v>
      </c>
    </row>
    <row r="59" spans="4:31" x14ac:dyDescent="0.2">
      <c r="H59" s="126"/>
      <c r="I59" s="97"/>
      <c r="J59" s="147"/>
      <c r="K59" s="147"/>
      <c r="L59" s="147"/>
      <c r="M59" s="97"/>
      <c r="N59" s="187"/>
      <c r="O59" s="187"/>
      <c r="P59" s="147"/>
      <c r="Q59" s="147"/>
      <c r="T59" s="126"/>
      <c r="U59" s="2"/>
      <c r="V59" s="117"/>
      <c r="W59" s="117"/>
      <c r="X59" s="117"/>
      <c r="Y59" s="2"/>
      <c r="Z59" s="118"/>
      <c r="AA59" s="118"/>
      <c r="AB59" s="117"/>
      <c r="AC59" s="117"/>
    </row>
    <row r="60" spans="4:31" x14ac:dyDescent="0.2">
      <c r="G60" s="157" t="s">
        <v>83</v>
      </c>
      <c r="H60" s="158" t="s">
        <v>83</v>
      </c>
      <c r="I60" s="202">
        <v>0</v>
      </c>
      <c r="J60" s="203">
        <v>0</v>
      </c>
      <c r="K60" s="203">
        <v>0</v>
      </c>
      <c r="L60" s="203">
        <v>0</v>
      </c>
      <c r="M60" s="202">
        <v>17764</v>
      </c>
      <c r="N60" s="204">
        <v>9.9163000000000001E-2</v>
      </c>
      <c r="O60" s="205">
        <f>M60*N60</f>
        <v>1761.531532</v>
      </c>
      <c r="P60" s="205">
        <f>L60+O60</f>
        <v>1761.531532</v>
      </c>
      <c r="Q60" s="206">
        <v>0</v>
      </c>
      <c r="R60" s="207">
        <f>Q60+P60</f>
        <v>1761.531532</v>
      </c>
      <c r="S60" s="200"/>
      <c r="T60" s="201" t="s">
        <v>79</v>
      </c>
      <c r="U60" s="202">
        <v>0</v>
      </c>
      <c r="V60" s="203">
        <v>0</v>
      </c>
      <c r="W60" s="203">
        <v>0</v>
      </c>
      <c r="X60" s="203">
        <v>0</v>
      </c>
      <c r="Y60" s="202">
        <v>16608</v>
      </c>
      <c r="Z60" s="204">
        <v>9.9163000000000001E-2</v>
      </c>
      <c r="AA60" s="205">
        <f>Y60*Z60</f>
        <v>1646.8991040000001</v>
      </c>
      <c r="AB60" s="205">
        <f>X60+AA60</f>
        <v>1646.8991040000001</v>
      </c>
      <c r="AC60" s="206">
        <v>0</v>
      </c>
      <c r="AD60" s="207">
        <f>AC60+AB60</f>
        <v>1646.8991040000001</v>
      </c>
    </row>
    <row r="61" spans="4:31" x14ac:dyDescent="0.2">
      <c r="H61" s="126"/>
      <c r="I61" s="97"/>
      <c r="J61" s="147"/>
      <c r="K61" s="147"/>
      <c r="L61" s="147"/>
      <c r="M61" s="97"/>
      <c r="N61" s="187"/>
      <c r="O61" s="187"/>
      <c r="P61" s="147"/>
      <c r="Q61" s="147"/>
      <c r="T61" s="126"/>
      <c r="U61" s="2"/>
      <c r="V61" s="117"/>
      <c r="W61" s="117"/>
      <c r="X61" s="117"/>
      <c r="Y61" s="2"/>
      <c r="Z61" s="118"/>
      <c r="AA61" s="118"/>
      <c r="AB61" s="117"/>
      <c r="AC61" s="117"/>
    </row>
    <row r="62" spans="4:31" x14ac:dyDescent="0.2">
      <c r="H62" s="158" t="s">
        <v>63</v>
      </c>
      <c r="I62" s="166">
        <f>I60+I58+I56+I54+I52+I50+I48+I46+I43+I40+I37+I36+I35+I34+I33+I32+I31+I26+I25+I24+I23+I22+I21+I17+I16+I15+I14+I13+I8+I7</f>
        <v>19683752.338723607</v>
      </c>
      <c r="J62" s="196">
        <f>J60+J58+J56+J54+J52+J50+J48+J46+J43+J40+J37+J36+J35+J34+J33+J32+J31+J26+J25+J24+J23+J22+J21+J17+J16+J15+J14+J13+J8+J7</f>
        <v>118.38000000000001</v>
      </c>
      <c r="K62" s="196">
        <f t="shared" ref="K62:R62" si="49">K60+K58+K56+K54+K52+K50+K48+K46+K43+K40+K37+K36+K35+K34+K33+K32+K31+K26+K25+K24+K23+K22+K21+K17+K16+K15+K14+K13+K8+K7</f>
        <v>311960392.85421997</v>
      </c>
      <c r="L62" s="196">
        <f t="shared" si="49"/>
        <v>311769633.24050158</v>
      </c>
      <c r="M62" s="214">
        <f t="shared" si="49"/>
        <v>25507808588.283001</v>
      </c>
      <c r="N62" s="165">
        <f>L62/M62</f>
        <v>1.2222517358222329E-2</v>
      </c>
      <c r="O62" s="196">
        <f t="shared" si="49"/>
        <v>2080543421.7004471</v>
      </c>
      <c r="P62" s="196">
        <f t="shared" si="49"/>
        <v>2392313054.940949</v>
      </c>
      <c r="Q62" s="196">
        <f t="shared" si="49"/>
        <v>122257297.21277793</v>
      </c>
      <c r="R62" s="210">
        <f t="shared" si="49"/>
        <v>2515715733.9237266</v>
      </c>
      <c r="S62" s="212">
        <f>R62/M62</f>
        <v>9.862531801651199E-2</v>
      </c>
      <c r="T62" s="158" t="s">
        <v>63</v>
      </c>
      <c r="U62" s="166">
        <f>U60+U58+U56+U54+U52+U50+U48+U46+U43+U40+U37+U36+U35+U34+U33+U32+U31+U26+U25+U24+U23+U22+U21+U17+U16+U15+U14+U13+U8+U7</f>
        <v>22391478.414989077</v>
      </c>
      <c r="V62" s="196">
        <f>V60+V58+V56+V54+V52+V50+V48+V46+V43+V40+V37+V36+V35+V34+V33+V32+V31+V26+V25+V24+V23+V22+V21+V17+V16+V15+V14+V13+V8+V7</f>
        <v>118.38000000000001</v>
      </c>
      <c r="W62" s="196">
        <f t="shared" ref="W62:AD62" si="50">W60+W58+W56+W54+W52+W50+W48+W46+W43+W40+W37+W36+W35+W34+W33+W32+W31+W26+W25+W24+W23+W22+W21+W17+W16+W15+W14+W13+W8+W7</f>
        <v>354326920.31227338</v>
      </c>
      <c r="X62" s="196">
        <f t="shared" si="50"/>
        <v>354025950.64074636</v>
      </c>
      <c r="Y62" s="214" t="e">
        <f t="shared" si="50"/>
        <v>#VALUE!</v>
      </c>
      <c r="Z62" s="165" t="e">
        <f>X62/Y62</f>
        <v>#VALUE!</v>
      </c>
      <c r="AA62" s="196" t="e">
        <f t="shared" si="50"/>
        <v>#VALUE!</v>
      </c>
      <c r="AB62" s="196" t="e">
        <f t="shared" si="50"/>
        <v>#VALUE!</v>
      </c>
      <c r="AC62" s="196">
        <f t="shared" si="50"/>
        <v>118525802.03781895</v>
      </c>
      <c r="AD62" s="210" t="e">
        <f t="shared" si="50"/>
        <v>#VALUE!</v>
      </c>
      <c r="AE62" s="211" t="e">
        <f>AD62/Y62</f>
        <v>#VALUE!</v>
      </c>
    </row>
    <row r="63" spans="4:31" x14ac:dyDescent="0.2">
      <c r="H63" s="126"/>
      <c r="I63" s="2"/>
      <c r="J63" s="117"/>
      <c r="K63" s="117"/>
      <c r="L63" s="117"/>
      <c r="M63" s="2"/>
      <c r="N63" s="118"/>
      <c r="O63" s="118"/>
      <c r="P63" s="117"/>
      <c r="Q63" s="117"/>
      <c r="T63" s="126"/>
      <c r="U63" s="2"/>
      <c r="V63" s="117"/>
      <c r="W63" s="117"/>
      <c r="X63" s="117"/>
      <c r="Y63" s="2"/>
      <c r="Z63" s="118"/>
      <c r="AA63" s="118"/>
      <c r="AB63" s="117"/>
      <c r="AC63" s="117"/>
    </row>
    <row r="64" spans="4:31" x14ac:dyDescent="0.2">
      <c r="H64" s="158" t="s">
        <v>84</v>
      </c>
      <c r="I64" s="2"/>
      <c r="J64" s="117"/>
      <c r="K64" s="117"/>
      <c r="L64" s="117"/>
      <c r="M64" s="2"/>
      <c r="N64" s="118"/>
      <c r="O64" s="118"/>
      <c r="P64" s="117"/>
      <c r="Q64" s="117"/>
      <c r="R64" s="210">
        <v>69414000</v>
      </c>
      <c r="T64" s="126" t="s">
        <v>84</v>
      </c>
      <c r="U64" s="2"/>
      <c r="V64" s="117"/>
      <c r="W64" s="117"/>
      <c r="X64" s="117"/>
      <c r="Y64" s="2"/>
      <c r="Z64" s="118"/>
      <c r="AA64" s="118"/>
      <c r="AB64" s="117"/>
      <c r="AC64" s="117"/>
      <c r="AD64" s="210">
        <v>69414000</v>
      </c>
    </row>
    <row r="65" spans="8:30" x14ac:dyDescent="0.2">
      <c r="H65" s="158" t="s">
        <v>85</v>
      </c>
      <c r="I65" s="2"/>
      <c r="J65" s="117"/>
      <c r="K65" s="117"/>
      <c r="L65" s="117"/>
      <c r="M65" s="2"/>
      <c r="N65" s="118"/>
      <c r="O65" s="118"/>
      <c r="P65" s="117"/>
      <c r="Q65" s="117"/>
      <c r="R65" s="210">
        <v>9967000</v>
      </c>
      <c r="T65" s="126" t="s">
        <v>85</v>
      </c>
      <c r="U65" s="2"/>
      <c r="V65" s="117"/>
      <c r="W65" s="117"/>
      <c r="X65" s="117"/>
      <c r="Y65" s="2"/>
      <c r="Z65" s="118"/>
      <c r="AA65" s="118"/>
      <c r="AB65" s="117"/>
      <c r="AC65" s="117"/>
      <c r="AD65" s="210">
        <v>9967000</v>
      </c>
    </row>
    <row r="66" spans="8:30" ht="15" x14ac:dyDescent="0.35">
      <c r="H66" s="158" t="s">
        <v>86</v>
      </c>
      <c r="I66" s="126"/>
      <c r="J66" s="125"/>
      <c r="K66" s="125"/>
      <c r="L66" s="125"/>
      <c r="M66" s="2"/>
      <c r="N66" s="118"/>
      <c r="O66" s="118"/>
      <c r="Q66" s="117"/>
      <c r="R66" s="311">
        <v>9632000</v>
      </c>
      <c r="T66" s="126" t="s">
        <v>86</v>
      </c>
      <c r="U66" s="126"/>
      <c r="V66" s="125"/>
      <c r="W66" s="125"/>
      <c r="X66" s="125"/>
      <c r="Y66" s="2"/>
      <c r="Z66" s="118"/>
      <c r="AA66" s="118"/>
      <c r="AC66" s="117"/>
      <c r="AD66" s="311">
        <v>9632000</v>
      </c>
    </row>
    <row r="67" spans="8:30" x14ac:dyDescent="0.2">
      <c r="M67" s="2"/>
      <c r="R67" s="170">
        <f>SUM(R64:R66)</f>
        <v>89013000</v>
      </c>
      <c r="Y67" s="2"/>
      <c r="AD67" s="170">
        <f>SUM(AD64:AD66)</f>
        <v>89013000</v>
      </c>
    </row>
    <row r="68" spans="8:30" x14ac:dyDescent="0.2">
      <c r="M68" s="2"/>
      <c r="R68" s="67"/>
      <c r="Y68" s="2"/>
      <c r="AD68" s="67"/>
    </row>
    <row r="69" spans="8:30" x14ac:dyDescent="0.2">
      <c r="R69" s="170">
        <f>R62+R67</f>
        <v>2604728733.9237266</v>
      </c>
      <c r="AD69" s="170" t="e">
        <f>AD62+AD67</f>
        <v>#VALUE!</v>
      </c>
    </row>
  </sheetData>
  <mergeCells count="2">
    <mergeCell ref="C3:F3"/>
    <mergeCell ref="AU2:AX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03"/>
  <sheetViews>
    <sheetView topLeftCell="B36" workbookViewId="0">
      <selection activeCell="D69" sqref="D69"/>
    </sheetView>
  </sheetViews>
  <sheetFormatPr defaultColWidth="8.85546875" defaultRowHeight="12.75" x14ac:dyDescent="0.2"/>
  <cols>
    <col min="1" max="1" width="17.140625" style="126" bestFit="1" customWidth="1"/>
    <col min="2" max="2" width="17.140625" style="126" customWidth="1"/>
    <col min="3" max="3" width="19.7109375" style="126" customWidth="1"/>
    <col min="4" max="4" width="26.28515625" style="126" customWidth="1"/>
    <col min="5" max="5" width="7.140625" customWidth="1"/>
    <col min="6" max="6" width="18.7109375" customWidth="1"/>
    <col min="7" max="7" width="19" hidden="1" customWidth="1"/>
    <col min="8" max="8" width="27.85546875" hidden="1" customWidth="1"/>
    <col min="9" max="9" width="6.5703125" customWidth="1"/>
    <col min="10" max="10" width="44.42578125" customWidth="1"/>
    <col min="11" max="11" width="27.5703125" hidden="1" customWidth="1"/>
    <col min="12" max="12" width="25.7109375" hidden="1" customWidth="1"/>
    <col min="13" max="13" width="27.85546875" hidden="1" customWidth="1"/>
    <col min="14" max="14" width="6.5703125" customWidth="1"/>
    <col min="15" max="15" width="20.5703125" hidden="1" customWidth="1"/>
    <col min="16" max="16" width="20.7109375" hidden="1" customWidth="1"/>
    <col min="17" max="18" width="17.5703125" hidden="1" customWidth="1"/>
    <col min="19" max="19" width="6.7109375" hidden="1" customWidth="1"/>
    <col min="20" max="20" width="16.85546875" hidden="1" customWidth="1"/>
    <col min="21" max="21" width="16.28515625" hidden="1" customWidth="1"/>
    <col min="22" max="22" width="20.85546875" customWidth="1"/>
    <col min="23" max="23" width="9.85546875" customWidth="1"/>
    <col min="24" max="24" width="20.85546875" hidden="1" customWidth="1"/>
    <col min="25" max="25" width="19.5703125" hidden="1" customWidth="1"/>
    <col min="26" max="26" width="21.28515625" hidden="1" customWidth="1"/>
    <col min="27" max="27" width="19.7109375" hidden="1" customWidth="1"/>
    <col min="28" max="28" width="0" hidden="1" customWidth="1"/>
    <col min="29" max="29" width="16.5703125" hidden="1" customWidth="1"/>
    <col min="30" max="30" width="17.7109375" bestFit="1" customWidth="1"/>
    <col min="31" max="31" width="15.140625" bestFit="1" customWidth="1"/>
    <col min="32" max="32" width="14.7109375" customWidth="1"/>
    <col min="33" max="33" width="15.140625" bestFit="1" customWidth="1"/>
  </cols>
  <sheetData>
    <row r="1" spans="1:33" s="224" customFormat="1" ht="26.25" x14ac:dyDescent="0.4">
      <c r="A1" s="219"/>
      <c r="B1" s="219"/>
      <c r="C1" s="219"/>
      <c r="D1" s="220" t="s">
        <v>87</v>
      </c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2"/>
      <c r="P1" s="222"/>
      <c r="Q1" s="222"/>
      <c r="R1" s="222"/>
      <c r="S1" s="222"/>
      <c r="T1" s="222"/>
      <c r="U1" s="222"/>
      <c r="V1" s="223"/>
      <c r="W1" s="223"/>
      <c r="X1" s="223"/>
    </row>
    <row r="2" spans="1:33" s="224" customFormat="1" ht="10.5" customHeight="1" x14ac:dyDescent="0.25">
      <c r="A2" s="219"/>
      <c r="B2" s="219"/>
      <c r="C2" s="219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2"/>
      <c r="P2" s="222"/>
      <c r="Q2" s="222"/>
      <c r="R2" s="222"/>
      <c r="S2" s="222"/>
      <c r="T2" s="222"/>
      <c r="U2" s="222"/>
      <c r="V2" s="223"/>
      <c r="W2" s="223"/>
      <c r="X2" s="223"/>
    </row>
    <row r="3" spans="1:33" s="230" customFormat="1" ht="20.25" x14ac:dyDescent="0.3">
      <c r="A3" s="226"/>
      <c r="B3" s="226"/>
      <c r="C3" s="226"/>
      <c r="D3" s="227" t="s">
        <v>88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  <c r="P3" s="228"/>
      <c r="Q3" s="228"/>
      <c r="R3" s="228"/>
      <c r="S3" s="228"/>
      <c r="T3" s="228"/>
      <c r="U3" s="228"/>
      <c r="V3" s="229"/>
      <c r="W3" s="229"/>
      <c r="X3" s="229"/>
    </row>
    <row r="4" spans="1:33" s="230" customFormat="1" ht="20.25" x14ac:dyDescent="0.3">
      <c r="A4" s="226"/>
      <c r="B4" s="226"/>
      <c r="C4" s="226"/>
      <c r="D4" s="227" t="s">
        <v>89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  <c r="P4" s="228"/>
      <c r="Q4" s="228"/>
      <c r="R4" s="228"/>
      <c r="S4" s="228"/>
      <c r="T4" s="228"/>
      <c r="U4" s="228"/>
      <c r="V4" s="229"/>
      <c r="W4" s="229"/>
      <c r="X4" s="229"/>
    </row>
    <row r="5" spans="1:33" s="230" customFormat="1" ht="20.25" x14ac:dyDescent="0.3">
      <c r="A5" s="226"/>
      <c r="B5" s="226"/>
      <c r="C5" s="226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8"/>
      <c r="P5" s="228"/>
      <c r="Q5" s="228"/>
      <c r="R5" s="228"/>
      <c r="S5" s="228"/>
      <c r="T5" s="228"/>
      <c r="U5" s="228"/>
      <c r="V5" s="229"/>
      <c r="W5" s="229"/>
      <c r="X5" s="229"/>
    </row>
    <row r="6" spans="1:33" s="230" customFormat="1" ht="20.25" x14ac:dyDescent="0.3">
      <c r="A6" s="226"/>
      <c r="B6" s="226"/>
      <c r="C6" s="226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228"/>
      <c r="Q6" s="228"/>
      <c r="R6" s="228"/>
      <c r="S6" s="228"/>
      <c r="T6" s="228"/>
      <c r="U6" s="228"/>
      <c r="V6" s="229"/>
      <c r="W6" s="229"/>
      <c r="X6" s="229"/>
    </row>
    <row r="7" spans="1:33" s="224" customFormat="1" ht="20.25" x14ac:dyDescent="0.3">
      <c r="A7" s="231"/>
      <c r="B7" s="231"/>
      <c r="C7" s="231"/>
      <c r="D7" s="326" t="s">
        <v>8</v>
      </c>
      <c r="E7" s="232" t="s">
        <v>8</v>
      </c>
      <c r="F7" s="233" t="s">
        <v>8</v>
      </c>
      <c r="G7" s="232" t="s">
        <v>8</v>
      </c>
      <c r="H7" s="232"/>
      <c r="I7" s="234"/>
      <c r="J7" s="336" t="s">
        <v>90</v>
      </c>
      <c r="K7" s="336"/>
      <c r="L7" s="336"/>
      <c r="M7" s="336"/>
      <c r="N7" s="232"/>
      <c r="O7" s="222"/>
      <c r="P7" s="222"/>
      <c r="Q7" s="222"/>
      <c r="R7" s="222"/>
      <c r="S7" s="222"/>
      <c r="T7" s="222"/>
      <c r="U7" s="222"/>
      <c r="V7" s="223"/>
      <c r="W7" s="223"/>
      <c r="X7" s="223"/>
      <c r="AD7" s="230"/>
    </row>
    <row r="8" spans="1:33" s="224" customFormat="1" ht="20.25" x14ac:dyDescent="0.3">
      <c r="A8" s="231"/>
      <c r="B8" s="231"/>
      <c r="C8" s="231"/>
      <c r="D8" s="327" t="s">
        <v>8</v>
      </c>
      <c r="E8" s="327"/>
      <c r="F8" s="327"/>
      <c r="G8" s="327"/>
      <c r="H8" s="327"/>
      <c r="I8" s="327"/>
      <c r="J8" s="337" t="s">
        <v>91</v>
      </c>
      <c r="K8" s="337"/>
      <c r="L8" s="337"/>
      <c r="M8" s="337"/>
      <c r="N8" s="327"/>
      <c r="O8" s="327" t="s">
        <v>8</v>
      </c>
      <c r="P8" s="327"/>
      <c r="Q8" s="327"/>
      <c r="R8" s="327"/>
      <c r="S8" s="327"/>
      <c r="T8" s="327"/>
      <c r="U8" s="235"/>
      <c r="V8" s="235"/>
      <c r="W8" s="235"/>
      <c r="X8" s="235"/>
      <c r="AD8" s="230"/>
    </row>
    <row r="9" spans="1:33" s="224" customFormat="1" ht="15.75" x14ac:dyDescent="0.25">
      <c r="A9" s="231"/>
      <c r="B9" s="231"/>
      <c r="C9" s="231"/>
      <c r="D9" s="236" t="s">
        <v>92</v>
      </c>
      <c r="E9" s="236"/>
      <c r="F9" s="236" t="s">
        <v>93</v>
      </c>
      <c r="G9" s="236" t="s">
        <v>93</v>
      </c>
      <c r="H9" s="236" t="s">
        <v>94</v>
      </c>
      <c r="I9" s="236"/>
      <c r="J9" s="236" t="s">
        <v>93</v>
      </c>
      <c r="K9" s="236" t="s">
        <v>94</v>
      </c>
      <c r="L9" s="236" t="s">
        <v>94</v>
      </c>
      <c r="M9" s="236" t="s">
        <v>94</v>
      </c>
      <c r="N9" s="236"/>
      <c r="O9" s="236" t="s">
        <v>14</v>
      </c>
      <c r="P9" s="236" t="s">
        <v>14</v>
      </c>
      <c r="Q9" s="236" t="s">
        <v>14</v>
      </c>
      <c r="R9" s="236" t="s">
        <v>14</v>
      </c>
      <c r="S9" s="236"/>
      <c r="T9" s="236"/>
      <c r="U9" s="236"/>
      <c r="V9" s="327" t="s">
        <v>45</v>
      </c>
      <c r="W9" s="327"/>
      <c r="X9" s="327"/>
    </row>
    <row r="10" spans="1:33" s="224" customFormat="1" ht="15.75" x14ac:dyDescent="0.25">
      <c r="A10" s="236" t="s">
        <v>92</v>
      </c>
      <c r="B10" s="236"/>
      <c r="C10" s="236"/>
      <c r="D10" s="236" t="s">
        <v>95</v>
      </c>
      <c r="E10" s="236"/>
      <c r="F10" s="236" t="s">
        <v>96</v>
      </c>
      <c r="G10" s="236" t="s">
        <v>97</v>
      </c>
      <c r="H10" s="236" t="s">
        <v>98</v>
      </c>
      <c r="I10" s="236"/>
      <c r="J10" s="236" t="s">
        <v>96</v>
      </c>
      <c r="K10" s="236" t="s">
        <v>97</v>
      </c>
      <c r="L10" s="236" t="s">
        <v>99</v>
      </c>
      <c r="M10" s="236" t="s">
        <v>98</v>
      </c>
      <c r="N10" s="236"/>
      <c r="O10" s="236" t="s">
        <v>96</v>
      </c>
      <c r="P10" s="236" t="s">
        <v>97</v>
      </c>
      <c r="Q10" s="236" t="s">
        <v>99</v>
      </c>
      <c r="R10" s="236" t="s">
        <v>98</v>
      </c>
      <c r="S10" s="236"/>
      <c r="T10" s="236" t="s">
        <v>45</v>
      </c>
      <c r="U10" s="236" t="s">
        <v>16</v>
      </c>
      <c r="V10" s="327" t="s">
        <v>100</v>
      </c>
      <c r="W10" s="327"/>
      <c r="X10" s="327"/>
      <c r="AD10" s="158" t="s">
        <v>14</v>
      </c>
    </row>
    <row r="11" spans="1:33" ht="15.75" x14ac:dyDescent="0.25">
      <c r="B11" s="338" t="s">
        <v>101</v>
      </c>
      <c r="C11" s="338"/>
      <c r="E11" s="236"/>
      <c r="AD11" s="158" t="s">
        <v>17</v>
      </c>
      <c r="AF11" s="338" t="s">
        <v>101</v>
      </c>
      <c r="AG11" s="338"/>
    </row>
    <row r="12" spans="1:33" ht="15.75" x14ac:dyDescent="0.25">
      <c r="A12" s="237" t="s">
        <v>102</v>
      </c>
      <c r="B12" s="327" t="s">
        <v>103</v>
      </c>
      <c r="C12" s="327" t="s">
        <v>17</v>
      </c>
      <c r="E12" s="236"/>
      <c r="F12" s="238"/>
      <c r="G12" s="238"/>
      <c r="H12" s="238"/>
      <c r="I12" s="238"/>
      <c r="J12" s="238"/>
      <c r="K12" s="238"/>
      <c r="L12" s="238"/>
      <c r="N12" s="238"/>
      <c r="O12" s="238"/>
      <c r="P12" s="238"/>
      <c r="Q12" s="238"/>
      <c r="R12" s="238"/>
      <c r="T12" s="238"/>
      <c r="U12" s="238"/>
      <c r="AD12" s="157"/>
      <c r="AF12" s="327" t="s">
        <v>103</v>
      </c>
      <c r="AG12" s="327" t="s">
        <v>17</v>
      </c>
    </row>
    <row r="13" spans="1:33" ht="15" x14ac:dyDescent="0.2">
      <c r="B13" s="126" t="s">
        <v>25</v>
      </c>
      <c r="C13" s="239">
        <v>1202086000</v>
      </c>
      <c r="D13" s="237" t="s">
        <v>26</v>
      </c>
      <c r="E13" s="236"/>
      <c r="F13" s="240">
        <f>+'DEI Sales by Rate'!$AG$54</f>
        <v>1085762288.0599999</v>
      </c>
      <c r="G13" s="240">
        <f>+'DEI Sales by Rate'!$AG$56</f>
        <v>106893306.61000001</v>
      </c>
      <c r="H13" s="240">
        <f>SUM(F13:G13)</f>
        <v>1192655594.6700001</v>
      </c>
      <c r="I13" s="240"/>
      <c r="J13" s="240">
        <v>1101108744.4410238</v>
      </c>
      <c r="K13" s="240">
        <f>+G13</f>
        <v>106893306.61000001</v>
      </c>
      <c r="L13" s="240">
        <v>0</v>
      </c>
      <c r="M13" s="240">
        <f>SUM(J13:L13)</f>
        <v>1208002051.051024</v>
      </c>
      <c r="N13" s="240"/>
      <c r="O13" s="240">
        <f>+J13</f>
        <v>1101108744.4410238</v>
      </c>
      <c r="P13" s="240">
        <f>+K13</f>
        <v>106893306.61000001</v>
      </c>
      <c r="Q13" s="240" t="e">
        <f>#REF!*#REF!</f>
        <v>#REF!</v>
      </c>
      <c r="R13" s="240" t="e">
        <f t="shared" ref="R13" si="0">R15-R14</f>
        <v>#REF!</v>
      </c>
      <c r="T13" s="241" t="e">
        <f>R13-M13</f>
        <v>#REF!</v>
      </c>
      <c r="U13" s="242" t="e">
        <f t="shared" ref="U13:U14" si="1">T13/H13</f>
        <v>#REF!</v>
      </c>
      <c r="V13" s="243">
        <f>+J13-F13</f>
        <v>15346456.381023884</v>
      </c>
      <c r="W13" s="243"/>
      <c r="X13" s="243"/>
      <c r="AD13" s="170">
        <v>1106435622.6383216</v>
      </c>
      <c r="AF13" s="126" t="s">
        <v>25</v>
      </c>
      <c r="AG13" s="239">
        <v>1202086000</v>
      </c>
    </row>
    <row r="14" spans="1:33" ht="17.25" x14ac:dyDescent="0.35">
      <c r="B14" s="126" t="s">
        <v>27</v>
      </c>
      <c r="C14" s="244">
        <v>609587000</v>
      </c>
      <c r="D14" s="237" t="s">
        <v>28</v>
      </c>
      <c r="E14" s="236"/>
      <c r="F14" s="245">
        <f>+'DEI Sales by Rate'!$AH$54</f>
        <v>91106711.939999998</v>
      </c>
      <c r="G14" s="245">
        <f>+'DEI Sales by Rate'!$AH$56</f>
        <v>8969456.5800000001</v>
      </c>
      <c r="H14" s="245">
        <f>SUM(F14:G14)</f>
        <v>100076168.52</v>
      </c>
      <c r="I14" s="240"/>
      <c r="J14" s="245">
        <v>85526354.743652001</v>
      </c>
      <c r="K14" s="245">
        <f>+G14</f>
        <v>8969456.5800000001</v>
      </c>
      <c r="L14" s="245">
        <v>0</v>
      </c>
      <c r="M14" s="245">
        <f t="shared" ref="M14:M15" si="2">SUM(J14:L14)</f>
        <v>94495811.323651999</v>
      </c>
      <c r="N14" s="240"/>
      <c r="O14" s="245">
        <f>+J14</f>
        <v>85526354.743652001</v>
      </c>
      <c r="P14" s="245">
        <f>+K14</f>
        <v>8969456.5800000001</v>
      </c>
      <c r="Q14" s="245" t="e">
        <f>#REF!*#REF!</f>
        <v>#REF!</v>
      </c>
      <c r="R14" s="245" t="e">
        <f>SUM(O14:Q14)</f>
        <v>#REF!</v>
      </c>
      <c r="T14" s="245" t="e">
        <f>R14-M14</f>
        <v>#REF!</v>
      </c>
      <c r="U14" s="242" t="e">
        <f t="shared" si="1"/>
        <v>#REF!</v>
      </c>
      <c r="V14" s="246">
        <f>+J14-F14</f>
        <v>-5580357.1963479966</v>
      </c>
      <c r="W14" s="243"/>
      <c r="X14" s="243"/>
      <c r="AD14" s="175">
        <v>85413088.490475446</v>
      </c>
      <c r="AF14" s="126" t="s">
        <v>27</v>
      </c>
      <c r="AG14" s="244">
        <v>609587000</v>
      </c>
    </row>
    <row r="15" spans="1:33" ht="15" x14ac:dyDescent="0.2">
      <c r="B15" s="126" t="s">
        <v>47</v>
      </c>
      <c r="C15" s="244">
        <v>734535000</v>
      </c>
      <c r="D15" s="237"/>
      <c r="E15" s="236"/>
      <c r="F15" s="240">
        <f>SUM(F13:F14)</f>
        <v>1176869000</v>
      </c>
      <c r="G15" s="240">
        <f>SUM(G13:G14)</f>
        <v>115862763.19000001</v>
      </c>
      <c r="H15" s="240">
        <f>SUM(H13:H14)</f>
        <v>1292731763.1900001</v>
      </c>
      <c r="I15" s="240"/>
      <c r="J15" s="240">
        <f>SUM(J13:J14)</f>
        <v>1186635099.1846759</v>
      </c>
      <c r="K15" s="240">
        <f t="shared" ref="K15:L15" si="3">SUM(K13:K14)</f>
        <v>115862763.19000001</v>
      </c>
      <c r="L15" s="240">
        <f t="shared" si="3"/>
        <v>0</v>
      </c>
      <c r="M15" s="240">
        <f t="shared" si="2"/>
        <v>1302497862.374676</v>
      </c>
      <c r="N15" s="240"/>
      <c r="O15" s="240">
        <f>SUM(O13:O14)</f>
        <v>1186635099.1846759</v>
      </c>
      <c r="P15" s="240">
        <f>SUM(P13:P14)</f>
        <v>115862763.19000001</v>
      </c>
      <c r="Q15" s="240">
        <v>0</v>
      </c>
      <c r="R15" s="240">
        <f>SUM(O15:Q15)</f>
        <v>1302497862.374676</v>
      </c>
      <c r="T15" s="241" t="e">
        <f>SUM(T13:T14)</f>
        <v>#REF!</v>
      </c>
      <c r="U15" s="242" t="e">
        <f>T15/H15</f>
        <v>#REF!</v>
      </c>
      <c r="V15" s="243">
        <f>+J15-F15</f>
        <v>9766099.1846759319</v>
      </c>
      <c r="W15" s="243"/>
      <c r="X15" s="243"/>
      <c r="AD15" s="170">
        <f>SUM(AD13:AD14)</f>
        <v>1191848711.1287971</v>
      </c>
      <c r="AF15" s="126" t="s">
        <v>47</v>
      </c>
      <c r="AG15" s="244">
        <v>734535000</v>
      </c>
    </row>
    <row r="16" spans="1:33" ht="15" x14ac:dyDescent="0.2">
      <c r="B16" s="126" t="s">
        <v>30</v>
      </c>
      <c r="C16" s="244">
        <v>164740000</v>
      </c>
      <c r="D16" s="237"/>
      <c r="E16" s="236"/>
      <c r="F16" s="240"/>
      <c r="G16" s="240"/>
      <c r="H16" s="240"/>
      <c r="I16" s="240"/>
      <c r="J16" s="240"/>
      <c r="K16" s="240"/>
      <c r="L16" s="240"/>
      <c r="M16" s="240"/>
      <c r="N16" s="240"/>
      <c r="O16" s="238"/>
      <c r="P16" s="238"/>
      <c r="Q16" s="238"/>
      <c r="R16" s="238"/>
      <c r="T16" s="238"/>
      <c r="U16" s="238"/>
      <c r="X16" t="s">
        <v>32</v>
      </c>
      <c r="AD16" s="157"/>
      <c r="AF16" s="126" t="s">
        <v>30</v>
      </c>
      <c r="AG16" s="244">
        <v>164740000</v>
      </c>
    </row>
    <row r="17" spans="1:33" ht="15" x14ac:dyDescent="0.2">
      <c r="A17" s="247" t="s">
        <v>104</v>
      </c>
      <c r="B17" s="332" t="s">
        <v>31</v>
      </c>
      <c r="C17" s="314">
        <v>8799000</v>
      </c>
      <c r="D17" s="237"/>
      <c r="E17" s="248"/>
      <c r="F17" s="240"/>
      <c r="G17" s="240"/>
      <c r="H17" s="240"/>
      <c r="I17" s="240"/>
      <c r="J17" s="240"/>
      <c r="K17" s="240"/>
      <c r="L17" s="240"/>
      <c r="M17" s="240"/>
      <c r="N17" s="240"/>
      <c r="O17" s="238"/>
      <c r="P17" s="238"/>
      <c r="Q17" s="238"/>
      <c r="R17" s="238"/>
      <c r="S17" s="238"/>
      <c r="T17" s="238"/>
      <c r="U17" s="238"/>
      <c r="X17" t="s">
        <v>103</v>
      </c>
      <c r="Y17" t="s">
        <v>105</v>
      </c>
      <c r="Z17" t="s">
        <v>106</v>
      </c>
      <c r="AA17" t="s">
        <v>107</v>
      </c>
      <c r="AB17" t="s">
        <v>45</v>
      </c>
      <c r="AC17" s="126" t="s">
        <v>108</v>
      </c>
      <c r="AF17" s="332" t="s">
        <v>31</v>
      </c>
      <c r="AG17" s="314">
        <v>8799000</v>
      </c>
    </row>
    <row r="18" spans="1:33" ht="15" x14ac:dyDescent="0.2">
      <c r="B18" s="126" t="s">
        <v>98</v>
      </c>
      <c r="C18" s="249">
        <f>SUM(C13:C17)</f>
        <v>2719747000</v>
      </c>
      <c r="D18" s="237" t="s">
        <v>32</v>
      </c>
      <c r="E18" s="250"/>
      <c r="F18" s="240">
        <f>+'DEI Sales by Rate'!$C$54</f>
        <v>100924293.86999992</v>
      </c>
      <c r="G18" s="240">
        <f>+'DEI Sales by Rate'!$C$56</f>
        <v>12497197.710000001</v>
      </c>
      <c r="H18" s="240">
        <f>SUM(F18:G18)</f>
        <v>113421491.57999992</v>
      </c>
      <c r="I18" s="240"/>
      <c r="J18" s="240">
        <v>35405436.684720002</v>
      </c>
      <c r="K18" s="240">
        <f>+G18</f>
        <v>12497197.710000001</v>
      </c>
      <c r="L18" s="240">
        <v>1390.37</v>
      </c>
      <c r="M18" s="240">
        <f t="shared" ref="M18:M22" si="4">SUM(J18:L18)</f>
        <v>47904024.76472</v>
      </c>
      <c r="N18" s="240"/>
      <c r="O18" s="240">
        <f>+J18</f>
        <v>35405436.684720002</v>
      </c>
      <c r="P18" s="240">
        <f>+K18</f>
        <v>12497197.710000001</v>
      </c>
      <c r="Q18" s="240">
        <f>+L18</f>
        <v>1390.37</v>
      </c>
      <c r="R18" s="240">
        <f t="shared" ref="R18:R22" si="5">SUM(O18:Q18)</f>
        <v>47904024.76472</v>
      </c>
      <c r="S18" s="238"/>
      <c r="T18" s="241">
        <f t="shared" ref="T18:T22" si="6">R18-M18</f>
        <v>0</v>
      </c>
      <c r="U18" s="251">
        <f t="shared" ref="U18:U22" si="7">T18/H18</f>
        <v>0</v>
      </c>
      <c r="V18" s="252">
        <f t="shared" ref="V18:V23" si="8">+J18-F18</f>
        <v>-65518857.185279913</v>
      </c>
      <c r="W18" s="243"/>
      <c r="X18" s="243" t="s">
        <v>109</v>
      </c>
      <c r="Y18" s="7">
        <f>+'DEI Sales by Rate'!$C$22</f>
        <v>0</v>
      </c>
      <c r="Z18" s="253">
        <f>+'DEI Sales by Revenue'!$C$26</f>
        <v>0.12717801272426482</v>
      </c>
      <c r="AA18" s="254">
        <v>0</v>
      </c>
      <c r="AB18" s="253">
        <f>+AA18-Z18</f>
        <v>-0.12717801272426482</v>
      </c>
      <c r="AC18" s="119">
        <f>+AB18*Y18</f>
        <v>0</v>
      </c>
      <c r="AD18" s="170">
        <v>120663829.25894904</v>
      </c>
      <c r="AF18" s="126" t="s">
        <v>98</v>
      </c>
      <c r="AG18" s="249">
        <f>SUM(AG13:AG17)</f>
        <v>2719747000</v>
      </c>
    </row>
    <row r="19" spans="1:33" ht="15" x14ac:dyDescent="0.2">
      <c r="D19" s="237" t="s">
        <v>34</v>
      </c>
      <c r="E19" s="250"/>
      <c r="F19" s="240">
        <f>+'DEI Sales by Rate'!$D$54</f>
        <v>509830.33</v>
      </c>
      <c r="G19" s="240">
        <f>+'DEI Sales by Rate'!$D$56</f>
        <v>62794.75</v>
      </c>
      <c r="H19" s="240">
        <f>SUM(F19:G19)</f>
        <v>572625.08000000007</v>
      </c>
      <c r="I19" s="240"/>
      <c r="J19" s="240">
        <v>519843.60444799991</v>
      </c>
      <c r="K19" s="240">
        <f>+G19</f>
        <v>62794.75</v>
      </c>
      <c r="L19" s="240">
        <v>0</v>
      </c>
      <c r="M19" s="240">
        <f t="shared" si="4"/>
        <v>582638.35444799997</v>
      </c>
      <c r="N19" s="240"/>
      <c r="O19" s="240">
        <f t="shared" ref="O19:P22" si="9">+J19</f>
        <v>519843.60444799991</v>
      </c>
      <c r="P19" s="240">
        <f t="shared" si="9"/>
        <v>62794.75</v>
      </c>
      <c r="Q19" s="240" t="e">
        <f>#REF!*#REF!</f>
        <v>#REF!</v>
      </c>
      <c r="R19" s="240" t="e">
        <f t="shared" si="5"/>
        <v>#REF!</v>
      </c>
      <c r="S19" s="238"/>
      <c r="T19" s="241" t="e">
        <f t="shared" si="6"/>
        <v>#REF!</v>
      </c>
      <c r="U19" s="251" t="e">
        <f t="shared" si="7"/>
        <v>#REF!</v>
      </c>
      <c r="V19" s="243">
        <f t="shared" si="8"/>
        <v>10013.274447999895</v>
      </c>
      <c r="W19" s="243"/>
      <c r="X19" s="243" t="s">
        <v>110</v>
      </c>
      <c r="Y19" s="7">
        <f>+'DEI Sales by Rate'!$C$23</f>
        <v>930812159</v>
      </c>
      <c r="Z19" s="255">
        <f>+'DEI Sales by Revenue'!$D$26</f>
        <v>0.10278966924328714</v>
      </c>
      <c r="AA19" s="254">
        <v>0</v>
      </c>
      <c r="AB19" s="253">
        <f t="shared" ref="AB19:AB21" si="10">+AA19-Z19</f>
        <v>-0.10278966924328714</v>
      </c>
      <c r="AC19" s="119">
        <f>+AB19*Y19</f>
        <v>-95677873.951240003</v>
      </c>
      <c r="AD19" s="170">
        <v>491451.04324171675</v>
      </c>
    </row>
    <row r="20" spans="1:33" ht="15" x14ac:dyDescent="0.2">
      <c r="D20" s="237" t="s">
        <v>36</v>
      </c>
      <c r="E20" s="250"/>
      <c r="F20" s="240">
        <f>+'DEI Sales by Rate'!$E$54</f>
        <v>354.61</v>
      </c>
      <c r="G20" s="240">
        <f>+'DEI Sales by Rate'!$E$56</f>
        <v>43.6</v>
      </c>
      <c r="H20" s="240">
        <f>SUM(F20:G20)</f>
        <v>398.21000000000004</v>
      </c>
      <c r="I20" s="240"/>
      <c r="J20" s="240">
        <v>317.12196</v>
      </c>
      <c r="K20" s="240">
        <f>+G20</f>
        <v>43.6</v>
      </c>
      <c r="L20" s="240">
        <v>0</v>
      </c>
      <c r="M20" s="240">
        <f t="shared" si="4"/>
        <v>360.72196000000002</v>
      </c>
      <c r="N20" s="240"/>
      <c r="O20" s="240">
        <f t="shared" si="9"/>
        <v>317.12196</v>
      </c>
      <c r="P20" s="240">
        <f t="shared" si="9"/>
        <v>43.6</v>
      </c>
      <c r="Q20" s="240" t="e">
        <f>#REF!*#REF!</f>
        <v>#REF!</v>
      </c>
      <c r="R20" s="240" t="e">
        <f t="shared" si="5"/>
        <v>#REF!</v>
      </c>
      <c r="S20" s="238"/>
      <c r="T20" s="241" t="e">
        <f t="shared" si="6"/>
        <v>#REF!</v>
      </c>
      <c r="U20" s="251" t="e">
        <f t="shared" si="7"/>
        <v>#REF!</v>
      </c>
      <c r="V20" s="243">
        <f t="shared" si="8"/>
        <v>-37.488040000000012</v>
      </c>
      <c r="W20" s="243"/>
      <c r="X20" s="243" t="s">
        <v>111</v>
      </c>
      <c r="Y20" s="7">
        <f>+'DEI Sales by Rate'!$C$24</f>
        <v>7276906</v>
      </c>
      <c r="Z20" s="255">
        <f>+'DEI Sales by Revenue'!$E$26</f>
        <v>7.8941884387797021E-2</v>
      </c>
      <c r="AA20" s="254">
        <v>0</v>
      </c>
      <c r="AB20" s="253">
        <f t="shared" si="10"/>
        <v>-7.8941884387797021E-2</v>
      </c>
      <c r="AC20" s="119">
        <f>+AB20*Y20</f>
        <v>-574452.67215286649</v>
      </c>
      <c r="AD20" s="170">
        <v>306.9195170438565</v>
      </c>
    </row>
    <row r="21" spans="1:33" ht="15" x14ac:dyDescent="0.2">
      <c r="D21" s="237" t="s">
        <v>39</v>
      </c>
      <c r="E21" s="250"/>
      <c r="F21" s="240">
        <f>+'DEI Sales by Rate'!$F$54</f>
        <v>2530869.16</v>
      </c>
      <c r="G21" s="240">
        <f>+'DEI Sales by Rate'!$F$56</f>
        <v>311155.70999999996</v>
      </c>
      <c r="H21" s="240">
        <f>SUM(F21:G21)</f>
        <v>2842024.87</v>
      </c>
      <c r="I21" s="240"/>
      <c r="J21" s="240">
        <v>2762339.3803229998</v>
      </c>
      <c r="K21" s="240">
        <f>+G21</f>
        <v>311155.70999999996</v>
      </c>
      <c r="L21" s="240">
        <v>0</v>
      </c>
      <c r="M21" s="240">
        <f t="shared" ref="M21" si="11">SUM(J21:L21)</f>
        <v>3073495.0903229997</v>
      </c>
      <c r="N21" s="240"/>
      <c r="O21" s="240">
        <f t="shared" si="9"/>
        <v>2762339.3803229998</v>
      </c>
      <c r="P21" s="240">
        <f t="shared" si="9"/>
        <v>311155.70999999996</v>
      </c>
      <c r="Q21" s="240" t="e">
        <f>#REF!*#REF!</f>
        <v>#REF!</v>
      </c>
      <c r="R21" s="240" t="e">
        <f t="shared" si="5"/>
        <v>#REF!</v>
      </c>
      <c r="S21" s="238"/>
      <c r="T21" s="241" t="e">
        <f t="shared" si="6"/>
        <v>#REF!</v>
      </c>
      <c r="U21" s="251" t="e">
        <f t="shared" si="7"/>
        <v>#REF!</v>
      </c>
      <c r="V21" s="243">
        <f t="shared" si="8"/>
        <v>231470.22032299964</v>
      </c>
      <c r="W21" s="243"/>
      <c r="X21" s="243" t="s">
        <v>30</v>
      </c>
      <c r="Y21" s="132">
        <f>+'DEI Sales by Rate'!$C$25</f>
        <v>60035738</v>
      </c>
      <c r="Z21" s="256">
        <f>+'DEI Sales by Revenue'!$F$26</f>
        <v>9.2538879156552886E-2</v>
      </c>
      <c r="AA21" s="254">
        <v>0</v>
      </c>
      <c r="AB21" s="253">
        <f t="shared" si="10"/>
        <v>-9.2538879156552886E-2</v>
      </c>
      <c r="AC21" s="122">
        <f>+AB21*Y21</f>
        <v>-5555639.9038564702</v>
      </c>
      <c r="AD21" s="170">
        <v>2688216.6195873478</v>
      </c>
    </row>
    <row r="22" spans="1:33" ht="17.25" x14ac:dyDescent="0.35">
      <c r="C22" s="315">
        <f>C18-AD64</f>
        <v>34211776.310338497</v>
      </c>
      <c r="D22" s="237" t="s">
        <v>41</v>
      </c>
      <c r="E22" s="250"/>
      <c r="F22" s="257">
        <f>+'DEI Sales by Rate'!$G$54</f>
        <v>0</v>
      </c>
      <c r="G22" s="257">
        <v>0</v>
      </c>
      <c r="H22" s="257">
        <f>SUM(F22:G22)</f>
        <v>0</v>
      </c>
      <c r="I22" s="240"/>
      <c r="J22" s="257">
        <v>0</v>
      </c>
      <c r="K22" s="240">
        <v>0</v>
      </c>
      <c r="L22" s="240">
        <v>0</v>
      </c>
      <c r="M22" s="240">
        <f t="shared" si="4"/>
        <v>0</v>
      </c>
      <c r="N22" s="240"/>
      <c r="O22" s="240">
        <f t="shared" si="9"/>
        <v>0</v>
      </c>
      <c r="P22" s="240">
        <f t="shared" si="9"/>
        <v>0</v>
      </c>
      <c r="Q22" s="240" t="e">
        <f>#REF!*#REF!</f>
        <v>#REF!</v>
      </c>
      <c r="R22" s="240" t="e">
        <f t="shared" si="5"/>
        <v>#REF!</v>
      </c>
      <c r="S22" s="238"/>
      <c r="T22" s="241" t="e">
        <f t="shared" si="6"/>
        <v>#REF!</v>
      </c>
      <c r="U22" s="251" t="e">
        <f t="shared" si="7"/>
        <v>#REF!</v>
      </c>
      <c r="V22" s="246">
        <f t="shared" si="8"/>
        <v>0</v>
      </c>
      <c r="W22" s="243"/>
      <c r="X22" s="243"/>
      <c r="Y22" s="3">
        <f>SUM(Y18:Y21)</f>
        <v>998124803</v>
      </c>
      <c r="AC22" s="124">
        <f>SUM(AC18:AC21)</f>
        <v>-101807966.52724934</v>
      </c>
      <c r="AD22" s="175">
        <v>9893.606236420861</v>
      </c>
    </row>
    <row r="23" spans="1:33" ht="15" x14ac:dyDescent="0.2">
      <c r="D23" s="237"/>
      <c r="E23" s="248"/>
      <c r="F23" s="240">
        <f>SUM(F18:F22)</f>
        <v>103965347.96999991</v>
      </c>
      <c r="G23" s="240">
        <f>SUM(G18:G22)</f>
        <v>12871191.77</v>
      </c>
      <c r="H23" s="240">
        <f>SUM(H18:H22)</f>
        <v>116836539.73999992</v>
      </c>
      <c r="I23" s="240"/>
      <c r="J23" s="240">
        <f>SUM(J18:J22)</f>
        <v>38687936.791451</v>
      </c>
      <c r="K23" s="240">
        <f>SUM(K18:K22)</f>
        <v>12871191.77</v>
      </c>
      <c r="L23" s="240">
        <f>SUM(L18:L22)</f>
        <v>1390.37</v>
      </c>
      <c r="M23" s="240">
        <f>SUM(M18:M22)</f>
        <v>51560518.931451</v>
      </c>
      <c r="N23" s="240"/>
      <c r="O23" s="240">
        <f>SUM(O18:O22)</f>
        <v>38687936.791451</v>
      </c>
      <c r="P23" s="240">
        <f>SUM(P18:P22)</f>
        <v>12871191.77</v>
      </c>
      <c r="Q23" s="240" t="e">
        <f>SUM(Q18:Q22)</f>
        <v>#REF!</v>
      </c>
      <c r="R23" s="240" t="e">
        <f>SUM(R18:R22)</f>
        <v>#REF!</v>
      </c>
      <c r="S23" s="238"/>
      <c r="T23" s="241" t="e">
        <f>SUM(T18:T22)</f>
        <v>#REF!</v>
      </c>
      <c r="U23" s="251"/>
      <c r="V23" s="243">
        <f t="shared" si="8"/>
        <v>-65277411.17854891</v>
      </c>
      <c r="W23" s="243"/>
      <c r="X23" s="243"/>
      <c r="AD23" s="170">
        <f>SUM(AD18:AD22)</f>
        <v>123853697.44753157</v>
      </c>
    </row>
    <row r="24" spans="1:33" ht="15" x14ac:dyDescent="0.2">
      <c r="A24" s="126" t="s">
        <v>112</v>
      </c>
      <c r="D24" s="237"/>
      <c r="E24" s="248"/>
      <c r="F24" s="240"/>
      <c r="G24" s="240"/>
      <c r="H24" s="240"/>
      <c r="I24" s="240"/>
      <c r="J24" s="240"/>
      <c r="K24" s="240"/>
      <c r="L24" s="240"/>
      <c r="M24" s="240"/>
      <c r="N24" s="240"/>
      <c r="O24" s="238"/>
      <c r="P24" s="238"/>
      <c r="Q24" s="238"/>
      <c r="R24" s="238"/>
      <c r="S24" s="238"/>
      <c r="T24" s="238"/>
      <c r="U24" s="238"/>
      <c r="X24" t="s">
        <v>40</v>
      </c>
      <c r="AD24" s="120"/>
    </row>
    <row r="25" spans="1:33" ht="15" x14ac:dyDescent="0.2">
      <c r="D25" s="258" t="s">
        <v>33</v>
      </c>
      <c r="F25" s="240">
        <f>+'DEI Sales by Rate'!$P$54</f>
        <v>14082379.09</v>
      </c>
      <c r="G25" s="240">
        <f>+'DEI Sales by Rate'!$P$56</f>
        <v>2199889.1900000004</v>
      </c>
      <c r="H25" s="240">
        <f t="shared" ref="H25:H30" si="12">SUM(F25:G25)</f>
        <v>16282268.280000001</v>
      </c>
      <c r="I25" s="240"/>
      <c r="J25" s="240">
        <v>334.9</v>
      </c>
      <c r="K25" s="240">
        <f>+G25</f>
        <v>2199889.1900000004</v>
      </c>
      <c r="L25" s="240">
        <v>-1436.6845537139561</v>
      </c>
      <c r="M25" s="240">
        <f t="shared" ref="M25:M26" si="13">SUM(J25:L25)</f>
        <v>2198787.4054462863</v>
      </c>
      <c r="N25" s="240"/>
      <c r="O25" s="240">
        <f t="shared" ref="O25:P29" si="14">+J25</f>
        <v>334.9</v>
      </c>
      <c r="P25" s="240">
        <f t="shared" si="14"/>
        <v>2199889.1900000004</v>
      </c>
      <c r="Q25" s="240" t="e">
        <f>#REF!*#REF!</f>
        <v>#REF!</v>
      </c>
      <c r="R25" s="240" t="e">
        <f t="shared" ref="R25:R29" si="15">SUM(O25:Q25)</f>
        <v>#REF!</v>
      </c>
      <c r="S25" s="238"/>
      <c r="T25" s="241" t="e">
        <f t="shared" ref="T25:T29" si="16">R25-M25</f>
        <v>#REF!</v>
      </c>
      <c r="U25" s="251" t="e">
        <f t="shared" ref="U25:U29" si="17">T25/H25</f>
        <v>#REF!</v>
      </c>
      <c r="V25" s="243">
        <f t="shared" ref="V25:V31" si="18">+J25-F25</f>
        <v>-14082044.189999999</v>
      </c>
      <c r="W25" s="243"/>
      <c r="X25" s="243" t="s">
        <v>103</v>
      </c>
      <c r="Y25" t="s">
        <v>105</v>
      </c>
      <c r="Z25" t="s">
        <v>106</v>
      </c>
      <c r="AA25" t="s">
        <v>113</v>
      </c>
      <c r="AB25" t="s">
        <v>45</v>
      </c>
      <c r="AC25" t="s">
        <v>108</v>
      </c>
      <c r="AD25" s="170">
        <v>14154202.578070724</v>
      </c>
    </row>
    <row r="26" spans="1:33" ht="15" x14ac:dyDescent="0.2">
      <c r="D26" s="237" t="s">
        <v>35</v>
      </c>
      <c r="F26" s="240">
        <f>+'DEI Sales by Rate'!$Q$54</f>
        <v>24181688.600000001</v>
      </c>
      <c r="G26" s="240">
        <f>+'DEI Sales by Rate'!$Q$56</f>
        <v>3739706.6799999997</v>
      </c>
      <c r="H26" s="240">
        <f t="shared" si="12"/>
        <v>27921395.280000001</v>
      </c>
      <c r="I26" s="240"/>
      <c r="J26" s="240">
        <v>88.59</v>
      </c>
      <c r="K26" s="240">
        <f>+G26</f>
        <v>3739706.6799999997</v>
      </c>
      <c r="L26" s="240">
        <v>-284639.10496929905</v>
      </c>
      <c r="M26" s="240">
        <f t="shared" si="13"/>
        <v>3455156.1650307006</v>
      </c>
      <c r="N26" s="240"/>
      <c r="O26" s="240">
        <f t="shared" si="14"/>
        <v>88.59</v>
      </c>
      <c r="P26" s="240">
        <f t="shared" si="14"/>
        <v>3739706.6799999997</v>
      </c>
      <c r="Q26" s="240" t="e">
        <f>#REF!*#REF!</f>
        <v>#REF!</v>
      </c>
      <c r="R26" s="240" t="e">
        <f t="shared" si="15"/>
        <v>#REF!</v>
      </c>
      <c r="S26" s="238"/>
      <c r="T26" s="241" t="e">
        <f t="shared" si="16"/>
        <v>#REF!</v>
      </c>
      <c r="U26" s="251" t="e">
        <f t="shared" si="17"/>
        <v>#REF!</v>
      </c>
      <c r="V26" s="243">
        <f t="shared" si="18"/>
        <v>-24181600.010000002</v>
      </c>
      <c r="W26" s="243"/>
      <c r="X26" s="243" t="s">
        <v>110</v>
      </c>
      <c r="Y26" s="2">
        <f>+'DEI Sales by Rate'!$S$23</f>
        <v>2459924612</v>
      </c>
      <c r="Z26" s="255">
        <f>+'DEI Sales by Revenue'!$D$26</f>
        <v>0.10278966924328714</v>
      </c>
      <c r="AA26" s="255">
        <v>0</v>
      </c>
      <c r="AB26" s="255">
        <f>+AA26-Z26</f>
        <v>-0.10278966924328714</v>
      </c>
      <c r="AC26" s="119">
        <f>+AB26*Y26</f>
        <v>-252854837.23090145</v>
      </c>
      <c r="AD26" s="170">
        <v>24415126.1532005</v>
      </c>
    </row>
    <row r="27" spans="1:33" ht="15" x14ac:dyDescent="0.2">
      <c r="D27" s="237" t="s">
        <v>37</v>
      </c>
      <c r="F27" s="240">
        <f>+'DEI Sales by Rate'!$R$54</f>
        <v>56671421.159999996</v>
      </c>
      <c r="G27" s="240">
        <f>+'DEI Sales by Rate'!$R$56</f>
        <v>8698900.4899999984</v>
      </c>
      <c r="H27" s="240">
        <f t="shared" si="12"/>
        <v>65370321.649999991</v>
      </c>
      <c r="I27" s="240"/>
      <c r="J27" s="240">
        <v>88.460000000000008</v>
      </c>
      <c r="K27" s="240">
        <f>+G27</f>
        <v>8698900.4899999984</v>
      </c>
      <c r="L27" s="240">
        <v>-65945.417669548799</v>
      </c>
      <c r="M27" s="240">
        <f t="shared" ref="M27" si="19">SUM(J27:L27)</f>
        <v>8633043.5323304497</v>
      </c>
      <c r="N27" s="240"/>
      <c r="O27" s="240">
        <f t="shared" si="14"/>
        <v>88.460000000000008</v>
      </c>
      <c r="P27" s="240">
        <f t="shared" si="14"/>
        <v>8698900.4899999984</v>
      </c>
      <c r="Q27" s="240" t="e">
        <f>#REF!*#REF!</f>
        <v>#REF!</v>
      </c>
      <c r="R27" s="240" t="e">
        <f t="shared" si="15"/>
        <v>#REF!</v>
      </c>
      <c r="S27" s="238"/>
      <c r="T27" s="241" t="e">
        <f t="shared" si="16"/>
        <v>#REF!</v>
      </c>
      <c r="U27" s="251" t="e">
        <f t="shared" si="17"/>
        <v>#REF!</v>
      </c>
      <c r="V27" s="243">
        <f t="shared" si="18"/>
        <v>-56671332.699999996</v>
      </c>
      <c r="W27" s="243"/>
      <c r="X27" s="243" t="s">
        <v>111</v>
      </c>
      <c r="Y27" s="2">
        <f>+'DEI Sales by Rate'!$S$24</f>
        <v>1069724449</v>
      </c>
      <c r="Z27" s="255">
        <f>+'DEI Sales by Revenue'!$E$26</f>
        <v>7.8941884387797021E-2</v>
      </c>
      <c r="AA27" s="255">
        <v>0</v>
      </c>
      <c r="AB27" s="255">
        <f>+AA27-Z27</f>
        <v>-7.8941884387797021E-2</v>
      </c>
      <c r="AC27" s="119">
        <f>+AB27*Y27</f>
        <v>-84446063.779757872</v>
      </c>
      <c r="AD27" s="170">
        <v>60102472.197261669</v>
      </c>
    </row>
    <row r="28" spans="1:33" ht="15" x14ac:dyDescent="0.2">
      <c r="D28" s="237" t="s">
        <v>40</v>
      </c>
      <c r="F28" s="240">
        <f>+'DEI Sales by Rate'!$S$54</f>
        <v>407616640.15999997</v>
      </c>
      <c r="G28" s="240">
        <f>+'DEI Sales by Rate'!$S$56</f>
        <v>54023416.24000001</v>
      </c>
      <c r="H28" s="240">
        <f t="shared" si="12"/>
        <v>461640056.39999998</v>
      </c>
      <c r="I28" s="240"/>
      <c r="J28" s="259">
        <v>0</v>
      </c>
      <c r="K28" s="240">
        <f>+G28</f>
        <v>54023416.24000001</v>
      </c>
      <c r="L28" s="240">
        <v>-27666.674702944383</v>
      </c>
      <c r="M28" s="240">
        <f t="shared" ref="M28" si="20">SUM(J28:L28)</f>
        <v>53995749.565297067</v>
      </c>
      <c r="N28" s="240"/>
      <c r="O28" s="240">
        <f t="shared" si="14"/>
        <v>0</v>
      </c>
      <c r="P28" s="240">
        <f t="shared" si="14"/>
        <v>54023416.24000001</v>
      </c>
      <c r="Q28" s="240" t="e">
        <f>#REF!*#REF!</f>
        <v>#REF!</v>
      </c>
      <c r="R28" s="240" t="e">
        <f t="shared" si="15"/>
        <v>#REF!</v>
      </c>
      <c r="S28" s="238"/>
      <c r="T28" s="241" t="e">
        <f t="shared" si="16"/>
        <v>#REF!</v>
      </c>
      <c r="U28" s="251" t="e">
        <f t="shared" si="17"/>
        <v>#REF!</v>
      </c>
      <c r="V28" s="252">
        <f t="shared" si="18"/>
        <v>-407616640.15999997</v>
      </c>
      <c r="W28" s="243"/>
      <c r="X28" s="243" t="s">
        <v>30</v>
      </c>
      <c r="Y28" s="86">
        <f>+'DEI Sales by Rate'!$S$25</f>
        <v>785087169</v>
      </c>
      <c r="Z28" s="256">
        <f>+'DEI Sales by Revenue'!$F$26</f>
        <v>9.2538879156552886E-2</v>
      </c>
      <c r="AA28" s="255">
        <v>0</v>
      </c>
      <c r="AB28" s="255">
        <f>+AA28-Z28</f>
        <v>-9.2538879156552886E-2</v>
      </c>
      <c r="AC28" s="122">
        <f>+AB28*Y28</f>
        <v>-72651086.659451216</v>
      </c>
      <c r="AD28" s="193">
        <v>439503204.68910414</v>
      </c>
    </row>
    <row r="29" spans="1:33" ht="15" x14ac:dyDescent="0.2">
      <c r="D29" s="237" t="s">
        <v>42</v>
      </c>
      <c r="F29" s="240">
        <f>+'DEI Sales by Rate'!$T$54</f>
        <v>16008385.199999999</v>
      </c>
      <c r="G29" s="240">
        <f>+'DEI Sales by Rate'!$T$56</f>
        <v>1981092.9099999997</v>
      </c>
      <c r="H29" s="240">
        <f t="shared" si="12"/>
        <v>17989478.109999999</v>
      </c>
      <c r="I29" s="240"/>
      <c r="J29" s="240">
        <v>32.369999999999997</v>
      </c>
      <c r="K29" s="240">
        <f>+G29</f>
        <v>1981092.9099999997</v>
      </c>
      <c r="L29" s="240" t="e">
        <f>#REF!*#REF!</f>
        <v>#REF!</v>
      </c>
      <c r="M29" s="240" t="e">
        <f t="shared" ref="M29" si="21">SUM(J29:L29)</f>
        <v>#REF!</v>
      </c>
      <c r="N29" s="240"/>
      <c r="O29" s="257">
        <f t="shared" si="14"/>
        <v>32.369999999999997</v>
      </c>
      <c r="P29" s="257">
        <f t="shared" si="14"/>
        <v>1981092.9099999997</v>
      </c>
      <c r="Q29" s="257" t="e">
        <f>#REF!*#REF!</f>
        <v>#REF!</v>
      </c>
      <c r="R29" s="257" t="e">
        <f t="shared" si="15"/>
        <v>#REF!</v>
      </c>
      <c r="S29" s="238"/>
      <c r="T29" s="260" t="e">
        <f t="shared" si="16"/>
        <v>#REF!</v>
      </c>
      <c r="U29" s="251" t="e">
        <f t="shared" si="17"/>
        <v>#REF!</v>
      </c>
      <c r="V29" s="243">
        <f t="shared" si="18"/>
        <v>-16008352.83</v>
      </c>
      <c r="W29" s="243"/>
      <c r="X29" s="243"/>
      <c r="Y29" s="3">
        <f>SUM(Y26:Y28)</f>
        <v>4314736230</v>
      </c>
      <c r="AC29" s="124">
        <f>SUM(AC26:AC28)</f>
        <v>-409951987.67011058</v>
      </c>
      <c r="AD29" s="193">
        <v>14055319.189666664</v>
      </c>
    </row>
    <row r="30" spans="1:33" ht="17.25" x14ac:dyDescent="0.35">
      <c r="D30" s="237" t="s">
        <v>50</v>
      </c>
      <c r="F30" s="257">
        <f>+'DEI Sales by Rate'!$U$54</f>
        <v>1165942.1600000001</v>
      </c>
      <c r="G30" s="257">
        <f>+'DEI Sales by Rate'!$U$56</f>
        <v>159475.98000000004</v>
      </c>
      <c r="H30" s="257">
        <f t="shared" si="12"/>
        <v>1325418.1400000001</v>
      </c>
      <c r="I30" s="240"/>
      <c r="J30" s="257">
        <f>+F30</f>
        <v>1165942.1600000001</v>
      </c>
      <c r="K30" s="240"/>
      <c r="L30" s="240"/>
      <c r="M30" s="240"/>
      <c r="N30" s="240"/>
      <c r="O30" s="240"/>
      <c r="P30" s="240"/>
      <c r="Q30" s="240"/>
      <c r="R30" s="240"/>
      <c r="S30" s="238"/>
      <c r="T30" s="241"/>
      <c r="U30" s="251"/>
      <c r="V30" s="246">
        <f t="shared" si="18"/>
        <v>0</v>
      </c>
      <c r="W30" s="243"/>
      <c r="X30" s="243"/>
      <c r="AD30" s="195">
        <v>1145381.77</v>
      </c>
    </row>
    <row r="31" spans="1:33" x14ac:dyDescent="0.2">
      <c r="F31" s="241">
        <f>SUM(F25:F30)</f>
        <v>519726456.37</v>
      </c>
      <c r="G31" s="241">
        <f t="shared" ref="G31:H31" si="22">SUM(G25:G30)</f>
        <v>70802481.49000001</v>
      </c>
      <c r="H31" s="241">
        <f t="shared" si="22"/>
        <v>590528937.86000001</v>
      </c>
      <c r="I31" s="238"/>
      <c r="J31" s="241">
        <f>SUM(J25:J30)</f>
        <v>1166486.4800000002</v>
      </c>
      <c r="K31" s="241">
        <f>SUM(K25:K29)</f>
        <v>70643005.510000005</v>
      </c>
      <c r="L31" s="241" t="e">
        <f>SUM(L25:L29)</f>
        <v>#REF!</v>
      </c>
      <c r="M31" s="241" t="e">
        <f>SUM(M25:M29)</f>
        <v>#REF!</v>
      </c>
      <c r="N31" s="238"/>
      <c r="O31" s="241">
        <f>SUM(O25:O29)</f>
        <v>544.32000000000005</v>
      </c>
      <c r="P31" s="241">
        <f>SUM(P25:P29)</f>
        <v>70643005.510000005</v>
      </c>
      <c r="Q31" s="241" t="e">
        <f>SUM(Q25:Q29)</f>
        <v>#REF!</v>
      </c>
      <c r="R31" s="241" t="e">
        <f>SUM(R25:R29)</f>
        <v>#REF!</v>
      </c>
      <c r="S31" s="238"/>
      <c r="T31" s="241" t="e">
        <f>SUM(T25:T29)</f>
        <v>#REF!</v>
      </c>
      <c r="U31" s="251"/>
      <c r="V31" s="243">
        <f t="shared" si="18"/>
        <v>-518559969.88999999</v>
      </c>
      <c r="W31" s="243"/>
      <c r="X31" s="243"/>
      <c r="AD31" s="170">
        <f>SUM(AD25:AD30)</f>
        <v>553375706.57730365</v>
      </c>
    </row>
    <row r="32" spans="1:33" x14ac:dyDescent="0.2">
      <c r="A32" s="126" t="s">
        <v>114</v>
      </c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X32" t="s">
        <v>52</v>
      </c>
      <c r="Y32" t="s">
        <v>105</v>
      </c>
      <c r="Z32" t="s">
        <v>106</v>
      </c>
      <c r="AA32" t="s">
        <v>115</v>
      </c>
      <c r="AB32" t="s">
        <v>45</v>
      </c>
      <c r="AC32" t="s">
        <v>108</v>
      </c>
    </row>
    <row r="33" spans="1:31" ht="15" x14ac:dyDescent="0.2">
      <c r="D33" s="237" t="s">
        <v>51</v>
      </c>
      <c r="F33" s="240">
        <f>+'DEI Sales by Rate'!$I$54+'DEI Sales by Rate'!$AE$54</f>
        <v>112166593.54000001</v>
      </c>
      <c r="G33" s="261">
        <f>+'DEI Sales by Rate'!$I$56+'DEI Sales by Rate'!$AE$56</f>
        <v>17790323.050000001</v>
      </c>
      <c r="H33" s="240">
        <f>SUM(F33:G33)</f>
        <v>129956916.59</v>
      </c>
      <c r="I33" s="240"/>
      <c r="J33" s="240">
        <v>101950904.81441599</v>
      </c>
      <c r="K33" s="240">
        <f>+G33</f>
        <v>17790323.050000001</v>
      </c>
      <c r="L33" s="240">
        <v>40193.787435397178</v>
      </c>
      <c r="M33" s="240">
        <f t="shared" ref="M33:M37" si="23">SUM(J33:L33)</f>
        <v>119781421.65185139</v>
      </c>
      <c r="N33" s="240"/>
      <c r="O33" s="240">
        <f>+J33</f>
        <v>101950904.81441599</v>
      </c>
      <c r="P33" s="240">
        <f>+K33</f>
        <v>17790323.050000001</v>
      </c>
      <c r="Q33" s="240" t="e">
        <f>#REF!*#REF!</f>
        <v>#REF!</v>
      </c>
      <c r="R33" s="240" t="e">
        <f t="shared" ref="R33:R37" si="24">SUM(O33:Q33)</f>
        <v>#REF!</v>
      </c>
      <c r="S33" s="238"/>
      <c r="T33" s="241" t="e">
        <f t="shared" ref="T33:T37" si="25">R33-M33</f>
        <v>#REF!</v>
      </c>
      <c r="U33" s="251" t="e">
        <f t="shared" ref="U33:U37" si="26">T33/H33</f>
        <v>#REF!</v>
      </c>
      <c r="V33" s="243">
        <f t="shared" ref="V33:V40" si="27">+J33-F33</f>
        <v>-10215688.725584015</v>
      </c>
      <c r="W33" s="243"/>
      <c r="X33" s="243" t="s">
        <v>103</v>
      </c>
      <c r="AD33" s="170">
        <v>93143690.710428968</v>
      </c>
    </row>
    <row r="34" spans="1:31" ht="15" x14ac:dyDescent="0.2">
      <c r="D34" s="237" t="s">
        <v>52</v>
      </c>
      <c r="F34" s="240">
        <f>+'DEI Sales by Rate'!$J$54</f>
        <v>92119806.289999992</v>
      </c>
      <c r="G34" s="240">
        <f>+'DEI Sales by Rate'!$J$56</f>
        <v>14440510.599999998</v>
      </c>
      <c r="H34" s="240">
        <f>SUM(F34:G34)</f>
        <v>106560316.88999999</v>
      </c>
      <c r="I34" s="240"/>
      <c r="J34" s="240">
        <v>81922731.222341999</v>
      </c>
      <c r="K34" s="240">
        <f>+G34</f>
        <v>14440510.599999998</v>
      </c>
      <c r="L34" s="240">
        <v>51578.545817087113</v>
      </c>
      <c r="M34" s="240">
        <f t="shared" si="23"/>
        <v>96414820.368159086</v>
      </c>
      <c r="N34" s="240"/>
      <c r="O34" s="240" t="e">
        <v>#REF!</v>
      </c>
      <c r="P34" s="240" t="e">
        <v>#REF!</v>
      </c>
      <c r="Q34" s="240" t="e">
        <f>#REF!*#REF!</f>
        <v>#REF!</v>
      </c>
      <c r="R34" s="240" t="e">
        <f t="shared" si="24"/>
        <v>#REF!</v>
      </c>
      <c r="S34" s="238"/>
      <c r="T34" s="241" t="e">
        <f t="shared" si="25"/>
        <v>#REF!</v>
      </c>
      <c r="U34" s="251" t="e">
        <f t="shared" si="26"/>
        <v>#REF!</v>
      </c>
      <c r="V34" s="243">
        <f t="shared" si="27"/>
        <v>-10197075.067657992</v>
      </c>
      <c r="W34" s="243"/>
      <c r="X34" s="243" t="s">
        <v>110</v>
      </c>
      <c r="Y34" s="2">
        <f>+'DEI Sales by Rate'!$J$23</f>
        <v>205867</v>
      </c>
      <c r="Z34" s="255">
        <f>+'DEI Sales by Revenue'!$D$26</f>
        <v>0.10278966924328714</v>
      </c>
      <c r="AA34" s="255">
        <v>0</v>
      </c>
      <c r="AB34" s="255">
        <f>+AA34-Z34</f>
        <v>-0.10278966924328714</v>
      </c>
      <c r="AC34" s="119">
        <f>+AB34*Y34</f>
        <v>-21161.000838107793</v>
      </c>
      <c r="AD34" s="170">
        <v>80331094.394172758</v>
      </c>
    </row>
    <row r="35" spans="1:31" ht="15" x14ac:dyDescent="0.2">
      <c r="D35" s="237" t="s">
        <v>53</v>
      </c>
      <c r="F35" s="240">
        <f>+'DEI Sales by Rate'!$M$54+'DEI Sales by Rate'!$W$54</f>
        <v>147056829.34999999</v>
      </c>
      <c r="G35" s="240">
        <f>+'DEI Sales by Rate'!$M$56+'DEI Sales by Rate'!$W$56</f>
        <v>23291317.09</v>
      </c>
      <c r="H35" s="240">
        <f>SUM(F35:G35)</f>
        <v>170348146.44</v>
      </c>
      <c r="I35" s="240"/>
      <c r="J35" s="240">
        <v>149030291.13779801</v>
      </c>
      <c r="K35" s="240">
        <f>+G35</f>
        <v>23291317.09</v>
      </c>
      <c r="L35" s="240">
        <v>489035.99116940447</v>
      </c>
      <c r="M35" s="240">
        <f t="shared" si="23"/>
        <v>172810644.21896741</v>
      </c>
      <c r="N35" s="240"/>
      <c r="O35" s="240" t="e">
        <v>#REF!</v>
      </c>
      <c r="P35" s="240" t="e">
        <v>#REF!</v>
      </c>
      <c r="Q35" s="240" t="e">
        <f>#REF!*#REF!</f>
        <v>#REF!</v>
      </c>
      <c r="R35" s="240" t="e">
        <f t="shared" si="24"/>
        <v>#REF!</v>
      </c>
      <c r="S35" s="238"/>
      <c r="T35" s="241" t="e">
        <f t="shared" si="25"/>
        <v>#REF!</v>
      </c>
      <c r="U35" s="251" t="e">
        <f t="shared" si="26"/>
        <v>#REF!</v>
      </c>
      <c r="V35" s="243">
        <f t="shared" si="27"/>
        <v>1973461.7877980173</v>
      </c>
      <c r="W35" s="243"/>
      <c r="X35" s="243" t="s">
        <v>111</v>
      </c>
      <c r="Y35" s="2">
        <f>+'DEI Sales by Rate'!$J$24</f>
        <v>1074521335</v>
      </c>
      <c r="Z35" s="255">
        <f>+'DEI Sales by Revenue'!$E$26</f>
        <v>7.8941884387797021E-2</v>
      </c>
      <c r="AA35" s="255">
        <v>0</v>
      </c>
      <c r="AB35" s="255">
        <f>+AA35-Z35</f>
        <v>-7.8941884387797021E-2</v>
      </c>
      <c r="AC35" s="119">
        <f>+AB35*Y35</f>
        <v>-84824738.999791309</v>
      </c>
      <c r="AD35" s="170">
        <v>141302684.92281729</v>
      </c>
    </row>
    <row r="36" spans="1:31" ht="15" x14ac:dyDescent="0.2">
      <c r="D36" s="237" t="s">
        <v>54</v>
      </c>
      <c r="F36" s="240">
        <f>+'DEI Sales by Rate'!$N$54</f>
        <v>156521083.40000001</v>
      </c>
      <c r="G36" s="240">
        <f>+'DEI Sales by Rate'!$N$56</f>
        <v>22887889.540000003</v>
      </c>
      <c r="H36" s="240">
        <f>SUM(F36:G36)</f>
        <v>179408972.94</v>
      </c>
      <c r="I36" s="240"/>
      <c r="J36" s="240">
        <v>149115514.16363299</v>
      </c>
      <c r="K36" s="240">
        <f>+G36</f>
        <v>22887889.540000003</v>
      </c>
      <c r="L36" s="240">
        <v>-195630.79545328105</v>
      </c>
      <c r="M36" s="240">
        <f t="shared" si="23"/>
        <v>171807772.9081797</v>
      </c>
      <c r="N36" s="240"/>
      <c r="O36" s="240" t="e">
        <v>#REF!</v>
      </c>
      <c r="P36" s="240" t="e">
        <v>#REF!</v>
      </c>
      <c r="Q36" s="240" t="e">
        <f>#REF!*#REF!</f>
        <v>#REF!</v>
      </c>
      <c r="R36" s="240" t="e">
        <f t="shared" si="24"/>
        <v>#REF!</v>
      </c>
      <c r="S36" s="238"/>
      <c r="T36" s="241" t="e">
        <f t="shared" si="25"/>
        <v>#REF!</v>
      </c>
      <c r="U36" s="251" t="e">
        <f t="shared" si="26"/>
        <v>#REF!</v>
      </c>
      <c r="V36" s="243">
        <f t="shared" si="27"/>
        <v>-7405569.236367017</v>
      </c>
      <c r="W36" s="243"/>
      <c r="X36" s="243" t="s">
        <v>30</v>
      </c>
      <c r="Y36" s="2">
        <f>+'DEI Sales by Rate'!$J$25</f>
        <v>78605901</v>
      </c>
      <c r="Z36" s="256">
        <f>+'DEI Sales by Revenue'!$F$26</f>
        <v>9.2538879156552886E-2</v>
      </c>
      <c r="AA36" s="255">
        <v>0</v>
      </c>
      <c r="AB36" s="255">
        <f>+AA36-Z36</f>
        <v>-9.2538879156552886E-2</v>
      </c>
      <c r="AC36" s="122">
        <f>+AB36*Y36</f>
        <v>-7274101.9736309601</v>
      </c>
      <c r="AD36" s="170">
        <v>147480557.67966029</v>
      </c>
    </row>
    <row r="37" spans="1:31" ht="15" x14ac:dyDescent="0.2">
      <c r="D37" s="237" t="s">
        <v>55</v>
      </c>
      <c r="F37" s="240">
        <f>+'DEI Sales by Rate'!$O$54</f>
        <v>330850368.36000001</v>
      </c>
      <c r="G37" s="240">
        <f>+'DEI Sales by Rate'!$O$56</f>
        <v>45190771.25</v>
      </c>
      <c r="H37" s="240">
        <f>SUM(F37:G37)</f>
        <v>376041139.61000001</v>
      </c>
      <c r="I37" s="245"/>
      <c r="J37" s="240">
        <v>325841862.76899397</v>
      </c>
      <c r="K37" s="245">
        <f>+G37</f>
        <v>45190771.25</v>
      </c>
      <c r="L37" s="245">
        <v>-869498.36220245692</v>
      </c>
      <c r="M37" s="245">
        <f t="shared" si="23"/>
        <v>370163135.65679151</v>
      </c>
      <c r="N37" s="245"/>
      <c r="O37" s="245" t="e">
        <v>#REF!</v>
      </c>
      <c r="P37" s="245" t="e">
        <v>#REF!</v>
      </c>
      <c r="Q37" s="245" t="e">
        <f>#REF!*#REF!</f>
        <v>#REF!</v>
      </c>
      <c r="R37" s="245" t="e">
        <f t="shared" si="24"/>
        <v>#REF!</v>
      </c>
      <c r="S37" s="238"/>
      <c r="T37" s="245" t="e">
        <f t="shared" si="25"/>
        <v>#REF!</v>
      </c>
      <c r="U37" s="251" t="e">
        <f t="shared" si="26"/>
        <v>#REF!</v>
      </c>
      <c r="V37" s="243">
        <f t="shared" si="27"/>
        <v>-5008505.5910060406</v>
      </c>
      <c r="W37" s="243"/>
      <c r="X37" s="243"/>
      <c r="AC37" s="124">
        <f>SUM(AC34:AC36)</f>
        <v>-92120001.974260375</v>
      </c>
      <c r="AD37" s="170">
        <v>318421266.87808543</v>
      </c>
    </row>
    <row r="38" spans="1:31" ht="15" x14ac:dyDescent="0.2">
      <c r="D38" s="237" t="s">
        <v>59</v>
      </c>
      <c r="F38" s="240">
        <f>+'DEI Sales by Rate'!$K$54</f>
        <v>9108966.6799999997</v>
      </c>
      <c r="G38" s="240">
        <f>+'DEI Sales by Rate'!$K$56</f>
        <v>1444739.0699999998</v>
      </c>
      <c r="H38" s="240">
        <f t="shared" ref="H38:H39" si="28">SUM(F38:G38)</f>
        <v>10553705.75</v>
      </c>
      <c r="I38" s="245"/>
      <c r="J38" s="240">
        <f>+F38</f>
        <v>9108966.6799999997</v>
      </c>
      <c r="K38" s="245"/>
      <c r="L38" s="245"/>
      <c r="M38" s="245"/>
      <c r="N38" s="245"/>
      <c r="O38" s="245"/>
      <c r="P38" s="245"/>
      <c r="Q38" s="245"/>
      <c r="R38" s="245"/>
      <c r="S38" s="238"/>
      <c r="T38" s="245"/>
      <c r="U38" s="251"/>
      <c r="V38" s="243">
        <f t="shared" si="27"/>
        <v>0</v>
      </c>
      <c r="W38" s="243"/>
      <c r="X38" s="243"/>
      <c r="AD38" s="193">
        <f>J38</f>
        <v>9108966.6799999997</v>
      </c>
      <c r="AE38" s="312" t="s">
        <v>116</v>
      </c>
    </row>
    <row r="39" spans="1:31" ht="17.25" x14ac:dyDescent="0.35">
      <c r="D39" s="237" t="s">
        <v>60</v>
      </c>
      <c r="F39" s="257">
        <f>+'DEI Sales by Rate'!$L$54</f>
        <v>64469.7</v>
      </c>
      <c r="G39" s="257">
        <f>+'DEI Sales by Rate'!$L$56</f>
        <v>7926.19</v>
      </c>
      <c r="H39" s="257">
        <f t="shared" si="28"/>
        <v>72395.89</v>
      </c>
      <c r="I39" s="245"/>
      <c r="J39" s="257">
        <f>+F39</f>
        <v>64469.7</v>
      </c>
      <c r="K39" s="245"/>
      <c r="L39" s="245"/>
      <c r="M39" s="245"/>
      <c r="N39" s="245"/>
      <c r="O39" s="245"/>
      <c r="P39" s="245"/>
      <c r="Q39" s="245"/>
      <c r="R39" s="245"/>
      <c r="S39" s="238"/>
      <c r="T39" s="245"/>
      <c r="U39" s="251"/>
      <c r="V39" s="246">
        <f t="shared" si="27"/>
        <v>0</v>
      </c>
      <c r="W39" s="243"/>
      <c r="X39" s="243"/>
      <c r="AD39" s="195">
        <f>J39</f>
        <v>64469.7</v>
      </c>
      <c r="AE39" s="312" t="s">
        <v>116</v>
      </c>
    </row>
    <row r="40" spans="1:31" ht="15" x14ac:dyDescent="0.2">
      <c r="D40" s="237" t="s">
        <v>8</v>
      </c>
      <c r="F40" s="241">
        <f>SUM(F33:F39)</f>
        <v>847888117.31999993</v>
      </c>
      <c r="G40" s="241">
        <f t="shared" ref="G40:H40" si="29">SUM(G33:G39)</f>
        <v>125053476.78999999</v>
      </c>
      <c r="H40" s="241">
        <f t="shared" si="29"/>
        <v>972941594.1099999</v>
      </c>
      <c r="I40" s="238"/>
      <c r="J40" s="241">
        <f>SUM(J33:J39)</f>
        <v>817034740.48718297</v>
      </c>
      <c r="K40" s="241">
        <f>SUM(K33:K37)</f>
        <v>123600811.53</v>
      </c>
      <c r="L40" s="241">
        <f>SUM(L33:L37)</f>
        <v>-484320.83323384915</v>
      </c>
      <c r="M40" s="241">
        <f>SUM(M33:M37)</f>
        <v>930977794.80394912</v>
      </c>
      <c r="N40" s="238"/>
      <c r="O40" s="241" t="e">
        <f>SUM(O33:O37)</f>
        <v>#REF!</v>
      </c>
      <c r="P40" s="241" t="e">
        <f>SUM(P33:P37)</f>
        <v>#REF!</v>
      </c>
      <c r="Q40" s="241" t="e">
        <f>SUM(Q33:Q37)</f>
        <v>#REF!</v>
      </c>
      <c r="R40" s="241" t="e">
        <f>SUM(R33:R37)</f>
        <v>#REF!</v>
      </c>
      <c r="S40" s="238"/>
      <c r="T40" s="241" t="e">
        <f>SUM(T33:T37)</f>
        <v>#REF!</v>
      </c>
      <c r="U40" s="251"/>
      <c r="V40" s="243">
        <f t="shared" si="27"/>
        <v>-30853376.832816958</v>
      </c>
      <c r="W40" s="243"/>
      <c r="X40" s="243"/>
      <c r="AD40" s="170">
        <f>SUM(AD33:AD39)</f>
        <v>789852730.96516478</v>
      </c>
    </row>
    <row r="41" spans="1:31" ht="15" x14ac:dyDescent="0.2">
      <c r="A41" s="247" t="s">
        <v>62</v>
      </c>
      <c r="B41" s="247"/>
      <c r="C41" s="247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</row>
    <row r="42" spans="1:31" ht="15" x14ac:dyDescent="0.2">
      <c r="D42" s="262" t="s">
        <v>61</v>
      </c>
      <c r="F42" s="240">
        <f>+'DEI Sales by Rate'!$AI$54</f>
        <v>16511590.439999999</v>
      </c>
      <c r="G42" s="240">
        <f>+'DEI Sales by Rate'!$AI$56</f>
        <v>2255754.12</v>
      </c>
      <c r="H42" s="240">
        <f>SUM(F42:G42)</f>
        <v>18767344.559999999</v>
      </c>
      <c r="I42" s="240"/>
      <c r="J42" s="240">
        <v>15556065.805095</v>
      </c>
      <c r="K42" s="240">
        <f>+G42</f>
        <v>2255754.12</v>
      </c>
      <c r="L42" s="240">
        <v>0</v>
      </c>
      <c r="M42" s="240">
        <f t="shared" ref="M42" si="30">SUM(J42:L42)</f>
        <v>17811819.925094999</v>
      </c>
      <c r="N42" s="240"/>
      <c r="O42" s="240">
        <f>+J42</f>
        <v>15556065.805095</v>
      </c>
      <c r="P42" s="240">
        <f>+K42</f>
        <v>2255754.12</v>
      </c>
      <c r="Q42" s="240" t="e">
        <f>#REF!*#REF!</f>
        <v>#REF!</v>
      </c>
      <c r="R42" s="240" t="e">
        <f>SUM(O42:Q42)</f>
        <v>#REF!</v>
      </c>
      <c r="S42" s="238"/>
      <c r="T42" s="241" t="e">
        <f>R42-M42</f>
        <v>#REF!</v>
      </c>
      <c r="U42" s="251" t="e">
        <f t="shared" ref="U42" si="31">T42/H42</f>
        <v>#REF!</v>
      </c>
      <c r="V42" s="243">
        <f>+J42-F42</f>
        <v>-955524.63490499929</v>
      </c>
      <c r="W42" s="243"/>
      <c r="X42" s="243"/>
      <c r="AD42" s="170">
        <v>16135769.521482585</v>
      </c>
    </row>
    <row r="43" spans="1:31" x14ac:dyDescent="0.2"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</row>
    <row r="44" spans="1:31" ht="15" x14ac:dyDescent="0.2">
      <c r="A44" s="247" t="s">
        <v>65</v>
      </c>
      <c r="B44" s="247"/>
      <c r="C44" s="247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</row>
    <row r="45" spans="1:31" ht="15" x14ac:dyDescent="0.2">
      <c r="A45" s="247"/>
      <c r="B45" s="247"/>
      <c r="C45" s="247"/>
      <c r="D45" s="263" t="s">
        <v>66</v>
      </c>
      <c r="F45" s="240">
        <f>+'DEI Sales by Rate'!$AJ$54</f>
        <v>586975.81999999995</v>
      </c>
      <c r="G45" s="240">
        <f>+'DEI Sales by Rate'!$AJ$56</f>
        <v>51259.61</v>
      </c>
      <c r="H45" s="240">
        <f>SUM(F45:G45)</f>
        <v>638235.42999999993</v>
      </c>
      <c r="I45" s="240"/>
      <c r="J45" s="240">
        <v>348066.55560199998</v>
      </c>
      <c r="K45" s="240">
        <f>+G45</f>
        <v>51259.61</v>
      </c>
      <c r="L45" s="240">
        <v>0</v>
      </c>
      <c r="M45" s="240">
        <f t="shared" ref="M45" si="32">SUM(J45:L45)</f>
        <v>399326.16560199996</v>
      </c>
      <c r="N45" s="240"/>
      <c r="O45" s="240">
        <f>+J45</f>
        <v>348066.55560199998</v>
      </c>
      <c r="P45" s="240">
        <f>+K45</f>
        <v>51259.61</v>
      </c>
      <c r="Q45" s="240" t="e">
        <f>#REF!*#REF!</f>
        <v>#REF!</v>
      </c>
      <c r="R45" s="240" t="e">
        <f t="shared" ref="R45" si="33">SUM(O45:Q45)</f>
        <v>#REF!</v>
      </c>
      <c r="S45" s="238"/>
      <c r="T45" s="241" t="e">
        <f>R45-M45</f>
        <v>#REF!</v>
      </c>
      <c r="U45" s="251" t="e">
        <f t="shared" ref="U45" si="34">T45/H45</f>
        <v>#REF!</v>
      </c>
      <c r="V45" s="243">
        <f>+J45-F45</f>
        <v>-238909.26439799997</v>
      </c>
      <c r="W45" s="243"/>
      <c r="X45" s="243"/>
      <c r="AD45" s="170">
        <v>348270.25941760611</v>
      </c>
    </row>
    <row r="46" spans="1:31" x14ac:dyDescent="0.2"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</row>
    <row r="47" spans="1:31" x14ac:dyDescent="0.2"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</row>
    <row r="48" spans="1:31" ht="15" x14ac:dyDescent="0.2">
      <c r="A48" s="247" t="s">
        <v>67</v>
      </c>
      <c r="B48" s="247"/>
      <c r="C48" s="247"/>
      <c r="D48" s="331" t="s">
        <v>68</v>
      </c>
      <c r="F48" s="240">
        <f>+'DEI Sales by Rate'!$AL$54</f>
        <v>374752.32</v>
      </c>
      <c r="G48" s="240">
        <f>+'DEI Sales by Rate'!$AL$56</f>
        <v>39190.310000000005</v>
      </c>
      <c r="H48" s="240">
        <f>SUM(F48:G48)</f>
        <v>413942.63</v>
      </c>
      <c r="I48" s="240"/>
      <c r="J48" s="240">
        <v>241536.68198399997</v>
      </c>
      <c r="K48" s="240">
        <f>+G48</f>
        <v>39190.310000000005</v>
      </c>
      <c r="L48" s="240">
        <v>0</v>
      </c>
      <c r="M48" s="240">
        <f t="shared" ref="M48" si="35">SUM(J48:L48)</f>
        <v>280726.99198399996</v>
      </c>
      <c r="N48" s="240"/>
      <c r="O48" s="240">
        <f>+J48</f>
        <v>241536.68198399997</v>
      </c>
      <c r="P48" s="240">
        <f>+K48</f>
        <v>39190.310000000005</v>
      </c>
      <c r="Q48" s="240" t="e">
        <f>#REF!*#REF!</f>
        <v>#REF!</v>
      </c>
      <c r="R48" s="240" t="e">
        <f t="shared" ref="R48" si="36">SUM(O48:Q48)</f>
        <v>#REF!</v>
      </c>
      <c r="S48" s="238"/>
      <c r="T48" s="241" t="e">
        <f t="shared" ref="T48" si="37">R48-M48</f>
        <v>#REF!</v>
      </c>
      <c r="U48" s="251" t="e">
        <f t="shared" ref="U48" si="38">T48/H48</f>
        <v>#REF!</v>
      </c>
      <c r="V48" s="243">
        <f>+J48-F48</f>
        <v>-133215.63801600004</v>
      </c>
      <c r="W48" s="243"/>
      <c r="X48" s="243"/>
      <c r="AD48" s="170">
        <v>256536.45325851277</v>
      </c>
    </row>
    <row r="49" spans="1:31" ht="15" x14ac:dyDescent="0.2">
      <c r="A49" s="247"/>
      <c r="B49" s="247"/>
      <c r="C49" s="247"/>
      <c r="D49" s="247" t="s">
        <v>8</v>
      </c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38"/>
      <c r="T49" s="241"/>
      <c r="U49" s="251"/>
    </row>
    <row r="50" spans="1:31" ht="15" x14ac:dyDescent="0.2">
      <c r="A50" s="247" t="s">
        <v>69</v>
      </c>
      <c r="B50" s="247"/>
      <c r="C50" s="247"/>
      <c r="D50" s="263" t="s">
        <v>70</v>
      </c>
      <c r="F50" s="240">
        <f>+'DEI Sales by Rate'!$AM$54</f>
        <v>400157.79</v>
      </c>
      <c r="G50" s="240">
        <f>+'DEI Sales by Rate'!$AM$56</f>
        <v>34945.110000000008</v>
      </c>
      <c r="H50" s="240">
        <f>SUM(F50:G50)</f>
        <v>435102.89999999997</v>
      </c>
      <c r="I50" s="240"/>
      <c r="J50" s="240">
        <v>437017.11849000002</v>
      </c>
      <c r="K50" s="240">
        <v>83845.799999999974</v>
      </c>
      <c r="L50" s="240">
        <v>0</v>
      </c>
      <c r="M50" s="240">
        <f t="shared" ref="M50" si="39">SUM(J50:L50)</f>
        <v>520862.91849000001</v>
      </c>
      <c r="N50" s="240"/>
      <c r="O50" s="240">
        <f>+J50</f>
        <v>437017.11849000002</v>
      </c>
      <c r="P50" s="240">
        <f>+K50</f>
        <v>83845.799999999974</v>
      </c>
      <c r="Q50" s="240" t="e">
        <f>#REF!*#REF!</f>
        <v>#REF!</v>
      </c>
      <c r="R50" s="240" t="e">
        <f t="shared" ref="R50" si="40">SUM(O50:Q50)</f>
        <v>#REF!</v>
      </c>
      <c r="S50" s="238"/>
      <c r="T50" s="241" t="e">
        <f>R50-M50</f>
        <v>#REF!</v>
      </c>
      <c r="U50" s="251" t="e">
        <f t="shared" ref="U50" si="41">T50/H50</f>
        <v>#REF!</v>
      </c>
      <c r="V50" s="243">
        <f>+J50-F50</f>
        <v>36859.328490000044</v>
      </c>
      <c r="W50" s="243"/>
      <c r="X50" s="243"/>
      <c r="AD50" s="170">
        <v>437029.82315489865</v>
      </c>
    </row>
    <row r="51" spans="1:31" ht="15" x14ac:dyDescent="0.2">
      <c r="D51" s="247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</row>
    <row r="52" spans="1:31" ht="15" x14ac:dyDescent="0.2">
      <c r="A52" s="247" t="s">
        <v>71</v>
      </c>
      <c r="B52" s="247"/>
      <c r="C52" s="247"/>
      <c r="D52" s="263" t="s">
        <v>72</v>
      </c>
      <c r="F52" s="240">
        <f>+'DEI Sales by Rate'!$AO$54</f>
        <v>484286.23</v>
      </c>
      <c r="G52" s="240">
        <f>+'DEI Sales by Rate'!$AO$56</f>
        <v>42291.909999999996</v>
      </c>
      <c r="H52" s="240">
        <f>SUM(F52:G52)</f>
        <v>526578.14</v>
      </c>
      <c r="I52" s="240"/>
      <c r="J52" s="240">
        <v>323958.38126400003</v>
      </c>
      <c r="K52" s="240">
        <f>+G52</f>
        <v>42291.909999999996</v>
      </c>
      <c r="L52" s="240">
        <v>0</v>
      </c>
      <c r="M52" s="240">
        <f t="shared" ref="M52" si="42">SUM(J52:L52)</f>
        <v>366250.291264</v>
      </c>
      <c r="N52" s="240"/>
      <c r="O52" s="240">
        <f>+J52</f>
        <v>323958.38126400003</v>
      </c>
      <c r="P52" s="240">
        <f>+K52</f>
        <v>42291.909999999996</v>
      </c>
      <c r="Q52" s="240" t="e">
        <f>#REF!*#REF!</f>
        <v>#REF!</v>
      </c>
      <c r="R52" s="240" t="e">
        <f t="shared" ref="R52" si="43">SUM(O52:Q52)</f>
        <v>#REF!</v>
      </c>
      <c r="S52" s="238"/>
      <c r="T52" s="241" t="e">
        <f>R52-M52</f>
        <v>#REF!</v>
      </c>
      <c r="U52" s="251" t="e">
        <f t="shared" ref="U52" si="44">T52/H52</f>
        <v>#REF!</v>
      </c>
      <c r="V52" s="243">
        <f>+J52-F52</f>
        <v>-160327.84873599996</v>
      </c>
      <c r="W52" s="243"/>
      <c r="X52" s="243"/>
      <c r="AD52" s="170">
        <v>323958.42261200934</v>
      </c>
    </row>
    <row r="53" spans="1:31" x14ac:dyDescent="0.2"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</row>
    <row r="54" spans="1:31" ht="15" x14ac:dyDescent="0.2">
      <c r="A54" s="247" t="s">
        <v>73</v>
      </c>
      <c r="B54" s="247"/>
      <c r="C54" s="247"/>
      <c r="D54" s="263" t="s">
        <v>74</v>
      </c>
      <c r="F54" s="240">
        <f>+'DEI Sales by Rate'!$AK$54</f>
        <v>41596.89</v>
      </c>
      <c r="G54" s="240">
        <f>+'DEI Sales by Rate'!$AK$56</f>
        <v>3632.5900000000006</v>
      </c>
      <c r="H54" s="240">
        <f>SUM(F54:G54)</f>
        <v>45229.48</v>
      </c>
      <c r="I54" s="240"/>
      <c r="J54" s="240">
        <v>27831.087579999999</v>
      </c>
      <c r="K54" s="240">
        <f>+G54</f>
        <v>3632.5900000000006</v>
      </c>
      <c r="L54" s="240">
        <v>0</v>
      </c>
      <c r="M54" s="240">
        <f t="shared" ref="M54" si="45">SUM(J54:L54)</f>
        <v>31463.67758</v>
      </c>
      <c r="N54" s="240"/>
      <c r="O54" s="240">
        <f>+J54</f>
        <v>27831.087579999999</v>
      </c>
      <c r="P54" s="240">
        <f>+K54</f>
        <v>3632.5900000000006</v>
      </c>
      <c r="Q54" s="240" t="e">
        <f>#REF!*#REF!</f>
        <v>#REF!</v>
      </c>
      <c r="R54" s="240" t="e">
        <f t="shared" ref="R54" si="46">SUM(O54:Q54)</f>
        <v>#REF!</v>
      </c>
      <c r="S54" s="238"/>
      <c r="T54" s="241" t="e">
        <f>R54-M54</f>
        <v>#REF!</v>
      </c>
      <c r="U54" s="251" t="e">
        <f t="shared" ref="U54" si="47">T54/H54</f>
        <v>#REF!</v>
      </c>
      <c r="V54" s="243">
        <f>+J54-F54</f>
        <v>-13765.80242</v>
      </c>
      <c r="W54" s="243"/>
      <c r="X54" s="243"/>
      <c r="AD54" s="170">
        <v>27831.512925691553</v>
      </c>
    </row>
    <row r="55" spans="1:31" x14ac:dyDescent="0.2"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</row>
    <row r="56" spans="1:31" ht="15" x14ac:dyDescent="0.2">
      <c r="A56" s="247" t="s">
        <v>75</v>
      </c>
      <c r="B56" s="247"/>
      <c r="C56" s="247"/>
      <c r="D56" s="263" t="s">
        <v>76</v>
      </c>
      <c r="F56" s="240">
        <f>+'DEI Sales by Rate'!$AN$54</f>
        <v>4777256.0199999996</v>
      </c>
      <c r="G56" s="240">
        <f>+'DEI Sales by Rate'!$AN$56</f>
        <v>417189.74000000005</v>
      </c>
      <c r="H56" s="240">
        <f>SUM(F56:G56)</f>
        <v>5194445.76</v>
      </c>
      <c r="I56" s="240"/>
      <c r="J56" s="240">
        <v>0</v>
      </c>
      <c r="K56" s="240" t="e">
        <f>#REF!*G56</f>
        <v>#REF!</v>
      </c>
      <c r="L56" s="240" t="e">
        <f>#REF!*#REF!</f>
        <v>#REF!</v>
      </c>
      <c r="M56" s="240" t="e">
        <f t="shared" ref="M56:M58" si="48">SUM(J56:L56)</f>
        <v>#REF!</v>
      </c>
      <c r="N56" s="240"/>
      <c r="O56" s="240">
        <f>+J56</f>
        <v>0</v>
      </c>
      <c r="P56" s="240" t="e">
        <f>+K56</f>
        <v>#REF!</v>
      </c>
      <c r="Q56" s="240" t="e">
        <f>#REF!*#REF!</f>
        <v>#REF!</v>
      </c>
      <c r="R56" s="240" t="e">
        <f t="shared" ref="R56:R58" si="49">SUM(O56:Q56)</f>
        <v>#REF!</v>
      </c>
      <c r="S56" s="238"/>
      <c r="T56" s="241" t="e">
        <f>R56-M56</f>
        <v>#REF!</v>
      </c>
      <c r="U56" s="251" t="e">
        <f t="shared" ref="U56:U58" si="50">T56/H56</f>
        <v>#REF!</v>
      </c>
      <c r="V56" s="243">
        <f>+J56-F56</f>
        <v>-4777256.0199999996</v>
      </c>
      <c r="W56" s="243"/>
      <c r="X56" s="243"/>
      <c r="AD56" s="170">
        <v>2376030.0494678807</v>
      </c>
      <c r="AE56" s="312" t="s">
        <v>117</v>
      </c>
    </row>
    <row r="57" spans="1:31" ht="15" x14ac:dyDescent="0.2">
      <c r="A57" s="247"/>
      <c r="B57" s="247"/>
      <c r="C57" s="247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</row>
    <row r="58" spans="1:31" ht="15" x14ac:dyDescent="0.2">
      <c r="A58" s="126" t="s">
        <v>78</v>
      </c>
      <c r="D58" s="331" t="s">
        <v>79</v>
      </c>
      <c r="F58" s="240">
        <f>+'DEI Sales by Rate'!$AR$54</f>
        <v>531080.54</v>
      </c>
      <c r="G58" s="240">
        <f>+'DEI Sales by Rate'!$AR$56</f>
        <v>47287.96</v>
      </c>
      <c r="H58" s="240">
        <f>SUM(F58:G58)</f>
        <v>578368.5</v>
      </c>
      <c r="I58" s="240"/>
      <c r="J58" s="240">
        <v>789685.91918812948</v>
      </c>
      <c r="K58" s="240">
        <f>+G58</f>
        <v>47287.96</v>
      </c>
      <c r="L58" s="240">
        <v>0</v>
      </c>
      <c r="M58" s="240">
        <f t="shared" si="48"/>
        <v>836973.87918812945</v>
      </c>
      <c r="N58" s="240"/>
      <c r="O58" s="240">
        <f>+J58</f>
        <v>789685.91918812948</v>
      </c>
      <c r="P58" s="240">
        <f>+K58</f>
        <v>47287.96</v>
      </c>
      <c r="Q58" s="240" t="e">
        <f>#REF!*#REF!</f>
        <v>#REF!</v>
      </c>
      <c r="R58" s="240" t="e">
        <f t="shared" si="49"/>
        <v>#REF!</v>
      </c>
      <c r="S58" s="238"/>
      <c r="T58" s="241" t="e">
        <f>R58-M58</f>
        <v>#REF!</v>
      </c>
      <c r="U58" s="251" t="e">
        <f t="shared" si="50"/>
        <v>#REF!</v>
      </c>
      <c r="V58" s="243">
        <f>+J58-F58</f>
        <v>258605.37918812945</v>
      </c>
      <c r="W58" s="243"/>
      <c r="X58" s="243"/>
      <c r="AD58" s="170">
        <v>281689.67280233826</v>
      </c>
      <c r="AE58" s="312" t="s">
        <v>118</v>
      </c>
    </row>
    <row r="59" spans="1:31" x14ac:dyDescent="0.2"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</row>
    <row r="60" spans="1:31" s="266" customFormat="1" ht="75" x14ac:dyDescent="0.2">
      <c r="A60" s="264" t="s">
        <v>80</v>
      </c>
      <c r="B60" s="264"/>
      <c r="C60" s="264"/>
      <c r="D60" s="265" t="s">
        <v>81</v>
      </c>
      <c r="F60" s="267">
        <f>+'DEI Sales by Rate'!$AP$54</f>
        <v>11852918.59</v>
      </c>
      <c r="G60" s="267">
        <f>+'DEI Sales by Rate'!$AP$56</f>
        <v>1073320.2500000002</v>
      </c>
      <c r="H60" s="267">
        <f>SUM(F60:G60)</f>
        <v>12926238.84</v>
      </c>
      <c r="I60" s="267"/>
      <c r="J60" s="267">
        <v>7.3298000000000002E-2</v>
      </c>
      <c r="K60" s="267">
        <f>+G60</f>
        <v>1073320.2500000002</v>
      </c>
      <c r="L60" s="267">
        <v>0</v>
      </c>
      <c r="M60" s="267">
        <f t="shared" ref="M60" si="51">SUM(J60:L60)</f>
        <v>1073320.3232980003</v>
      </c>
      <c r="N60" s="267"/>
      <c r="O60" s="267">
        <f>+J60</f>
        <v>7.3298000000000002E-2</v>
      </c>
      <c r="P60" s="267">
        <f>+K60</f>
        <v>1073320.2500000002</v>
      </c>
      <c r="Q60" s="267" t="e">
        <f>#REF!*#REF!</f>
        <v>#REF!</v>
      </c>
      <c r="R60" s="267" t="e">
        <f t="shared" ref="R60" si="52">SUM(O60:Q60)</f>
        <v>#REF!</v>
      </c>
      <c r="S60" s="268"/>
      <c r="T60" s="269" t="e">
        <f>R60-M60</f>
        <v>#REF!</v>
      </c>
      <c r="U60" s="270" t="e">
        <f t="shared" ref="U60" si="53">T60/H60</f>
        <v>#REF!</v>
      </c>
      <c r="V60" s="271">
        <f>+J60-F60</f>
        <v>-11852918.516702</v>
      </c>
      <c r="W60" s="271"/>
      <c r="X60" s="271"/>
      <c r="AD60" s="207">
        <v>6415614.956638637</v>
      </c>
      <c r="AE60" s="312" t="s">
        <v>8</v>
      </c>
    </row>
    <row r="61" spans="1:31" s="266" customFormat="1" ht="15" x14ac:dyDescent="0.2">
      <c r="A61" s="264"/>
      <c r="B61" s="264"/>
      <c r="C61" s="264"/>
      <c r="D61" s="272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8"/>
      <c r="T61" s="269"/>
      <c r="U61" s="270"/>
      <c r="V61"/>
      <c r="W61"/>
      <c r="X61"/>
      <c r="AD61"/>
    </row>
    <row r="62" spans="1:31" s="266" customFormat="1" ht="15" x14ac:dyDescent="0.2">
      <c r="A62" s="264" t="s">
        <v>83</v>
      </c>
      <c r="B62" s="264"/>
      <c r="C62" s="264"/>
      <c r="D62" s="265" t="s">
        <v>83</v>
      </c>
      <c r="F62" s="273">
        <f>+'DEI Sales by Rate'!$AQ$54</f>
        <v>2463.7000000026892</v>
      </c>
      <c r="G62" s="267">
        <f>+'DEI Sales by Rate'!$AQ$56</f>
        <v>215.16000000000003</v>
      </c>
      <c r="H62" s="267">
        <f>SUM(F62:G62)</f>
        <v>2678.860000002689</v>
      </c>
      <c r="I62" s="267"/>
      <c r="J62" s="273">
        <v>1646.8991040000001</v>
      </c>
      <c r="K62" s="267">
        <f>+G62</f>
        <v>215.16000000000003</v>
      </c>
      <c r="L62" s="267">
        <v>0</v>
      </c>
      <c r="M62" s="267">
        <f>SUM(J62:L62)</f>
        <v>1862.0591040000002</v>
      </c>
      <c r="N62" s="267"/>
      <c r="O62" s="267">
        <f>+J62</f>
        <v>1646.8991040000001</v>
      </c>
      <c r="P62" s="267">
        <f>+K62</f>
        <v>215.16000000000003</v>
      </c>
      <c r="Q62" s="267">
        <f>+L62</f>
        <v>0</v>
      </c>
      <c r="R62" s="240">
        <f t="shared" ref="R62" si="54">SUM(O62:Q62)</f>
        <v>1862.0591040000002</v>
      </c>
      <c r="S62" s="238"/>
      <c r="T62" s="241">
        <f>R62-M62</f>
        <v>0</v>
      </c>
      <c r="U62" s="251">
        <f t="shared" ref="U62" si="55">T62/H62</f>
        <v>0</v>
      </c>
      <c r="V62" s="246">
        <f>+J62-F62</f>
        <v>-816.80089600268911</v>
      </c>
      <c r="W62" s="243"/>
      <c r="X62" s="243"/>
      <c r="AD62" s="207">
        <v>1646.8991040000001</v>
      </c>
    </row>
    <row r="63" spans="1:31" ht="15" x14ac:dyDescent="0.2">
      <c r="A63" s="264"/>
      <c r="B63" s="264"/>
      <c r="C63" s="264"/>
      <c r="D63" s="274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</row>
    <row r="64" spans="1:31" ht="15.75" x14ac:dyDescent="0.25">
      <c r="A64" s="264"/>
      <c r="B64" s="264"/>
      <c r="C64" s="264"/>
      <c r="D64" s="274" t="s">
        <v>63</v>
      </c>
      <c r="F64" s="275">
        <f>+F72-F69</f>
        <v>2684012000</v>
      </c>
      <c r="G64" s="238"/>
      <c r="H64" s="238"/>
      <c r="I64" s="238"/>
      <c r="J64" s="275">
        <f>+J72-J69</f>
        <v>2061250071.4649148</v>
      </c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41">
        <f>+J64-F64</f>
        <v>-622761928.5350852</v>
      </c>
      <c r="X64" s="105">
        <f>+V64/F64</f>
        <v>-0.23202650678725922</v>
      </c>
      <c r="AD64" s="210">
        <f>AD13+AD14+AD18+AD19+AD20+AD21+AD22+AD25+AD26+AD27+AD28+AD29+AD30+AD33+AD34+AD35+AD36+AD37+AD38+AD39+AD42+AD45+AD48+AD50+AD52+AD54+AD56+AD58+AD60+AD62</f>
        <v>2685535223.6896615</v>
      </c>
      <c r="AE64" s="120">
        <f>C18-AD64</f>
        <v>34211776.310338497</v>
      </c>
    </row>
    <row r="65" spans="1:31" ht="15" x14ac:dyDescent="0.2">
      <c r="A65" s="264" t="s">
        <v>119</v>
      </c>
      <c r="B65" s="264"/>
      <c r="C65" s="264"/>
    </row>
    <row r="66" spans="1:31" ht="15" x14ac:dyDescent="0.2">
      <c r="A66" s="264"/>
      <c r="B66" s="264"/>
      <c r="C66" s="264"/>
      <c r="D66" s="274" t="s">
        <v>84</v>
      </c>
      <c r="F66" s="240">
        <v>101488000</v>
      </c>
      <c r="G66" s="240">
        <f>+'DEI Sales by Rate'!$Y$56+'DEI Sales by Rate'!$Z$56+'DEI Sales by Rate'!$AA$56+'DEI Sales by Rate'!$AB$56</f>
        <v>0</v>
      </c>
      <c r="H66" s="267">
        <f>SUM(F66:G66)</f>
        <v>101488000</v>
      </c>
      <c r="I66" s="240"/>
      <c r="J66" s="240">
        <v>86328000</v>
      </c>
      <c r="K66" s="240" t="e">
        <f>#REF!*G66</f>
        <v>#REF!</v>
      </c>
      <c r="L66" s="240" t="e">
        <f>#REF!*#REF!</f>
        <v>#REF!</v>
      </c>
      <c r="M66" s="240" t="e">
        <f t="shared" ref="M66:M68" si="56">SUM(J66:L66)</f>
        <v>#REF!</v>
      </c>
      <c r="N66" s="240"/>
      <c r="O66" s="240">
        <f t="shared" ref="O66:P68" si="57">+J66</f>
        <v>86328000</v>
      </c>
      <c r="P66" s="240" t="e">
        <f t="shared" si="57"/>
        <v>#REF!</v>
      </c>
      <c r="Q66" s="240" t="e">
        <f>#REF!*#REF!</f>
        <v>#REF!</v>
      </c>
      <c r="R66" s="240" t="e">
        <f t="shared" ref="R66:R67" si="58">SUM(O66:Q66)</f>
        <v>#REF!</v>
      </c>
      <c r="S66" s="238"/>
      <c r="T66" s="241" t="e">
        <f t="shared" ref="T66:T68" si="59">R66-M66</f>
        <v>#REF!</v>
      </c>
      <c r="U66" s="251" t="e">
        <f t="shared" ref="U66:U68" si="60">T66/H66</f>
        <v>#REF!</v>
      </c>
      <c r="V66" s="243">
        <f>+J66-F66</f>
        <v>-15160000</v>
      </c>
      <c r="W66" s="243"/>
      <c r="X66" s="243"/>
      <c r="AD66" s="210">
        <v>69414000</v>
      </c>
    </row>
    <row r="67" spans="1:31" ht="15" x14ac:dyDescent="0.2">
      <c r="A67" s="264"/>
      <c r="B67" s="264"/>
      <c r="C67" s="264"/>
      <c r="D67" s="274" t="s">
        <v>85</v>
      </c>
      <c r="F67" s="240">
        <v>9966000</v>
      </c>
      <c r="G67" s="240">
        <v>3636149</v>
      </c>
      <c r="H67" s="267">
        <f>SUM(F67:G67)</f>
        <v>13602149</v>
      </c>
      <c r="I67" s="240"/>
      <c r="J67" s="276">
        <v>9966000</v>
      </c>
      <c r="K67" s="240" t="e">
        <f>#REF!*G67</f>
        <v>#REF!</v>
      </c>
      <c r="L67" s="240" t="e">
        <f>#REF!*#REF!</f>
        <v>#REF!</v>
      </c>
      <c r="M67" s="240" t="e">
        <f t="shared" si="56"/>
        <v>#REF!</v>
      </c>
      <c r="N67" s="240"/>
      <c r="O67" s="240">
        <f t="shared" si="57"/>
        <v>9966000</v>
      </c>
      <c r="P67" s="240" t="e">
        <f t="shared" si="57"/>
        <v>#REF!</v>
      </c>
      <c r="Q67" s="240" t="e">
        <f>#REF!*#REF!</f>
        <v>#REF!</v>
      </c>
      <c r="R67" s="240" t="e">
        <f t="shared" si="58"/>
        <v>#REF!</v>
      </c>
      <c r="S67" s="238"/>
      <c r="T67" s="241" t="e">
        <f t="shared" si="59"/>
        <v>#REF!</v>
      </c>
      <c r="U67" s="251" t="e">
        <f t="shared" si="60"/>
        <v>#REF!</v>
      </c>
      <c r="V67" s="243">
        <f>+J67-F67</f>
        <v>0</v>
      </c>
      <c r="W67" s="243"/>
      <c r="X67" s="243"/>
      <c r="AD67" s="210">
        <v>9967000</v>
      </c>
    </row>
    <row r="68" spans="1:31" ht="17.25" x14ac:dyDescent="0.35">
      <c r="A68" s="264"/>
      <c r="B68" s="264"/>
      <c r="C68" s="264"/>
      <c r="D68" s="274" t="s">
        <v>86</v>
      </c>
      <c r="F68" s="257">
        <v>9631000</v>
      </c>
      <c r="G68" s="257">
        <f>+'DEI Sales by Rate'!$AC$56+'DEI Sales by Rate'!$AD$56</f>
        <v>0</v>
      </c>
      <c r="H68" s="257">
        <f>SUM(F68:G68)</f>
        <v>9631000</v>
      </c>
      <c r="I68" s="240"/>
      <c r="J68" s="257">
        <v>9631000</v>
      </c>
      <c r="K68" s="240" t="e">
        <f>#REF!*G68</f>
        <v>#REF!</v>
      </c>
      <c r="L68" s="240" t="e">
        <f>#REF!*#REF!</f>
        <v>#REF!</v>
      </c>
      <c r="M68" s="240" t="e">
        <f t="shared" si="56"/>
        <v>#REF!</v>
      </c>
      <c r="N68" s="240"/>
      <c r="O68" s="240">
        <f t="shared" si="57"/>
        <v>9631000</v>
      </c>
      <c r="P68" s="240" t="e">
        <f t="shared" si="57"/>
        <v>#REF!</v>
      </c>
      <c r="Q68" s="240" t="e">
        <f>#REF!*#REF!</f>
        <v>#REF!</v>
      </c>
      <c r="R68" s="240" t="e">
        <f t="shared" ref="R68" si="61">SUM(O68:Q68)</f>
        <v>#REF!</v>
      </c>
      <c r="S68" s="238"/>
      <c r="T68" s="241" t="e">
        <f t="shared" si="59"/>
        <v>#REF!</v>
      </c>
      <c r="U68" s="251" t="e">
        <f t="shared" si="60"/>
        <v>#REF!</v>
      </c>
      <c r="V68" s="246">
        <f>+J68-F68</f>
        <v>0</v>
      </c>
      <c r="W68" s="243"/>
      <c r="X68" s="243"/>
      <c r="AD68" s="311">
        <v>9632000</v>
      </c>
    </row>
    <row r="69" spans="1:31" ht="15" x14ac:dyDescent="0.2">
      <c r="A69" s="264"/>
      <c r="B69" s="264"/>
      <c r="C69" s="264"/>
      <c r="D69" s="274"/>
      <c r="F69" s="240">
        <f>SUM(F66:F68)</f>
        <v>121085000</v>
      </c>
      <c r="G69" s="240">
        <f>SUM(G66:G68)</f>
        <v>3636149</v>
      </c>
      <c r="H69" s="240">
        <f>SUM(H66:H68)</f>
        <v>124721149</v>
      </c>
      <c r="I69" s="240"/>
      <c r="J69" s="240">
        <f>SUM(J66:J68)</f>
        <v>105925000</v>
      </c>
      <c r="K69" s="240" t="e">
        <f>SUM(K66:K68)</f>
        <v>#REF!</v>
      </c>
      <c r="L69" s="240" t="e">
        <f>SUM(L66:L68)</f>
        <v>#REF!</v>
      </c>
      <c r="M69" s="240" t="e">
        <f>SUM(M66:M68)</f>
        <v>#REF!</v>
      </c>
      <c r="N69" s="240"/>
      <c r="O69" s="240">
        <f>SUM(O66:O68)</f>
        <v>105925000</v>
      </c>
      <c r="P69" s="240" t="e">
        <f>SUM(P66:P68)</f>
        <v>#REF!</v>
      </c>
      <c r="Q69" s="240" t="e">
        <f>SUM(Q66:Q68)</f>
        <v>#REF!</v>
      </c>
      <c r="R69" s="240" t="e">
        <f>SUM(R66:R68)</f>
        <v>#REF!</v>
      </c>
      <c r="S69" s="238"/>
      <c r="T69" s="241" t="e">
        <f>SUM(T66:T68)</f>
        <v>#REF!</v>
      </c>
      <c r="U69" s="251"/>
      <c r="V69" s="240">
        <f>SUM(V66:V68)</f>
        <v>-15160000</v>
      </c>
      <c r="W69" s="240"/>
      <c r="X69" s="240"/>
      <c r="AD69" s="170">
        <f>AD66+AD67+AD68</f>
        <v>89013000</v>
      </c>
    </row>
    <row r="70" spans="1:31" ht="15" x14ac:dyDescent="0.2">
      <c r="A70" s="264"/>
      <c r="B70" s="264"/>
      <c r="C70" s="264"/>
      <c r="D70" s="274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38"/>
      <c r="T70" s="241"/>
      <c r="U70" s="251"/>
      <c r="V70" s="238"/>
      <c r="W70" s="238"/>
      <c r="X70" s="238"/>
      <c r="AD70" s="67"/>
    </row>
    <row r="71" spans="1:31" ht="15" x14ac:dyDescent="0.2">
      <c r="A71" s="264"/>
      <c r="B71" s="264"/>
      <c r="C71" s="264"/>
      <c r="D71" s="274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38"/>
      <c r="T71" s="241"/>
      <c r="U71" s="251"/>
      <c r="V71" s="238"/>
      <c r="W71" s="238"/>
      <c r="X71" s="238"/>
    </row>
    <row r="72" spans="1:31" ht="15.75" x14ac:dyDescent="0.25">
      <c r="E72" s="277" t="s">
        <v>120</v>
      </c>
      <c r="F72" s="275">
        <f>F15+F23+F31+F40+F42+F45+F50+F52+F54+F56+F60+F69+F58+F48+F62</f>
        <v>2805097000</v>
      </c>
      <c r="G72" s="275">
        <f>G15+G23+G31+G40+G42+G45+G50+G52+G54+G56+G60+G69+G58+G48+G62</f>
        <v>332191149.00000006</v>
      </c>
      <c r="H72" s="275">
        <f>H15+H23+H31+H40+H42+H45+H50+H52+H54+H56+H60+H69+H58+H48+H62</f>
        <v>3137288149</v>
      </c>
      <c r="I72" s="275" t="s">
        <v>8</v>
      </c>
      <c r="J72" s="275">
        <f>J15+J23+J31+J40+J42+J45+J50+J52+J54+J56+J60+J69+J58+J48+J62</f>
        <v>2167175071.4649148</v>
      </c>
      <c r="K72" s="275" t="e">
        <f>K15+K23+K31+K40+K42+K45+K50+K52+K54+K56+K60+K69+K58+K48+K62</f>
        <v>#REF!</v>
      </c>
      <c r="L72" s="275" t="e">
        <f>L15+L23+L31+L40+L42+L45+L50+L52+L54+L56+L60+L69+L58+L48+L62</f>
        <v>#REF!</v>
      </c>
      <c r="M72" s="275" t="e">
        <f>M15+M23+M31+M40+M42+M45+M50+M52+M54+M56+M60+M69+M58+M48+M62</f>
        <v>#REF!</v>
      </c>
      <c r="N72" s="275" t="s">
        <v>8</v>
      </c>
      <c r="O72" s="275" t="e">
        <f>O15+O23+O31+O40+O42+O45+O50+O52+O54+O56+O60+O69+O58+O48+O62</f>
        <v>#REF!</v>
      </c>
      <c r="P72" s="275" t="e">
        <f>P15+P23+P31+P40+P42+P45+P50+P52+P54+P56+P60+P69+P58+P48+P62</f>
        <v>#REF!</v>
      </c>
      <c r="Q72" s="275" t="e">
        <f>Q15+Q23+Q31+Q40+Q42+Q45+Q50+Q52+Q54+Q56+Q60+Q69+Q58+Q48+Q62</f>
        <v>#REF!</v>
      </c>
      <c r="R72" s="275" t="e">
        <f>R15+R23+R31+R40+R42+R45+R50+R52+R54+R56+R60+R69+R58+R48+R62</f>
        <v>#REF!</v>
      </c>
      <c r="S72" s="275" t="s">
        <v>8</v>
      </c>
      <c r="T72" s="275" t="e">
        <f>T15+T23+T31+T40+T42+T45+T50+T52+T54+T56+T60+T69+T58+T48+T62</f>
        <v>#REF!</v>
      </c>
      <c r="U72" s="251" t="e">
        <f t="shared" ref="U72" si="62">T72/H72</f>
        <v>#REF!</v>
      </c>
      <c r="V72" s="275">
        <f>+J72-F72</f>
        <v>-637921928.5350852</v>
      </c>
      <c r="W72" s="241"/>
      <c r="X72" s="241"/>
      <c r="Y72" s="278" t="s">
        <v>8</v>
      </c>
      <c r="AD72" s="170">
        <f>AD64+AD69</f>
        <v>2774548223.6896615</v>
      </c>
      <c r="AE72" s="313" t="s">
        <v>121</v>
      </c>
    </row>
    <row r="73" spans="1:31" ht="15.75" x14ac:dyDescent="0.25">
      <c r="E73" s="277"/>
      <c r="F73" s="275"/>
      <c r="G73" s="275"/>
      <c r="H73" s="275"/>
      <c r="I73" s="275"/>
      <c r="J73" s="275"/>
      <c r="K73" s="275" t="s">
        <v>8</v>
      </c>
      <c r="L73" s="275"/>
      <c r="M73" s="275"/>
      <c r="N73" s="275"/>
      <c r="O73" s="275"/>
      <c r="P73" s="275"/>
      <c r="Q73" s="275"/>
      <c r="R73" s="275"/>
      <c r="S73" s="279"/>
      <c r="T73" s="275"/>
      <c r="U73" s="280"/>
      <c r="V73" s="238"/>
      <c r="W73" s="238"/>
      <c r="X73" s="238"/>
    </row>
    <row r="74" spans="1:31" ht="15.75" hidden="1" x14ac:dyDescent="0.25">
      <c r="E74" s="277"/>
      <c r="F74" s="275"/>
      <c r="G74" s="275"/>
      <c r="H74" s="275"/>
      <c r="I74" s="275"/>
      <c r="J74" s="275"/>
      <c r="K74" s="275">
        <f>K15</f>
        <v>115862763.19000001</v>
      </c>
      <c r="L74" s="281" t="s">
        <v>109</v>
      </c>
      <c r="M74" s="275"/>
      <c r="N74" s="275"/>
      <c r="O74" s="275"/>
      <c r="P74" s="275"/>
      <c r="Q74" s="275"/>
      <c r="R74" s="275"/>
      <c r="S74" s="279"/>
      <c r="T74" s="275"/>
      <c r="U74" s="280"/>
      <c r="V74" s="238"/>
      <c r="W74" s="238"/>
      <c r="X74" s="238"/>
    </row>
    <row r="75" spans="1:31" ht="15.75" hidden="1" x14ac:dyDescent="0.25">
      <c r="A75" s="282" t="s">
        <v>78</v>
      </c>
      <c r="B75" s="283"/>
      <c r="C75" s="283"/>
      <c r="D75" s="284" t="s">
        <v>122</v>
      </c>
      <c r="F75" s="238"/>
      <c r="G75" s="238"/>
      <c r="H75" s="238"/>
      <c r="I75" s="238"/>
      <c r="J75" s="238"/>
      <c r="K75" s="275" t="s">
        <v>8</v>
      </c>
      <c r="L75" s="285"/>
      <c r="M75" s="238"/>
      <c r="N75" s="238"/>
      <c r="O75" s="238"/>
      <c r="P75" s="238"/>
      <c r="Q75" s="238"/>
      <c r="R75" s="238"/>
      <c r="S75" s="238"/>
      <c r="T75" s="328" t="s">
        <v>123</v>
      </c>
      <c r="U75" s="328" t="s">
        <v>124</v>
      </c>
      <c r="V75" s="328" t="s">
        <v>125</v>
      </c>
      <c r="W75" s="328"/>
      <c r="X75" s="328"/>
      <c r="Y75" s="328" t="s">
        <v>30</v>
      </c>
      <c r="Z75" s="286" t="s">
        <v>126</v>
      </c>
    </row>
    <row r="76" spans="1:31" ht="15.75" hidden="1" x14ac:dyDescent="0.25">
      <c r="A76" s="287"/>
      <c r="D76" s="288"/>
      <c r="F76" s="238"/>
      <c r="G76" s="238"/>
      <c r="H76" s="238"/>
      <c r="I76" s="238"/>
      <c r="J76" s="238"/>
      <c r="K76" s="275" t="e">
        <f>K72-K74</f>
        <v>#REF!</v>
      </c>
      <c r="L76" s="285" t="s">
        <v>127</v>
      </c>
      <c r="M76" s="238"/>
      <c r="N76" s="238"/>
      <c r="O76" s="238"/>
      <c r="S76" s="238"/>
      <c r="T76" s="238"/>
      <c r="U76" s="238"/>
      <c r="V76" s="238"/>
      <c r="W76" s="238"/>
      <c r="X76" s="238"/>
    </row>
    <row r="77" spans="1:31" ht="15" hidden="1" x14ac:dyDescent="0.2">
      <c r="A77" s="289" t="s">
        <v>128</v>
      </c>
      <c r="B77" s="247"/>
      <c r="C77" s="247"/>
      <c r="D77" s="290" t="s">
        <v>122</v>
      </c>
      <c r="F77" s="238"/>
      <c r="G77" s="238"/>
      <c r="H77" s="238"/>
      <c r="I77" s="238"/>
      <c r="J77" s="291" t="s">
        <v>6</v>
      </c>
      <c r="K77" s="238"/>
      <c r="L77" s="238"/>
      <c r="M77" s="238"/>
      <c r="N77" s="238"/>
      <c r="O77" s="238"/>
      <c r="P77" s="292">
        <f>R77*1000</f>
        <v>350131000</v>
      </c>
      <c r="Q77" s="293" t="s">
        <v>129</v>
      </c>
      <c r="R77" s="294">
        <v>350131</v>
      </c>
      <c r="S77" s="238"/>
      <c r="T77" s="238"/>
      <c r="U77" s="238"/>
      <c r="V77" s="238"/>
      <c r="W77" s="238"/>
      <c r="X77" s="238"/>
    </row>
    <row r="78" spans="1:31" hidden="1" x14ac:dyDescent="0.2">
      <c r="A78" s="287"/>
      <c r="D78" s="28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92">
        <f>R78*1000</f>
        <v>2923000</v>
      </c>
      <c r="Q78" s="293" t="s">
        <v>130</v>
      </c>
      <c r="R78" s="294">
        <v>2923</v>
      </c>
      <c r="S78" s="238"/>
      <c r="T78" s="238"/>
      <c r="U78" s="238"/>
      <c r="V78" s="238"/>
      <c r="W78" s="238"/>
      <c r="X78" s="238"/>
    </row>
    <row r="79" spans="1:31" ht="15" hidden="1" x14ac:dyDescent="0.2">
      <c r="A79" s="289" t="s">
        <v>131</v>
      </c>
      <c r="B79" s="247"/>
      <c r="C79" s="247"/>
      <c r="D79" s="290" t="s">
        <v>122</v>
      </c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92">
        <f>R79*1000</f>
        <v>17867000</v>
      </c>
      <c r="Q79" s="293" t="s">
        <v>132</v>
      </c>
      <c r="R79" s="294">
        <v>17867</v>
      </c>
      <c r="S79" s="238"/>
      <c r="T79" s="238"/>
      <c r="U79" s="238"/>
      <c r="V79" s="238"/>
      <c r="W79" s="238"/>
      <c r="X79" s="238"/>
    </row>
    <row r="80" spans="1:31" ht="15" hidden="1" x14ac:dyDescent="0.2">
      <c r="A80" s="289"/>
      <c r="B80" s="247"/>
      <c r="C80" s="247"/>
      <c r="D80" s="290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92">
        <f>(R80*1000)</f>
        <v>76817000</v>
      </c>
      <c r="Q80" s="293" t="s">
        <v>133</v>
      </c>
      <c r="R80" s="294">
        <v>76817</v>
      </c>
      <c r="S80" s="238"/>
      <c r="T80" s="238"/>
      <c r="U80" s="238"/>
      <c r="V80" s="238"/>
      <c r="W80" s="238"/>
      <c r="X80" s="238"/>
    </row>
    <row r="81" spans="1:30" hidden="1" x14ac:dyDescent="0.2">
      <c r="A81" s="287"/>
      <c r="D81" s="28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92">
        <f t="shared" ref="P81:P88" si="63">R81*1000</f>
        <v>151096000</v>
      </c>
      <c r="Q81" s="293" t="s">
        <v>134</v>
      </c>
      <c r="R81" s="294">
        <v>151096</v>
      </c>
      <c r="S81" s="238"/>
      <c r="T81" s="238"/>
      <c r="U81" s="238"/>
      <c r="V81" s="238"/>
      <c r="W81" s="238"/>
      <c r="X81" s="238"/>
    </row>
    <row r="82" spans="1:30" ht="15.75" hidden="1" thickBot="1" x14ac:dyDescent="0.25">
      <c r="A82" s="295" t="s">
        <v>135</v>
      </c>
      <c r="B82" s="296"/>
      <c r="C82" s="296"/>
      <c r="D82" s="297" t="s">
        <v>122</v>
      </c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92">
        <f t="shared" si="63"/>
        <v>330154000</v>
      </c>
      <c r="Q82" s="293" t="s">
        <v>136</v>
      </c>
      <c r="R82" s="294">
        <v>330154</v>
      </c>
      <c r="S82" s="238"/>
      <c r="T82" s="238"/>
      <c r="U82" s="238"/>
      <c r="V82" s="238"/>
      <c r="W82" s="238"/>
      <c r="X82" s="238"/>
    </row>
    <row r="83" spans="1:30" hidden="1" x14ac:dyDescent="0.2"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92">
        <f t="shared" si="63"/>
        <v>91260000</v>
      </c>
      <c r="Q83" s="293" t="s">
        <v>137</v>
      </c>
      <c r="R83" s="294">
        <v>91260</v>
      </c>
      <c r="S83" s="238"/>
      <c r="T83" s="238"/>
      <c r="U83" s="238"/>
      <c r="V83" s="238"/>
      <c r="W83" s="238"/>
      <c r="X83" s="238"/>
    </row>
    <row r="84" spans="1:30" hidden="1" x14ac:dyDescent="0.2"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92">
        <f t="shared" si="63"/>
        <v>69077000</v>
      </c>
      <c r="Q84" s="293" t="s">
        <v>138</v>
      </c>
      <c r="R84" s="294">
        <v>69077</v>
      </c>
      <c r="S84" s="238"/>
      <c r="T84" s="238"/>
      <c r="U84" s="238"/>
      <c r="V84" s="238"/>
      <c r="W84" s="238"/>
      <c r="X84" s="238"/>
    </row>
    <row r="85" spans="1:30" hidden="1" x14ac:dyDescent="0.2"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92">
        <f t="shared" si="63"/>
        <v>66912000</v>
      </c>
      <c r="Q85" s="293" t="s">
        <v>139</v>
      </c>
      <c r="R85" s="294">
        <v>66912</v>
      </c>
      <c r="S85" s="238"/>
      <c r="T85" s="238"/>
      <c r="U85" s="238"/>
      <c r="V85" s="238"/>
      <c r="W85" s="238"/>
      <c r="X85" s="238"/>
    </row>
    <row r="86" spans="1:30" hidden="1" x14ac:dyDescent="0.2"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92">
        <f t="shared" si="63"/>
        <v>207000</v>
      </c>
      <c r="Q86" s="293" t="s">
        <v>140</v>
      </c>
      <c r="R86" s="294">
        <v>207</v>
      </c>
      <c r="S86" s="238"/>
      <c r="T86" s="238"/>
      <c r="U86" s="238"/>
      <c r="V86" s="238"/>
      <c r="W86" s="238"/>
      <c r="X86" s="238"/>
    </row>
    <row r="87" spans="1:30" hidden="1" x14ac:dyDescent="0.2"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92">
        <f t="shared" si="63"/>
        <v>17285000</v>
      </c>
      <c r="Q87" s="293" t="s">
        <v>141</v>
      </c>
      <c r="R87" s="294">
        <v>17285</v>
      </c>
      <c r="S87" s="238"/>
      <c r="T87" s="238"/>
      <c r="U87" s="238"/>
      <c r="V87" s="238"/>
      <c r="W87" s="238"/>
      <c r="X87" s="238"/>
    </row>
    <row r="88" spans="1:30" ht="15.75" hidden="1" x14ac:dyDescent="0.25"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92">
        <f t="shared" si="63"/>
        <v>-38149000</v>
      </c>
      <c r="Q88" s="293" t="s">
        <v>142</v>
      </c>
      <c r="R88" s="294">
        <v>-38149</v>
      </c>
      <c r="S88" s="238"/>
      <c r="T88" s="238"/>
      <c r="U88" s="238"/>
      <c r="V88" s="238"/>
      <c r="W88" s="238"/>
      <c r="X88" s="238"/>
      <c r="AA88" s="328" t="s">
        <v>143</v>
      </c>
    </row>
    <row r="89" spans="1:30" ht="15.75" hidden="1" x14ac:dyDescent="0.25"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98">
        <f>SUM(P77:P88)</f>
        <v>1135580000</v>
      </c>
      <c r="Q89" s="279"/>
      <c r="R89" s="299">
        <f>SUM(R77:R88)</f>
        <v>1135580</v>
      </c>
      <c r="S89" s="238"/>
      <c r="T89" s="300">
        <v>423518869.99999994</v>
      </c>
      <c r="U89" s="300">
        <v>0</v>
      </c>
      <c r="V89" s="300">
        <v>0</v>
      </c>
      <c r="W89" s="300"/>
      <c r="X89" s="300"/>
      <c r="Y89" s="300">
        <v>0</v>
      </c>
      <c r="Z89" s="300">
        <v>0</v>
      </c>
      <c r="AA89" s="301">
        <v>1135580000</v>
      </c>
    </row>
    <row r="90" spans="1:30" ht="15.75" hidden="1" x14ac:dyDescent="0.25"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300">
        <f>T89</f>
        <v>423518869.99999994</v>
      </c>
      <c r="U90" s="238"/>
      <c r="V90" s="238"/>
      <c r="W90" s="238"/>
      <c r="X90" s="238"/>
      <c r="Z90" s="301">
        <f>AA89-T89</f>
        <v>712061130</v>
      </c>
      <c r="AA90" s="301">
        <f>SUM(T90:Z90)</f>
        <v>1135580000</v>
      </c>
    </row>
    <row r="91" spans="1:30" ht="15.75" hidden="1" x14ac:dyDescent="0.25">
      <c r="F91" s="238"/>
      <c r="G91" s="238"/>
      <c r="H91" s="238"/>
      <c r="I91" s="238"/>
      <c r="J91" s="238"/>
      <c r="K91" s="238"/>
      <c r="L91" s="238"/>
      <c r="M91" s="238"/>
      <c r="N91" s="238"/>
      <c r="O91" s="279" t="s">
        <v>144</v>
      </c>
      <c r="P91" s="302">
        <f>G72</f>
        <v>332191149.00000006</v>
      </c>
      <c r="Q91" s="238"/>
      <c r="R91" s="238"/>
      <c r="S91" s="238"/>
      <c r="T91" s="238"/>
      <c r="U91" s="238"/>
      <c r="V91" s="238"/>
      <c r="W91" s="238"/>
      <c r="X91" s="238"/>
    </row>
    <row r="92" spans="1:30" hidden="1" x14ac:dyDescent="0.2"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</row>
    <row r="93" spans="1:30" ht="15.75" hidden="1" x14ac:dyDescent="0.25">
      <c r="F93" s="238"/>
      <c r="G93" s="238"/>
      <c r="H93" s="238"/>
      <c r="I93" s="238"/>
      <c r="J93" s="238"/>
      <c r="K93" s="238"/>
      <c r="L93" s="238"/>
      <c r="M93" s="238"/>
      <c r="N93" s="238"/>
      <c r="O93" s="279" t="s">
        <v>145</v>
      </c>
      <c r="P93" s="302">
        <f>P89-P91</f>
        <v>803388851</v>
      </c>
      <c r="Q93" s="238"/>
      <c r="R93" s="238"/>
      <c r="S93" s="238"/>
      <c r="T93" s="238"/>
      <c r="U93" s="238"/>
      <c r="V93" s="238"/>
      <c r="W93" s="238"/>
      <c r="X93" s="238"/>
    </row>
    <row r="94" spans="1:30" ht="15.75" hidden="1" x14ac:dyDescent="0.25">
      <c r="F94" s="238"/>
      <c r="G94" s="238"/>
      <c r="H94" s="238"/>
      <c r="I94" s="238"/>
      <c r="J94" s="238"/>
      <c r="K94" s="238"/>
      <c r="L94" s="238"/>
      <c r="M94" s="238"/>
      <c r="N94" s="238"/>
      <c r="O94" s="279"/>
      <c r="P94" s="302"/>
      <c r="Q94" s="238"/>
      <c r="R94" s="238"/>
      <c r="S94" s="238"/>
      <c r="T94" s="238"/>
      <c r="U94" s="238"/>
      <c r="V94" s="238"/>
      <c r="W94" s="238"/>
      <c r="X94" s="238"/>
    </row>
    <row r="95" spans="1:30" ht="15.75" x14ac:dyDescent="0.25">
      <c r="D95" s="303" t="s">
        <v>146</v>
      </c>
      <c r="F95" s="238"/>
      <c r="G95" s="238"/>
      <c r="H95" s="238"/>
      <c r="I95" s="238"/>
      <c r="J95" s="238"/>
      <c r="K95" s="238"/>
      <c r="L95" s="238"/>
      <c r="M95" s="238"/>
      <c r="N95" s="238"/>
      <c r="O95" s="279" t="s">
        <v>16</v>
      </c>
      <c r="P95" s="304">
        <f>P93/P91</f>
        <v>2.4184535121373743</v>
      </c>
      <c r="Q95" s="238"/>
      <c r="R95" s="238"/>
      <c r="S95" s="238"/>
      <c r="T95" s="238"/>
      <c r="U95" s="238"/>
      <c r="V95" s="238"/>
      <c r="W95" s="238"/>
      <c r="X95" s="238"/>
      <c r="AD95" s="139" t="s">
        <v>8</v>
      </c>
    </row>
    <row r="96" spans="1:30" ht="15" x14ac:dyDescent="0.2">
      <c r="D96" s="303" t="s">
        <v>147</v>
      </c>
      <c r="F96" s="305"/>
      <c r="G96" s="305" t="s">
        <v>8</v>
      </c>
      <c r="H96" s="305" t="s">
        <v>8</v>
      </c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</row>
    <row r="97" spans="4:24" ht="15" x14ac:dyDescent="0.2">
      <c r="D97" s="303" t="s">
        <v>148</v>
      </c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</row>
    <row r="98" spans="4:24" x14ac:dyDescent="0.2">
      <c r="F98" s="305" t="s">
        <v>8</v>
      </c>
      <c r="G98" s="305" t="s">
        <v>8</v>
      </c>
      <c r="H98" s="306" t="s">
        <v>8</v>
      </c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</row>
    <row r="99" spans="4:24" x14ac:dyDescent="0.2"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</row>
    <row r="100" spans="4:24" x14ac:dyDescent="0.2">
      <c r="F100" s="305" t="s">
        <v>8</v>
      </c>
      <c r="G100" s="305" t="s">
        <v>8</v>
      </c>
      <c r="H100" s="305" t="s">
        <v>8</v>
      </c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</row>
    <row r="101" spans="4:24" x14ac:dyDescent="0.2"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</row>
    <row r="102" spans="4:24" x14ac:dyDescent="0.2"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</row>
    <row r="103" spans="4:24" x14ac:dyDescent="0.2"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</row>
  </sheetData>
  <mergeCells count="4">
    <mergeCell ref="J7:M7"/>
    <mergeCell ref="J8:M8"/>
    <mergeCell ref="B11:C11"/>
    <mergeCell ref="AF11:AG1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4" zoomScaleNormal="100" workbookViewId="0">
      <selection activeCell="D35" sqref="D35"/>
    </sheetView>
  </sheetViews>
  <sheetFormatPr defaultColWidth="8.85546875" defaultRowHeight="12.75" x14ac:dyDescent="0.2"/>
  <cols>
    <col min="2" max="2" width="18.5703125" customWidth="1"/>
    <col min="3" max="3" width="21.7109375" customWidth="1"/>
    <col min="4" max="4" width="20.7109375" customWidth="1"/>
    <col min="5" max="5" width="20.85546875" customWidth="1"/>
    <col min="6" max="6" width="16.28515625" customWidth="1"/>
  </cols>
  <sheetData>
    <row r="1" spans="1:7" ht="18.75" x14ac:dyDescent="0.3">
      <c r="A1" s="339" t="s">
        <v>149</v>
      </c>
      <c r="B1" s="339"/>
      <c r="C1" s="339"/>
      <c r="D1" s="339"/>
      <c r="E1" s="339"/>
      <c r="F1" s="339"/>
    </row>
    <row r="2" spans="1:7" ht="18.75" x14ac:dyDescent="0.3">
      <c r="A2" s="339" t="s">
        <v>150</v>
      </c>
      <c r="B2" s="339"/>
      <c r="C2" s="339"/>
      <c r="D2" s="339"/>
      <c r="E2" s="339"/>
      <c r="F2" s="339"/>
    </row>
    <row r="4" spans="1:7" ht="18.75" x14ac:dyDescent="0.3">
      <c r="C4" s="329" t="s">
        <v>151</v>
      </c>
      <c r="D4" s="307" t="s">
        <v>152</v>
      </c>
    </row>
    <row r="5" spans="1:7" ht="18.75" x14ac:dyDescent="0.3">
      <c r="B5" s="126"/>
      <c r="C5" s="329" t="s">
        <v>153</v>
      </c>
      <c r="D5" s="307" t="s">
        <v>101</v>
      </c>
      <c r="E5" s="329" t="s">
        <v>45</v>
      </c>
      <c r="F5" s="329" t="s">
        <v>154</v>
      </c>
    </row>
    <row r="6" spans="1:7" ht="18.75" x14ac:dyDescent="0.3">
      <c r="B6" s="126"/>
      <c r="C6" s="329"/>
      <c r="D6" s="307"/>
      <c r="E6" s="329"/>
      <c r="F6" s="329"/>
    </row>
    <row r="7" spans="1:7" ht="18.75" x14ac:dyDescent="0.3">
      <c r="B7" s="237" t="s">
        <v>26</v>
      </c>
      <c r="C7" s="308">
        <f>+'Allocators Data'!CL76+'Allocators Data'!CM76+'Allocators Data'!CN76</f>
        <v>8035201342.5450859</v>
      </c>
      <c r="D7" s="308">
        <f>+'DEI Sales by Rate'!AG17</f>
        <v>8537342781</v>
      </c>
      <c r="E7" s="309">
        <f>+D7-C7</f>
        <v>502141438.45491409</v>
      </c>
      <c r="F7" s="310">
        <f>+E7/C7</f>
        <v>6.249270143314975E-2</v>
      </c>
      <c r="G7" t="s">
        <v>155</v>
      </c>
    </row>
    <row r="8" spans="1:7" ht="18.75" x14ac:dyDescent="0.3">
      <c r="B8" s="237" t="s">
        <v>28</v>
      </c>
      <c r="C8" s="316">
        <f>+'Allocators Data'!CO76+'Allocators Data'!CP76+'Allocators Data'!CQ76</f>
        <v>667553291.71861088</v>
      </c>
      <c r="D8" s="316">
        <f>+'DEI Sales by Rate'!AH17</f>
        <v>716371565</v>
      </c>
      <c r="E8" s="317">
        <f>+D8-C8</f>
        <v>48818273.281389117</v>
      </c>
      <c r="F8" s="319">
        <f>+E8/C8</f>
        <v>7.3130151385677147E-2</v>
      </c>
    </row>
    <row r="9" spans="1:7" ht="18.75" x14ac:dyDescent="0.3">
      <c r="B9" s="237" t="s">
        <v>156</v>
      </c>
      <c r="C9" s="320">
        <f>+C7+C8</f>
        <v>8702754634.2636967</v>
      </c>
      <c r="D9" s="320">
        <f>+D7+D8</f>
        <v>9253714346</v>
      </c>
      <c r="E9" s="320">
        <f>+E7+E8</f>
        <v>550959711.73630321</v>
      </c>
      <c r="F9" s="310">
        <f>+E9/C9</f>
        <v>6.3308657418320702E-2</v>
      </c>
    </row>
    <row r="10" spans="1:7" ht="15" x14ac:dyDescent="0.2">
      <c r="B10" s="237"/>
    </row>
    <row r="11" spans="1:7" ht="15" x14ac:dyDescent="0.2">
      <c r="B11" s="237"/>
    </row>
    <row r="12" spans="1:7" ht="18.75" x14ac:dyDescent="0.3">
      <c r="B12" s="237" t="s">
        <v>32</v>
      </c>
      <c r="C12" s="308">
        <f>+'Allocators Data'!F76+'Allocators Data'!G76+'Allocators Data'!H76+'Allocators Data'!I76</f>
        <v>994896366.58499956</v>
      </c>
      <c r="D12" s="308">
        <f>+'DEI Sales by Rate'!C17</f>
        <v>998124803</v>
      </c>
      <c r="E12" s="309">
        <f t="shared" ref="E12:E15" si="0">+D12-C12</f>
        <v>3228436.4150004387</v>
      </c>
      <c r="F12" s="310">
        <f>+E12/C12</f>
        <v>3.2449976936614086E-3</v>
      </c>
    </row>
    <row r="13" spans="1:7" ht="18.75" x14ac:dyDescent="0.3">
      <c r="B13" s="237" t="s">
        <v>34</v>
      </c>
      <c r="C13" s="308">
        <f>+'Allocators Data'!J76</f>
        <v>5024221.567999999</v>
      </c>
      <c r="D13" s="308">
        <f>+'DEI Sales by Rate'!D17</f>
        <v>5015284</v>
      </c>
      <c r="E13" s="309">
        <f t="shared" si="0"/>
        <v>-8937.5679999990389</v>
      </c>
      <c r="F13" s="310">
        <f>+E13/C13</f>
        <v>-1.7788960695769699E-3</v>
      </c>
    </row>
    <row r="14" spans="1:7" ht="18.75" x14ac:dyDescent="0.3">
      <c r="B14" s="237" t="s">
        <v>36</v>
      </c>
      <c r="C14" s="308">
        <f>+'Allocators Data'!K76</f>
        <v>3501.0000000000005</v>
      </c>
      <c r="D14" s="308">
        <f>+'DEI Sales by Rate'!E17</f>
        <v>3482</v>
      </c>
      <c r="E14" s="309">
        <f t="shared" si="0"/>
        <v>-19.000000000000455</v>
      </c>
      <c r="F14" s="310">
        <f>+E14/C14</f>
        <v>-5.4270208511855052E-3</v>
      </c>
    </row>
    <row r="15" spans="1:7" ht="18.75" x14ac:dyDescent="0.3">
      <c r="B15" s="237" t="s">
        <v>39</v>
      </c>
      <c r="C15" s="316">
        <f>+'Allocators Data'!O76+'Allocators Data'!P76+'Allocators Data'!Q76+'Allocators Data'!R76</f>
        <v>24964801.695999999</v>
      </c>
      <c r="D15" s="316">
        <f>+'DEI Sales by Rate'!F17</f>
        <v>24851349</v>
      </c>
      <c r="E15" s="317">
        <f t="shared" si="0"/>
        <v>-113452.6959999986</v>
      </c>
      <c r="F15" s="319">
        <f>+E15/C15</f>
        <v>-4.5445061964252105E-3</v>
      </c>
    </row>
    <row r="16" spans="1:7" ht="18.75" x14ac:dyDescent="0.3">
      <c r="B16" s="237" t="s">
        <v>157</v>
      </c>
      <c r="C16" s="308">
        <f>SUM(C12:C15)</f>
        <v>1024888890.8489995</v>
      </c>
      <c r="D16" s="308">
        <f t="shared" ref="D16:E16" si="1">SUM(D12:D15)</f>
        <v>1027994918</v>
      </c>
      <c r="E16" s="308">
        <f t="shared" si="1"/>
        <v>3106027.1510004411</v>
      </c>
      <c r="F16" s="318">
        <f>+E16/C16</f>
        <v>3.0305989056310916E-3</v>
      </c>
    </row>
    <row r="17" spans="2:6" ht="18.75" x14ac:dyDescent="0.3">
      <c r="B17" s="237"/>
      <c r="C17" s="308"/>
      <c r="D17" s="308"/>
      <c r="E17" s="309"/>
    </row>
    <row r="18" spans="2:6" ht="18.75" x14ac:dyDescent="0.3">
      <c r="B18" s="258" t="s">
        <v>33</v>
      </c>
      <c r="C18" s="308">
        <f>+'Allocators Data'!AJ76+'Allocators Data'!AK76+'Allocators Data'!AL76+'Allocators Data'!AM76+'Allocators Data'!AN76+'Allocators Data'!AO76</f>
        <v>147317700.71176463</v>
      </c>
      <c r="D18" s="308">
        <f>+'DEI Sales by Rate'!P17</f>
        <v>175700506</v>
      </c>
      <c r="E18" s="309">
        <f t="shared" ref="E18:E23" si="2">+D18-C18</f>
        <v>28382805.288235366</v>
      </c>
      <c r="F18" s="310">
        <f t="shared" ref="F18:F24" si="3">+E18/C18</f>
        <v>0.19266391717427034</v>
      </c>
    </row>
    <row r="19" spans="2:6" ht="18.75" x14ac:dyDescent="0.3">
      <c r="B19" s="237" t="s">
        <v>35</v>
      </c>
      <c r="C19" s="308">
        <f>+'Allocators Data'!AP76+'Allocators Data'!AQ76+'Allocators Data'!AR76+'Allocators Data'!AS76+'Allocators Data'!AT76+'Allocators Data'!AU76</f>
        <v>253313177.57700002</v>
      </c>
      <c r="D19" s="308">
        <f>+'DEI Sales by Rate'!Q17</f>
        <v>298682480</v>
      </c>
      <c r="E19" s="309">
        <f t="shared" si="2"/>
        <v>45369302.422999978</v>
      </c>
      <c r="F19" s="310">
        <f t="shared" si="3"/>
        <v>0.17910360154559665</v>
      </c>
    </row>
    <row r="20" spans="2:6" ht="18.75" x14ac:dyDescent="0.3">
      <c r="B20" s="237" t="s">
        <v>37</v>
      </c>
      <c r="C20" s="308">
        <f>+'Allocators Data'!AV76+'Allocators Data'!AW76+'Allocators Data'!AX76+'Allocators Data'!AY76+'Allocators Data'!AZ76+'Allocators Data'!BA76</f>
        <v>590579521.75633132</v>
      </c>
      <c r="D20" s="308">
        <f>+'DEI Sales by Rate'!R17</f>
        <v>694762821</v>
      </c>
      <c r="E20" s="309">
        <f t="shared" si="2"/>
        <v>104183299.24366868</v>
      </c>
      <c r="F20" s="310">
        <f t="shared" si="3"/>
        <v>0.17640858750712646</v>
      </c>
    </row>
    <row r="21" spans="2:6" ht="18.75" x14ac:dyDescent="0.3">
      <c r="B21" s="237" t="s">
        <v>40</v>
      </c>
      <c r="C21" s="308">
        <f>+'Allocators Data'!BB76+'Allocators Data'!BC76+'Allocators Data'!BD76+'Allocators Data'!BE76+'Allocators Data'!BF76+'Allocators Data'!BG76</f>
        <v>4072466549.9377379</v>
      </c>
      <c r="D21" s="308">
        <f>+'DEI Sales by Rate'!S17</f>
        <v>4314736230</v>
      </c>
      <c r="E21" s="309">
        <f t="shared" si="2"/>
        <v>242269680.06226206</v>
      </c>
      <c r="F21" s="310">
        <f t="shared" si="3"/>
        <v>5.9489667279395086E-2</v>
      </c>
    </row>
    <row r="22" spans="2:6" ht="18.75" x14ac:dyDescent="0.3">
      <c r="B22" s="237" t="s">
        <v>42</v>
      </c>
      <c r="C22" s="308">
        <f>+'Allocators Data'!BH76+'Allocators Data'!BI76+'Allocators Data'!BJ76+'Allocators Data'!BK76+'Allocators Data'!BL76+'Allocators Data'!BM76</f>
        <v>157692356.84800005</v>
      </c>
      <c r="D22" s="308">
        <f>+'DEI Sales by Rate'!T17</f>
        <v>158225709</v>
      </c>
      <c r="E22" s="309">
        <f t="shared" si="2"/>
        <v>533352.15199995041</v>
      </c>
      <c r="F22" s="310">
        <f t="shared" si="3"/>
        <v>3.3822321047179828E-3</v>
      </c>
    </row>
    <row r="23" spans="2:6" ht="18.75" x14ac:dyDescent="0.3">
      <c r="B23" s="237" t="s">
        <v>50</v>
      </c>
      <c r="C23" s="316">
        <f>+'Allocators Data'!BN76+'Allocators Data'!BU76+'Allocators Data'!BT76+'Allocators Data'!BV76+'Allocators Data'!BW76+'Allocators Data'!BO76+'Allocators Data'!BP76+'Allocators Data'!BQ76</f>
        <v>11787218</v>
      </c>
      <c r="D23" s="316">
        <f>+'DEI Sales by Rate'!U17+'DEI Sales by Rate'!V17</f>
        <v>12737010</v>
      </c>
      <c r="E23" s="317">
        <f t="shared" si="2"/>
        <v>949792</v>
      </c>
      <c r="F23" s="319">
        <f t="shared" si="3"/>
        <v>8.057813132835924E-2</v>
      </c>
    </row>
    <row r="24" spans="2:6" ht="18.75" x14ac:dyDescent="0.3">
      <c r="B24" s="321" t="s">
        <v>158</v>
      </c>
      <c r="C24" s="308">
        <f>SUM(C18:C23)</f>
        <v>5233156524.8308334</v>
      </c>
      <c r="D24" s="308">
        <f t="shared" ref="D24:E24" si="4">SUM(D18:D23)</f>
        <v>5654844756</v>
      </c>
      <c r="E24" s="308">
        <f t="shared" si="4"/>
        <v>421688231.16916603</v>
      </c>
      <c r="F24" s="310">
        <f t="shared" si="3"/>
        <v>8.058009141677594E-2</v>
      </c>
    </row>
    <row r="25" spans="2:6" ht="18.75" x14ac:dyDescent="0.3">
      <c r="B25" s="126"/>
      <c r="C25" s="308"/>
      <c r="D25" s="308"/>
      <c r="E25" s="309"/>
    </row>
    <row r="26" spans="2:6" ht="18.75" x14ac:dyDescent="0.3">
      <c r="B26" s="237" t="s">
        <v>51</v>
      </c>
      <c r="C26" s="308">
        <f>+'Allocators Data'!AB76</f>
        <v>1181378398.3510001</v>
      </c>
      <c r="D26" s="308">
        <f>+'DEI Sales by Rate'!I17</f>
        <v>1420875552</v>
      </c>
      <c r="E26" s="309">
        <f t="shared" ref="E26:E32" si="5">+D26-C26</f>
        <v>239497153.64899993</v>
      </c>
      <c r="F26" s="310">
        <f t="shared" ref="F26:F33" si="6">+E26/C26</f>
        <v>0.20272687733523528</v>
      </c>
    </row>
    <row r="27" spans="2:6" ht="18.75" x14ac:dyDescent="0.3">
      <c r="B27" s="237" t="s">
        <v>52</v>
      </c>
      <c r="C27" s="308">
        <f>+'Allocators Data'!AC76</f>
        <v>971458901.95600009</v>
      </c>
      <c r="D27" s="308">
        <f>+'DEI Sales by Rate'!J17</f>
        <v>1153333103</v>
      </c>
      <c r="E27" s="309">
        <f t="shared" si="5"/>
        <v>181874201.04399991</v>
      </c>
      <c r="F27" s="310">
        <f t="shared" si="6"/>
        <v>0.18721759683070718</v>
      </c>
    </row>
    <row r="28" spans="2:6" ht="18.75" x14ac:dyDescent="0.3">
      <c r="B28" s="237" t="s">
        <v>53</v>
      </c>
      <c r="C28" s="308">
        <f>+'Allocators Data'!AF76</f>
        <v>1549402302.5799999</v>
      </c>
      <c r="D28" s="308">
        <f>+'DEI Sales by Rate'!M17</f>
        <v>1860228340</v>
      </c>
      <c r="E28" s="309">
        <f t="shared" si="5"/>
        <v>310826037.42000008</v>
      </c>
      <c r="F28" s="310">
        <f t="shared" si="6"/>
        <v>0.20061028494821878</v>
      </c>
    </row>
    <row r="29" spans="2:6" ht="18.75" x14ac:dyDescent="0.3">
      <c r="B29" s="237" t="s">
        <v>54</v>
      </c>
      <c r="C29" s="308">
        <f>+'Allocators Data'!AG76</f>
        <v>1632174956.8169997</v>
      </c>
      <c r="D29" s="308">
        <f>+'DEI Sales by Rate'!N17</f>
        <v>1828007428</v>
      </c>
      <c r="E29" s="309">
        <f t="shared" si="5"/>
        <v>195832471.18300033</v>
      </c>
      <c r="F29" s="310">
        <f t="shared" si="6"/>
        <v>0.1199825241559304</v>
      </c>
    </row>
    <row r="30" spans="2:6" ht="18.75" x14ac:dyDescent="0.3">
      <c r="B30" s="237" t="s">
        <v>55</v>
      </c>
      <c r="C30" s="308">
        <f>+'Allocators Data'!AH76</f>
        <v>3361867968.7719998</v>
      </c>
      <c r="D30" s="308">
        <f>+'DEI Sales by Rate'!O17</f>
        <v>3609291516</v>
      </c>
      <c r="E30" s="309">
        <f t="shared" si="5"/>
        <v>247423547.22800016</v>
      </c>
      <c r="F30" s="310">
        <f t="shared" si="6"/>
        <v>7.3597044716297216E-2</v>
      </c>
    </row>
    <row r="31" spans="2:6" ht="18.75" x14ac:dyDescent="0.3">
      <c r="B31" s="237" t="s">
        <v>59</v>
      </c>
      <c r="C31" s="308">
        <f>+'Allocators Data'!AD76</f>
        <v>95995404</v>
      </c>
      <c r="D31" s="308">
        <f>+'DEI Sales by Rate'!K17</f>
        <v>115388260</v>
      </c>
      <c r="E31" s="309">
        <f t="shared" si="5"/>
        <v>19392856</v>
      </c>
      <c r="F31" s="310">
        <f t="shared" si="6"/>
        <v>0.20201858830658184</v>
      </c>
    </row>
    <row r="32" spans="2:6" ht="18.75" x14ac:dyDescent="0.3">
      <c r="B32" s="237" t="s">
        <v>60</v>
      </c>
      <c r="C32" s="316">
        <f>+'Allocators Data'!AE76</f>
        <v>635987.55499999993</v>
      </c>
      <c r="D32" s="316">
        <f>+'DEI Sales by Rate'!L17</f>
        <v>633047</v>
      </c>
      <c r="E32" s="317">
        <f t="shared" si="5"/>
        <v>-2940.5549999999348</v>
      </c>
      <c r="F32" s="319">
        <f t="shared" si="6"/>
        <v>-4.6236046238356584E-3</v>
      </c>
    </row>
    <row r="33" spans="3:6" ht="18.75" x14ac:dyDescent="0.3">
      <c r="C33" s="320">
        <f>SUM(C26:C32)</f>
        <v>8792913920.0310001</v>
      </c>
      <c r="D33" s="320">
        <f>SUM(D26:D32)</f>
        <v>9987757246</v>
      </c>
      <c r="E33" s="320">
        <f>SUM(E26:E32)</f>
        <v>1194843325.9690003</v>
      </c>
      <c r="F33" s="322">
        <f t="shared" si="6"/>
        <v>0.13588707188945026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D60"/>
  <sheetViews>
    <sheetView topLeftCell="J1" zoomScaleNormal="100" workbookViewId="0">
      <selection activeCell="S3" sqref="S3"/>
    </sheetView>
  </sheetViews>
  <sheetFormatPr defaultRowHeight="12.75" x14ac:dyDescent="0.2"/>
  <cols>
    <col min="1" max="1" width="19.5703125" customWidth="1"/>
    <col min="2" max="2" width="12" bestFit="1" customWidth="1"/>
    <col min="3" max="3" width="15" customWidth="1"/>
    <col min="4" max="8" width="13.7109375" customWidth="1"/>
    <col min="9" max="9" width="16.28515625" customWidth="1"/>
    <col min="10" max="10" width="15.28515625" customWidth="1"/>
    <col min="11" max="12" width="13.7109375" customWidth="1"/>
    <col min="13" max="13" width="16.7109375" customWidth="1"/>
    <col min="14" max="14" width="17.28515625" customWidth="1"/>
    <col min="15" max="15" width="18.140625" customWidth="1"/>
    <col min="16" max="16" width="16.140625" customWidth="1"/>
    <col min="17" max="17" width="18.28515625" customWidth="1"/>
    <col min="18" max="18" width="18" customWidth="1"/>
    <col min="19" max="19" width="17.85546875" customWidth="1"/>
    <col min="20" max="24" width="13.7109375" customWidth="1"/>
    <col min="25" max="26" width="14.140625" customWidth="1"/>
    <col min="27" max="32" width="13.7109375" customWidth="1"/>
    <col min="33" max="33" width="16.140625" customWidth="1"/>
    <col min="34" max="34" width="13.7109375" customWidth="1"/>
    <col min="35" max="35" width="13.7109375" bestFit="1" customWidth="1"/>
    <col min="36" max="44" width="13.7109375" customWidth="1"/>
    <col min="45" max="45" width="16.28515625" customWidth="1"/>
    <col min="46" max="46" width="5" customWidth="1"/>
    <col min="47" max="47" width="16.28515625" bestFit="1" customWidth="1"/>
    <col min="48" max="48" width="11.140625" bestFit="1" customWidth="1"/>
    <col min="49" max="49" width="16.42578125" bestFit="1" customWidth="1"/>
    <col min="52" max="53" width="14.140625" bestFit="1" customWidth="1"/>
    <col min="54" max="54" width="15.140625" bestFit="1" customWidth="1"/>
    <col min="55" max="55" width="14.140625" bestFit="1" customWidth="1"/>
    <col min="56" max="56" width="15.140625" bestFit="1" customWidth="1"/>
  </cols>
  <sheetData>
    <row r="1" spans="1:47" x14ac:dyDescent="0.2">
      <c r="A1" s="81" t="s">
        <v>159</v>
      </c>
      <c r="B1" s="82"/>
      <c r="C1" s="81"/>
      <c r="K1" s="9" t="s">
        <v>8</v>
      </c>
      <c r="L1" s="9" t="s">
        <v>8</v>
      </c>
      <c r="W1" s="340" t="s">
        <v>160</v>
      </c>
      <c r="X1" s="341"/>
      <c r="Y1" s="340" t="s">
        <v>161</v>
      </c>
      <c r="Z1" s="342"/>
      <c r="AA1" s="342"/>
      <c r="AB1" s="341"/>
      <c r="AC1" s="340" t="s">
        <v>162</v>
      </c>
      <c r="AD1" s="341"/>
      <c r="AE1" s="340" t="s">
        <v>163</v>
      </c>
      <c r="AF1" s="341"/>
    </row>
    <row r="2" spans="1:47" x14ac:dyDescent="0.2">
      <c r="A2" s="4" t="str">
        <f>'DEI Sales by Revenue'!A2</f>
        <v>Year</v>
      </c>
      <c r="B2" s="4" t="str">
        <f>'DEI Sales by Revenue'!B2</f>
        <v>Month</v>
      </c>
      <c r="C2" t="str">
        <f>'Rate Calc Sheet'!L1</f>
        <v>CSN0</v>
      </c>
      <c r="D2" t="str">
        <f>'Rate Calc Sheet'!P1</f>
        <v>CSN2</v>
      </c>
      <c r="E2" t="str">
        <f>'Rate Calc Sheet'!Q1</f>
        <v>CSN7</v>
      </c>
      <c r="F2" t="str">
        <f>'Rate Calc Sheet'!U1</f>
        <v>CSN8</v>
      </c>
      <c r="G2" t="str">
        <f>'Rate Calc Sheet'!Y1</f>
        <v>CSN9</v>
      </c>
      <c r="H2" t="str">
        <f>'Rate Calc Sheet'!AC1</f>
        <v>SFOC</v>
      </c>
      <c r="I2" t="str">
        <f>'Rate Calc Sheet'!AH1</f>
        <v>HBN0</v>
      </c>
      <c r="J2" t="str">
        <f>'Rate Calc Sheet'!AI1</f>
        <v>HCN0</v>
      </c>
      <c r="K2" t="str">
        <f>'Rate Calc Sheet'!AJ1</f>
        <v>HCN3</v>
      </c>
      <c r="L2" s="9" t="s">
        <v>60</v>
      </c>
      <c r="M2" t="str">
        <f>'Rate Calc Sheet'!AL1</f>
        <v>HDN0</v>
      </c>
      <c r="N2" t="str">
        <f>'Rate Calc Sheet'!AM1</f>
        <v>HPN0</v>
      </c>
      <c r="O2" t="str">
        <f>'Rate Calc Sheet'!AN1</f>
        <v>HSN0</v>
      </c>
      <c r="P2" t="str">
        <f>'Rate Calc Sheet'!AP1</f>
        <v>LBN0</v>
      </c>
      <c r="Q2" t="str">
        <f>'Rate Calc Sheet'!AV1</f>
        <v>LDN0</v>
      </c>
      <c r="R2" t="str">
        <f>'Rate Calc Sheet'!BB1</f>
        <v>LPN0</v>
      </c>
      <c r="S2" t="str">
        <f>'Rate Calc Sheet'!BH1</f>
        <v>LSN0</v>
      </c>
      <c r="T2" t="str">
        <f>'Rate Calc Sheet'!BN1</f>
        <v>LSN2</v>
      </c>
      <c r="U2" t="str">
        <f>'Rate Calc Sheet'!BT1</f>
        <v>LSN3 - Peak</v>
      </c>
      <c r="V2" t="str">
        <f>'Rate Calc Sheet'!BZ1</f>
        <v>LSN3 - Grandfathered</v>
      </c>
      <c r="W2" s="34" t="str">
        <f>'Rate Calc Sheet'!CK1</f>
        <v>SAES</v>
      </c>
      <c r="X2" s="35" t="str">
        <f>'Rate Calc Sheet'!CL1</f>
        <v>SASN</v>
      </c>
      <c r="Y2" s="34" t="str">
        <f>'Rate Calc Sheet'!CG1</f>
        <v>NUCF</v>
      </c>
      <c r="Z2" t="str">
        <f>'Rate Calc Sheet'!CH1</f>
        <v>NUIF</v>
      </c>
      <c r="AA2" t="str">
        <f>'Rate Calc Sheet'!CI1</f>
        <v>NUID</v>
      </c>
      <c r="AB2" s="35" t="str">
        <f>'Rate Calc Sheet'!CJ1</f>
        <v>NUCS</v>
      </c>
      <c r="AC2" s="34" t="str">
        <f>'Rate Calc Sheet'!CM1</f>
        <v>SPUF</v>
      </c>
      <c r="AD2" s="35" t="str">
        <f>'Rate Calc Sheet'!CN1</f>
        <v>SPUR</v>
      </c>
      <c r="AE2" s="34" t="str">
        <f>'Rate Calc Sheet'!CO1</f>
        <v>SDEH</v>
      </c>
      <c r="AF2" s="35" t="str">
        <f>'Rate Calc Sheet'!CP1</f>
        <v>SDED</v>
      </c>
      <c r="AG2" t="str">
        <f>'Rate Calc Sheet'!CR1</f>
        <v>RSN0</v>
      </c>
      <c r="AH2" t="str">
        <f>'Rate Calc Sheet'!CU1</f>
        <v>RSN2</v>
      </c>
      <c r="AI2" t="str">
        <f>'Rate Calc Sheet'!CY1</f>
        <v xml:space="preserve">SWP </v>
      </c>
      <c r="AJ2" t="str">
        <f>'Rate Calc Sheet'!DB1</f>
        <v>MHLS</v>
      </c>
      <c r="AK2" t="str">
        <f>'Rate Calc Sheet'!DC1</f>
        <v>FS</v>
      </c>
      <c r="AL2" t="str">
        <f>'Rate Calc Sheet'!DD1</f>
        <v>MOLS</v>
      </c>
      <c r="AM2" t="str">
        <f>'Rate Calc Sheet'!DE1</f>
        <v>MS</v>
      </c>
      <c r="AN2" t="str">
        <f>'Rate Calc Sheet'!DF1</f>
        <v>SL</v>
      </c>
      <c r="AO2" t="str">
        <f>'Rate Calc Sheet'!DG1</f>
        <v>TS</v>
      </c>
      <c r="AP2" t="str">
        <f>'Rate Calc Sheet'!DH1</f>
        <v>UOLS</v>
      </c>
      <c r="AQ2" t="str">
        <f>'Rate Calc Sheet'!DI1</f>
        <v>WHTL</v>
      </c>
      <c r="AR2" t="str">
        <f>'Rate Calc Sheet'!DJ1</f>
        <v>XLED</v>
      </c>
      <c r="AU2" s="333" t="s">
        <v>164</v>
      </c>
    </row>
    <row r="3" spans="1:47" x14ac:dyDescent="0.2">
      <c r="A3" s="4">
        <f>'DEI Sales by Revenue'!A3</f>
        <v>2025</v>
      </c>
      <c r="B3" s="4">
        <f>'DEI Sales by Revenue'!B3</f>
        <v>1</v>
      </c>
      <c r="C3" s="2">
        <f>SUM('Rate Calc Sheet'!L3:O3)+SUM('Rate Calc Sheet'!L18:O18)+SUM('Rate Calc Sheet'!L33:O33)+SUM('Rate Calc Sheet'!L48:O48)+SUM('Rate Calc Sheet'!L63:O63)</f>
        <v>99883364</v>
      </c>
      <c r="D3" s="2">
        <f>'Rate Calc Sheet'!P3+'Rate Calc Sheet'!P18+'Rate Calc Sheet'!P33+'Rate Calc Sheet'!P48+'Rate Calc Sheet'!P63</f>
        <v>517532</v>
      </c>
      <c r="E3" s="2">
        <f>SUM('Rate Calc Sheet'!Q3:T3)+SUM('Rate Calc Sheet'!Q18:T18)+SUM('Rate Calc Sheet'!Q33:T33)+SUM('Rate Calc Sheet'!Q48:T48)+SUM('Rate Calc Sheet'!Q63:T63)</f>
        <v>316</v>
      </c>
      <c r="F3" s="2">
        <f>SUM('Rate Calc Sheet'!U3:X3)+SUM('Rate Calc Sheet'!U18:X18)+SUM('Rate Calc Sheet'!U33:X33)+SUM('Rate Calc Sheet'!U48:X48)+SUM('Rate Calc Sheet'!U63:X63)</f>
        <v>2340002</v>
      </c>
      <c r="G3" s="2">
        <f>SUM('Rate Calc Sheet'!Y3:AB3)+SUM('Rate Calc Sheet'!Y18:AB18)+SUM('Rate Calc Sheet'!Y33:AB33)+SUM('Rate Calc Sheet'!Y48:AB48)+SUM('Rate Calc Sheet'!Y63:AB63)</f>
        <v>0</v>
      </c>
      <c r="H3" s="2">
        <f>SUM('Rate Calc Sheet'!AC3:AF3)+SUM('Rate Calc Sheet'!AC18:AF18)+SUM('Rate Calc Sheet'!AC33:AF33)+SUM('Rate Calc Sheet'!AC48:AF48)+SUM('Rate Calc Sheet'!AC63:AF63)</f>
        <v>0</v>
      </c>
      <c r="I3" s="2">
        <f>'Rate Calc Sheet'!AH3+'Rate Calc Sheet'!AH18+'Rate Calc Sheet'!AH33+'Rate Calc Sheet'!AH48+'Rate Calc Sheet'!AH63</f>
        <v>129659621</v>
      </c>
      <c r="J3" s="2">
        <f>'Rate Calc Sheet'!AI3+'Rate Calc Sheet'!AI18+'Rate Calc Sheet'!AI33+'Rate Calc Sheet'!AI48+'Rate Calc Sheet'!AI63</f>
        <v>100876800</v>
      </c>
      <c r="K3" s="2">
        <f>'Rate Calc Sheet'!AJ3+'Rate Calc Sheet'!AJ18+'Rate Calc Sheet'!AJ33+'Rate Calc Sheet'!AJ48+'Rate Calc Sheet'!AJ63</f>
        <v>10790217</v>
      </c>
      <c r="L3" s="2">
        <f>'Rate Calc Sheet'!AK3+'Rate Calc Sheet'!AK18+'Rate Calc Sheet'!AK33+'Rate Calc Sheet'!AK48+'Rate Calc Sheet'!AK63</f>
        <v>57547</v>
      </c>
      <c r="M3" s="2">
        <f>'Rate Calc Sheet'!AL3+'Rate Calc Sheet'!AL18+'Rate Calc Sheet'!AL33+'Rate Calc Sheet'!AL48+'Rate Calc Sheet'!AL63</f>
        <v>155233383</v>
      </c>
      <c r="N3" s="2">
        <f>'Rate Calc Sheet'!AM3+'Rate Calc Sheet'!AM18+'Rate Calc Sheet'!AM33+'Rate Calc Sheet'!AM48+'Rate Calc Sheet'!AM63</f>
        <v>151927542</v>
      </c>
      <c r="O3" s="2">
        <f>'Rate Calc Sheet'!AN3+'Rate Calc Sheet'!AN18+'Rate Calc Sheet'!AN33+'Rate Calc Sheet'!AN48+'Rate Calc Sheet'!AN63</f>
        <v>312038745</v>
      </c>
      <c r="P3" s="2">
        <f>SUM('Rate Calc Sheet'!AP3:AU3)+SUM('Rate Calc Sheet'!AP18:AU18)+SUM('Rate Calc Sheet'!AP33:AU33)+SUM('Rate Calc Sheet'!AP48:AU48)+SUM('Rate Calc Sheet'!AP63:AU63)</f>
        <v>14504028</v>
      </c>
      <c r="Q3" s="2">
        <f>SUM('Rate Calc Sheet'!AV3:BA3)+SUM('Rate Calc Sheet'!AV18:BA18)+SUM('Rate Calc Sheet'!AV33:BA33)+SUM('Rate Calc Sheet'!AV48:BA48)+SUM('Rate Calc Sheet'!AV63:BA63)</f>
        <v>24773738</v>
      </c>
      <c r="R3" s="2">
        <f>SUM('Rate Calc Sheet'!BB3:BG3)+SUM('Rate Calc Sheet'!BB18:BG18)+SUM('Rate Calc Sheet'!BB33:BG33)+SUM('Rate Calc Sheet'!BB48:BG48)+SUM('Rate Calc Sheet'!BB63:BG63)</f>
        <v>56047250</v>
      </c>
      <c r="S3" s="2">
        <f>SUM('Rate Calc Sheet'!BH3:BM3)+SUM('Rate Calc Sheet'!BH18:BM18)+SUM('Rate Calc Sheet'!BH33:BM33)+SUM('Rate Calc Sheet'!BH48:BM48)+SUM('Rate Calc Sheet'!BH63:BM63)</f>
        <v>375918579</v>
      </c>
      <c r="T3" s="2">
        <f>SUM('Rate Calc Sheet'!BN3:BS3)+SUM('Rate Calc Sheet'!BN18:BS18)+SUM('Rate Calc Sheet'!BN33:BS33)+SUM('Rate Calc Sheet'!BN48:BS48)+SUM('Rate Calc Sheet'!BN63:BS63)</f>
        <v>16784390</v>
      </c>
      <c r="U3" s="2">
        <f>SUM('Rate Calc Sheet'!BT3:BY3)+SUM('Rate Calc Sheet'!BT18:BY18)+SUM('Rate Calc Sheet'!BT33:BY33)+SUM('Rate Calc Sheet'!BT48:BY48)+SUM('Rate Calc Sheet'!BT63:BY63)</f>
        <v>19457</v>
      </c>
      <c r="V3" s="2">
        <f>SUM('Rate Calc Sheet'!BZ3:CE3)+SUM('Rate Calc Sheet'!BZ18:CE18)+SUM('Rate Calc Sheet'!BZ33:CE33)+SUM('Rate Calc Sheet'!BZ48:CE48)+SUM('Rate Calc Sheet'!BZ63:CE63)</f>
        <v>485568</v>
      </c>
      <c r="W3" s="36">
        <f>SUM('Rate Calc Sheet'!CK3)+SUM('Rate Calc Sheet'!CK18)+SUM('Rate Calc Sheet'!CK33)+SUM('Rate Calc Sheet'!CK48)+SUM('Rate Calc Sheet'!CK63)</f>
        <v>0</v>
      </c>
      <c r="X3" s="37">
        <f>SUM('Rate Calc Sheet'!CL3)+SUM('Rate Calc Sheet'!CL18)+SUM('Rate Calc Sheet'!CL33)+SUM('Rate Calc Sheet'!CL48)+SUM('Rate Calc Sheet'!CL63)</f>
        <v>0</v>
      </c>
      <c r="Y3" s="36">
        <f>SUM('Rate Calc Sheet'!CG3)+SUM('Rate Calc Sheet'!CG18)+SUM('Rate Calc Sheet'!CG33)+SUM('Rate Calc Sheet'!CG48)+SUM('Rate Calc Sheet'!CG63)</f>
        <v>0</v>
      </c>
      <c r="Z3" s="42">
        <f>SUM('Rate Calc Sheet'!CH3)+SUM('Rate Calc Sheet'!CH18)+SUM('Rate Calc Sheet'!CH33)+SUM('Rate Calc Sheet'!CH48)+SUM('Rate Calc Sheet'!CH63)</f>
        <v>0</v>
      </c>
      <c r="AA3" s="42">
        <f>SUM('Rate Calc Sheet'!CI3)+SUM('Rate Calc Sheet'!CI18)+SUM('Rate Calc Sheet'!CI33)+SUM('Rate Calc Sheet'!CI48)+SUM('Rate Calc Sheet'!CI63)</f>
        <v>0</v>
      </c>
      <c r="AB3" s="37">
        <f>SUM('Rate Calc Sheet'!CJ3)+SUM('Rate Calc Sheet'!CJ18)+SUM('Rate Calc Sheet'!CJ33)+SUM('Rate Calc Sheet'!CJ48)+SUM('Rate Calc Sheet'!CJ63)</f>
        <v>0</v>
      </c>
      <c r="AC3" s="36">
        <v>0</v>
      </c>
      <c r="AD3" s="37">
        <v>0</v>
      </c>
      <c r="AE3" s="36">
        <v>0</v>
      </c>
      <c r="AF3" s="37">
        <v>0</v>
      </c>
      <c r="AG3" s="2">
        <f>SUM('Rate Calc Sheet'!CR3:CT3)+SUM('Rate Calc Sheet'!CR18:CT18)+SUM('Rate Calc Sheet'!CR33:CT33)+SUM('Rate Calc Sheet'!CR48:CT48)+SUM('Rate Calc Sheet'!CR63:CT63)</f>
        <v>1042008954</v>
      </c>
      <c r="AH3" s="2">
        <f>SUM('Rate Calc Sheet'!CU3:CW3)+SUM('Rate Calc Sheet'!CU18:CW18)+SUM('Rate Calc Sheet'!CU33:CW33)+SUM('Rate Calc Sheet'!CU48:CW48)+SUM('Rate Calc Sheet'!CU63:CW63)</f>
        <v>110163757</v>
      </c>
      <c r="AI3" s="2">
        <f>SUM('Rate Calc Sheet'!CY3:CZ3)+SUM('Rate Calc Sheet'!CY18:CZ18)+SUM('Rate Calc Sheet'!CY33:CZ33)+SUM('Rate Calc Sheet'!CY48:CZ48)+SUM('Rate Calc Sheet'!CY63:CZ63)</f>
        <v>15657156</v>
      </c>
      <c r="AJ3" s="2">
        <f>'Rate Calc Sheet'!DB3+'Rate Calc Sheet'!DB18+'Rate Calc Sheet'!DB33+'Rate Calc Sheet'!DB48+'Rate Calc Sheet'!DB63</f>
        <v>421084</v>
      </c>
      <c r="AK3" s="2">
        <f>'Rate Calc Sheet'!DC3+'Rate Calc Sheet'!DC18+'Rate Calc Sheet'!DC33+'Rate Calc Sheet'!DC48+'Rate Calc Sheet'!DC63</f>
        <v>23731</v>
      </c>
      <c r="AL3" s="2">
        <f>'Rate Calc Sheet'!DD3+'Rate Calc Sheet'!DD18+'Rate Calc Sheet'!DD33+'Rate Calc Sheet'!DD48+'Rate Calc Sheet'!DD63</f>
        <v>337681</v>
      </c>
      <c r="AM3" s="2">
        <f>'Rate Calc Sheet'!DE3+'Rate Calc Sheet'!DE18+'Rate Calc Sheet'!DE33+'Rate Calc Sheet'!DE48+'Rate Calc Sheet'!DE63</f>
        <v>262731</v>
      </c>
      <c r="AN3" s="2">
        <f>'Rate Calc Sheet'!DF3+'Rate Calc Sheet'!DF18+'Rate Calc Sheet'!DF33+'Rate Calc Sheet'!DF48+'Rate Calc Sheet'!DF63</f>
        <v>2764692</v>
      </c>
      <c r="AO3" s="2">
        <f>'Rate Calc Sheet'!DG3+'Rate Calc Sheet'!DG18+'Rate Calc Sheet'!DG33+'Rate Calc Sheet'!DG48+'Rate Calc Sheet'!DG63</f>
        <v>279422</v>
      </c>
      <c r="AP3" s="2">
        <f>'Rate Calc Sheet'!DH3+'Rate Calc Sheet'!DH18+'Rate Calc Sheet'!DH33+'Rate Calc Sheet'!DH48+'Rate Calc Sheet'!DH63</f>
        <v>7079609</v>
      </c>
      <c r="AQ3" s="2">
        <f>'Rate Calc Sheet'!DI3+'Rate Calc Sheet'!DI18+'Rate Calc Sheet'!DI33+'Rate Calc Sheet'!DI48+'Rate Calc Sheet'!DI63</f>
        <v>2156.3850000016391</v>
      </c>
      <c r="AR3" s="2">
        <f>'Rate Calc Sheet'!DJ3+'Rate Calc Sheet'!DJ18+'Rate Calc Sheet'!DJ33+'Rate Calc Sheet'!DJ48+'Rate Calc Sheet'!DJ63</f>
        <v>261019</v>
      </c>
      <c r="AT3" s="2"/>
      <c r="AU3" s="12">
        <f>SUM('DEI Sales by Revenue'!C3:G3)-SUM('DEI Sales by Rate'!C3:AR3)</f>
        <v>-0.88500022888183594</v>
      </c>
    </row>
    <row r="4" spans="1:47" x14ac:dyDescent="0.2">
      <c r="A4" s="4"/>
      <c r="B4" s="4">
        <f>'DEI Sales by Revenue'!B4</f>
        <v>2</v>
      </c>
      <c r="C4" s="2">
        <f>SUM('Rate Calc Sheet'!L4:O4)+SUM('Rate Calc Sheet'!L19:O19)+SUM('Rate Calc Sheet'!L34:O34)+SUM('Rate Calc Sheet'!L49:O49)+SUM('Rate Calc Sheet'!L64:O64)</f>
        <v>85463135</v>
      </c>
      <c r="D4" s="2">
        <f>'Rate Calc Sheet'!P4+'Rate Calc Sheet'!P19+'Rate Calc Sheet'!P34+'Rate Calc Sheet'!P49+'Rate Calc Sheet'!P64</f>
        <v>440488</v>
      </c>
      <c r="E4" s="2">
        <f>SUM('Rate Calc Sheet'!Q4:T4)+SUM('Rate Calc Sheet'!Q19:T19)+SUM('Rate Calc Sheet'!Q34:T34)+SUM('Rate Calc Sheet'!Q49:T49)+SUM('Rate Calc Sheet'!Q64:T64)</f>
        <v>289</v>
      </c>
      <c r="F4" s="2">
        <f>SUM('Rate Calc Sheet'!U4:X4)+SUM('Rate Calc Sheet'!U19:X19)+SUM('Rate Calc Sheet'!U34:X34)+SUM('Rate Calc Sheet'!U49:X49)+SUM('Rate Calc Sheet'!U64:X64)</f>
        <v>1975658</v>
      </c>
      <c r="G4" s="2">
        <f>SUM('Rate Calc Sheet'!Y4:AB4)+SUM('Rate Calc Sheet'!Y19:AB19)+SUM('Rate Calc Sheet'!Y34:AB34)+SUM('Rate Calc Sheet'!Y49:AB49)+SUM('Rate Calc Sheet'!Y64:AB64)</f>
        <v>0</v>
      </c>
      <c r="H4" s="2">
        <f>SUM('Rate Calc Sheet'!AC4:AF4)+SUM('Rate Calc Sheet'!AC19:AF19)+SUM('Rate Calc Sheet'!AC34:AF34)+SUM('Rate Calc Sheet'!AC49:AF49)+SUM('Rate Calc Sheet'!AC64:AF64)</f>
        <v>0</v>
      </c>
      <c r="I4" s="2">
        <f>'Rate Calc Sheet'!AH4+'Rate Calc Sheet'!AH19+'Rate Calc Sheet'!AH34+'Rate Calc Sheet'!AH49+'Rate Calc Sheet'!AH64</f>
        <v>121433318</v>
      </c>
      <c r="J4" s="2">
        <f>'Rate Calc Sheet'!AI4+'Rate Calc Sheet'!AI19+'Rate Calc Sheet'!AI34+'Rate Calc Sheet'!AI49+'Rate Calc Sheet'!AI64</f>
        <v>96207108</v>
      </c>
      <c r="K4" s="2">
        <f>'Rate Calc Sheet'!AJ4+'Rate Calc Sheet'!AJ19+'Rate Calc Sheet'!AJ34+'Rate Calc Sheet'!AJ49+'Rate Calc Sheet'!AJ64</f>
        <v>9654442</v>
      </c>
      <c r="L4" s="2">
        <f>'Rate Calc Sheet'!AK4+'Rate Calc Sheet'!AK19+'Rate Calc Sheet'!AK34+'Rate Calc Sheet'!AK49+'Rate Calc Sheet'!AK64</f>
        <v>48159</v>
      </c>
      <c r="M4" s="2">
        <f>'Rate Calc Sheet'!AL4+'Rate Calc Sheet'!AL19+'Rate Calc Sheet'!AL34+'Rate Calc Sheet'!AL49+'Rate Calc Sheet'!AL64</f>
        <v>152382983</v>
      </c>
      <c r="N4" s="2">
        <f>'Rate Calc Sheet'!AM4+'Rate Calc Sheet'!AM19+'Rate Calc Sheet'!AM34+'Rate Calc Sheet'!AM49+'Rate Calc Sheet'!AM64</f>
        <v>150140219</v>
      </c>
      <c r="O4" s="2">
        <f>'Rate Calc Sheet'!AN4+'Rate Calc Sheet'!AN19+'Rate Calc Sheet'!AN34+'Rate Calc Sheet'!AN49+'Rate Calc Sheet'!AN64</f>
        <v>286146643</v>
      </c>
      <c r="P4" s="2">
        <f>SUM('Rate Calc Sheet'!AP4:AU4)+SUM('Rate Calc Sheet'!AP19:AU19)+SUM('Rate Calc Sheet'!AP34:AU34)+SUM('Rate Calc Sheet'!AP49:AU49)+SUM('Rate Calc Sheet'!AP64:AU64)</f>
        <v>14170297</v>
      </c>
      <c r="Q4" s="2">
        <f>SUM('Rate Calc Sheet'!AV4:BA4)+SUM('Rate Calc Sheet'!AV19:BA19)+SUM('Rate Calc Sheet'!AV34:BA34)+SUM('Rate Calc Sheet'!AV49:BA49)+SUM('Rate Calc Sheet'!AV64:BA64)</f>
        <v>26782750</v>
      </c>
      <c r="R4" s="2">
        <f>SUM('Rate Calc Sheet'!BB4:BG4)+SUM('Rate Calc Sheet'!BB19:BG19)+SUM('Rate Calc Sheet'!BB34:BG34)+SUM('Rate Calc Sheet'!BB49:BG49)+SUM('Rate Calc Sheet'!BB64:BG64)</f>
        <v>56957470</v>
      </c>
      <c r="S4" s="2">
        <f>SUM('Rate Calc Sheet'!BH4:BM4)+SUM('Rate Calc Sheet'!BH19:BM19)+SUM('Rate Calc Sheet'!BH34:BM34)+SUM('Rate Calc Sheet'!BH49:BM49)+SUM('Rate Calc Sheet'!BH64:BM64)</f>
        <v>341389330</v>
      </c>
      <c r="T4" s="2">
        <f>SUM('Rate Calc Sheet'!BN4:BS4)+SUM('Rate Calc Sheet'!BN19:BS19)+SUM('Rate Calc Sheet'!BN34:BS34)+SUM('Rate Calc Sheet'!BN49:BS49)+SUM('Rate Calc Sheet'!BN64:BS64)</f>
        <v>14120535</v>
      </c>
      <c r="U4" s="2">
        <f>SUM('Rate Calc Sheet'!BT4:BY4)+SUM('Rate Calc Sheet'!BT19:BY19)+SUM('Rate Calc Sheet'!BT34:BY34)+SUM('Rate Calc Sheet'!BT49:BY49)+SUM('Rate Calc Sheet'!BT64:BY64)</f>
        <v>37487</v>
      </c>
      <c r="V4" s="2">
        <f>SUM('Rate Calc Sheet'!BZ4:CE4)+SUM('Rate Calc Sheet'!BZ19:CE19)+SUM('Rate Calc Sheet'!BZ34:CE34)+SUM('Rate Calc Sheet'!BZ49:CE49)+SUM('Rate Calc Sheet'!BZ64:CE64)</f>
        <v>441817</v>
      </c>
      <c r="W4" s="36">
        <f>SUM('Rate Calc Sheet'!CK4)+SUM('Rate Calc Sheet'!CK19)+SUM('Rate Calc Sheet'!CK34)+SUM('Rate Calc Sheet'!CK49)+SUM('Rate Calc Sheet'!CK64)</f>
        <v>0</v>
      </c>
      <c r="X4" s="37">
        <f>SUM('Rate Calc Sheet'!CL4)+SUM('Rate Calc Sheet'!CL19)+SUM('Rate Calc Sheet'!CL34)+SUM('Rate Calc Sheet'!CL49)+SUM('Rate Calc Sheet'!CL64)</f>
        <v>0</v>
      </c>
      <c r="Y4" s="36">
        <f>SUM('Rate Calc Sheet'!CG4)+SUM('Rate Calc Sheet'!CG19)+SUM('Rate Calc Sheet'!CG34)+SUM('Rate Calc Sheet'!CG49)+SUM('Rate Calc Sheet'!CG64)</f>
        <v>0</v>
      </c>
      <c r="Z4" s="42">
        <f>SUM('Rate Calc Sheet'!CH4)+SUM('Rate Calc Sheet'!CH19)+SUM('Rate Calc Sheet'!CH34)+SUM('Rate Calc Sheet'!CH49)+SUM('Rate Calc Sheet'!CH64)</f>
        <v>0</v>
      </c>
      <c r="AA4" s="42">
        <f>SUM('Rate Calc Sheet'!CI4)+SUM('Rate Calc Sheet'!CI19)+SUM('Rate Calc Sheet'!CI34)+SUM('Rate Calc Sheet'!CI49)+SUM('Rate Calc Sheet'!CI64)</f>
        <v>0</v>
      </c>
      <c r="AB4" s="37">
        <f>SUM('Rate Calc Sheet'!CJ4)+SUM('Rate Calc Sheet'!CJ19)+SUM('Rate Calc Sheet'!CJ34)+SUM('Rate Calc Sheet'!CJ49)+SUM('Rate Calc Sheet'!CJ64)</f>
        <v>0</v>
      </c>
      <c r="AC4" s="36">
        <v>0</v>
      </c>
      <c r="AD4" s="37">
        <v>0</v>
      </c>
      <c r="AE4" s="36">
        <v>0</v>
      </c>
      <c r="AF4" s="37">
        <v>0</v>
      </c>
      <c r="AG4" s="2">
        <f>SUM('Rate Calc Sheet'!CR4:CT4)+SUM('Rate Calc Sheet'!CR19:CT19)+SUM('Rate Calc Sheet'!CR34:CT34)+SUM('Rate Calc Sheet'!CR49:CT49)+SUM('Rate Calc Sheet'!CR64:CT64)</f>
        <v>876654752</v>
      </c>
      <c r="AH4" s="2">
        <f>SUM('Rate Calc Sheet'!CU4:CW4)+SUM('Rate Calc Sheet'!CU19:CW19)+SUM('Rate Calc Sheet'!CU34:CW34)+SUM('Rate Calc Sheet'!CU49:CW49)+SUM('Rate Calc Sheet'!CU64:CW64)</f>
        <v>91303640</v>
      </c>
      <c r="AI4" s="2">
        <f>SUM('Rate Calc Sheet'!CY4:CZ4)+SUM('Rate Calc Sheet'!CY19:CZ19)+SUM('Rate Calc Sheet'!CY34:CZ34)+SUM('Rate Calc Sheet'!CY49:CZ49)+SUM('Rate Calc Sheet'!CY64:CZ64)</f>
        <v>14948460</v>
      </c>
      <c r="AJ4" s="2">
        <f>'Rate Calc Sheet'!DB4+'Rate Calc Sheet'!DB19+'Rate Calc Sheet'!DB34+'Rate Calc Sheet'!DB49+'Rate Calc Sheet'!DB64</f>
        <v>387926</v>
      </c>
      <c r="AK4" s="2">
        <f>'Rate Calc Sheet'!DC4+'Rate Calc Sheet'!DC19+'Rate Calc Sheet'!DC34+'Rate Calc Sheet'!DC49+'Rate Calc Sheet'!DC64</f>
        <v>24146</v>
      </c>
      <c r="AL4" s="2">
        <f>'Rate Calc Sheet'!DD4+'Rate Calc Sheet'!DD19+'Rate Calc Sheet'!DD34+'Rate Calc Sheet'!DD49+'Rate Calc Sheet'!DD64</f>
        <v>281976</v>
      </c>
      <c r="AM4" s="2">
        <f>'Rate Calc Sheet'!DE4+'Rate Calc Sheet'!DE19+'Rate Calc Sheet'!DE34+'Rate Calc Sheet'!DE49+'Rate Calc Sheet'!DE64</f>
        <v>240503</v>
      </c>
      <c r="AN4" s="2">
        <f>'Rate Calc Sheet'!DF4+'Rate Calc Sheet'!DF19+'Rate Calc Sheet'!DF34+'Rate Calc Sheet'!DF49+'Rate Calc Sheet'!DF64</f>
        <v>2787244</v>
      </c>
      <c r="AO4" s="2">
        <f>'Rate Calc Sheet'!DG4+'Rate Calc Sheet'!DG19+'Rate Calc Sheet'!DG34+'Rate Calc Sheet'!DG49+'Rate Calc Sheet'!DG64</f>
        <v>283694</v>
      </c>
      <c r="AP4" s="2">
        <f>'Rate Calc Sheet'!DH4+'Rate Calc Sheet'!DH19+'Rate Calc Sheet'!DH34+'Rate Calc Sheet'!DH49+'Rate Calc Sheet'!DH64</f>
        <v>7051857</v>
      </c>
      <c r="AQ4" s="2">
        <f>'Rate Calc Sheet'!DI4+'Rate Calc Sheet'!DI19+'Rate Calc Sheet'!DI34+'Rate Calc Sheet'!DI49+'Rate Calc Sheet'!DI64</f>
        <v>1868.3959999978542</v>
      </c>
      <c r="AR4" s="2">
        <f>'Rate Calc Sheet'!DJ4+'Rate Calc Sheet'!DJ19+'Rate Calc Sheet'!DJ34+'Rate Calc Sheet'!DJ49+'Rate Calc Sheet'!DJ64</f>
        <v>290654</v>
      </c>
      <c r="AS4" s="3"/>
      <c r="AT4" s="2"/>
      <c r="AU4" s="12">
        <f>SUM('DEI Sales by Revenue'!C4:G4)-SUM('DEI Sales by Rate'!C4:AR4)</f>
        <v>-0.89599990844726563</v>
      </c>
    </row>
    <row r="5" spans="1:47" x14ac:dyDescent="0.2">
      <c r="A5" s="4"/>
      <c r="B5" s="4">
        <f>'DEI Sales by Revenue'!B5</f>
        <v>3</v>
      </c>
      <c r="C5" s="2">
        <f>SUM('Rate Calc Sheet'!L5:O5)+SUM('Rate Calc Sheet'!L20:O20)+SUM('Rate Calc Sheet'!L35:O35)+SUM('Rate Calc Sheet'!L50:O50)+SUM('Rate Calc Sheet'!L65:O65)</f>
        <v>75610820</v>
      </c>
      <c r="D5" s="2">
        <f>'Rate Calc Sheet'!P5+'Rate Calc Sheet'!P20+'Rate Calc Sheet'!P35+'Rate Calc Sheet'!P50+'Rate Calc Sheet'!P65</f>
        <v>387467</v>
      </c>
      <c r="E5" s="2">
        <f>SUM('Rate Calc Sheet'!Q5:T5)+SUM('Rate Calc Sheet'!Q20:T20)+SUM('Rate Calc Sheet'!Q35:T35)+SUM('Rate Calc Sheet'!Q50:T50)+SUM('Rate Calc Sheet'!Q65:T65)</f>
        <v>278</v>
      </c>
      <c r="F5" s="2">
        <f>SUM('Rate Calc Sheet'!U5:X5)+SUM('Rate Calc Sheet'!U20:X20)+SUM('Rate Calc Sheet'!U35:X35)+SUM('Rate Calc Sheet'!U50:X50)+SUM('Rate Calc Sheet'!U65:X65)</f>
        <v>1925615</v>
      </c>
      <c r="G5" s="2">
        <f>SUM('Rate Calc Sheet'!Y5:AB5)+SUM('Rate Calc Sheet'!Y20:AB20)+SUM('Rate Calc Sheet'!Y35:AB35)+SUM('Rate Calc Sheet'!Y50:AB50)+SUM('Rate Calc Sheet'!Y65:AB65)</f>
        <v>0</v>
      </c>
      <c r="H5" s="2">
        <f>SUM('Rate Calc Sheet'!AC5:AF5)+SUM('Rate Calc Sheet'!AC20:AF20)+SUM('Rate Calc Sheet'!AC35:AF35)+SUM('Rate Calc Sheet'!AC50:AF50)+SUM('Rate Calc Sheet'!AC65:AF65)</f>
        <v>0</v>
      </c>
      <c r="I5" s="2">
        <f>'Rate Calc Sheet'!AH5+'Rate Calc Sheet'!AH20+'Rate Calc Sheet'!AH35+'Rate Calc Sheet'!AH50+'Rate Calc Sheet'!AH65</f>
        <v>112066592</v>
      </c>
      <c r="J5" s="2">
        <f>'Rate Calc Sheet'!AI5+'Rate Calc Sheet'!AI20+'Rate Calc Sheet'!AI35+'Rate Calc Sheet'!AI50+'Rate Calc Sheet'!AI65</f>
        <v>95419815</v>
      </c>
      <c r="K5" s="2">
        <f>'Rate Calc Sheet'!AJ5+'Rate Calc Sheet'!AJ20+'Rate Calc Sheet'!AJ35+'Rate Calc Sheet'!AJ50+'Rate Calc Sheet'!AJ65</f>
        <v>10205738</v>
      </c>
      <c r="L5" s="2">
        <f>'Rate Calc Sheet'!AK5+'Rate Calc Sheet'!AK20+'Rate Calc Sheet'!AK35+'Rate Calc Sheet'!AK50+'Rate Calc Sheet'!AK65</f>
        <v>40486</v>
      </c>
      <c r="M5" s="2">
        <f>'Rate Calc Sheet'!AL5+'Rate Calc Sheet'!AL20+'Rate Calc Sheet'!AL35+'Rate Calc Sheet'!AL50+'Rate Calc Sheet'!AL65</f>
        <v>146030239</v>
      </c>
      <c r="N5" s="2">
        <f>'Rate Calc Sheet'!AM5+'Rate Calc Sheet'!AM20+'Rate Calc Sheet'!AM35+'Rate Calc Sheet'!AM50+'Rate Calc Sheet'!AM65</f>
        <v>142112959</v>
      </c>
      <c r="O5" s="2">
        <f>'Rate Calc Sheet'!AN5+'Rate Calc Sheet'!AN20+'Rate Calc Sheet'!AN35+'Rate Calc Sheet'!AN50+'Rate Calc Sheet'!AN65</f>
        <v>273955649</v>
      </c>
      <c r="P5" s="2">
        <f>SUM('Rate Calc Sheet'!AP5:AU5)+SUM('Rate Calc Sheet'!AP20:AU20)+SUM('Rate Calc Sheet'!AP35:AU35)+SUM('Rate Calc Sheet'!AP50:AU50)+SUM('Rate Calc Sheet'!AP65:AU65)</f>
        <v>12110214</v>
      </c>
      <c r="Q5" s="2">
        <f>SUM('Rate Calc Sheet'!AV5:BA5)+SUM('Rate Calc Sheet'!AV20:BA20)+SUM('Rate Calc Sheet'!AV35:BA35)+SUM('Rate Calc Sheet'!AV50:BA50)+SUM('Rate Calc Sheet'!AV65:BA65)</f>
        <v>25693225</v>
      </c>
      <c r="R5" s="2">
        <f>SUM('Rate Calc Sheet'!BB5:BG5)+SUM('Rate Calc Sheet'!BB20:BG20)+SUM('Rate Calc Sheet'!BB35:BG35)+SUM('Rate Calc Sheet'!BB50:BG50)+SUM('Rate Calc Sheet'!BB65:BG65)</f>
        <v>55603203</v>
      </c>
      <c r="S5" s="2">
        <f>SUM('Rate Calc Sheet'!BH5:BM5)+SUM('Rate Calc Sheet'!BH20:BM20)+SUM('Rate Calc Sheet'!BH35:BM35)+SUM('Rate Calc Sheet'!BH50:BM50)+SUM('Rate Calc Sheet'!BH65:BM65)</f>
        <v>315052114</v>
      </c>
      <c r="T5" s="2">
        <f>SUM('Rate Calc Sheet'!BN5:BS5)+SUM('Rate Calc Sheet'!BN20:BS20)+SUM('Rate Calc Sheet'!BN35:BS35)+SUM('Rate Calc Sheet'!BN50:BS50)+SUM('Rate Calc Sheet'!BN65:BS65)</f>
        <v>12623165</v>
      </c>
      <c r="U5" s="2">
        <f>SUM('Rate Calc Sheet'!BT5:BY5)+SUM('Rate Calc Sheet'!BT20:BY20)+SUM('Rate Calc Sheet'!BT35:BY35)+SUM('Rate Calc Sheet'!BT50:BY50)+SUM('Rate Calc Sheet'!BT65:BY65)</f>
        <v>36253</v>
      </c>
      <c r="V5" s="2">
        <f>SUM('Rate Calc Sheet'!BZ5:CE5)+SUM('Rate Calc Sheet'!BZ20:CE20)+SUM('Rate Calc Sheet'!BZ35:CE35)+SUM('Rate Calc Sheet'!BZ50:CE50)+SUM('Rate Calc Sheet'!BZ65:CE65)</f>
        <v>614118</v>
      </c>
      <c r="W5" s="36">
        <f>SUM('Rate Calc Sheet'!CK5)+SUM('Rate Calc Sheet'!CK20)+SUM('Rate Calc Sheet'!CK35)+SUM('Rate Calc Sheet'!CK50)+SUM('Rate Calc Sheet'!CK65)</f>
        <v>0</v>
      </c>
      <c r="X5" s="37">
        <f>SUM('Rate Calc Sheet'!CL5)+SUM('Rate Calc Sheet'!CL20)+SUM('Rate Calc Sheet'!CL35)+SUM('Rate Calc Sheet'!CL50)+SUM('Rate Calc Sheet'!CL65)</f>
        <v>0</v>
      </c>
      <c r="Y5" s="36">
        <f>SUM('Rate Calc Sheet'!CG5)+SUM('Rate Calc Sheet'!CG20)+SUM('Rate Calc Sheet'!CG35)+SUM('Rate Calc Sheet'!CG50)+SUM('Rate Calc Sheet'!CG65)</f>
        <v>0</v>
      </c>
      <c r="Z5" s="42">
        <f>SUM('Rate Calc Sheet'!CH5)+SUM('Rate Calc Sheet'!CH20)+SUM('Rate Calc Sheet'!CH35)+SUM('Rate Calc Sheet'!CH50)+SUM('Rate Calc Sheet'!CH65)</f>
        <v>0</v>
      </c>
      <c r="AA5" s="42">
        <f>SUM('Rate Calc Sheet'!CI5)+SUM('Rate Calc Sheet'!CI20)+SUM('Rate Calc Sheet'!CI35)+SUM('Rate Calc Sheet'!CI50)+SUM('Rate Calc Sheet'!CI65)</f>
        <v>0</v>
      </c>
      <c r="AB5" s="37">
        <f>SUM('Rate Calc Sheet'!CJ5)+SUM('Rate Calc Sheet'!CJ20)+SUM('Rate Calc Sheet'!CJ35)+SUM('Rate Calc Sheet'!CJ50)+SUM('Rate Calc Sheet'!CJ65)</f>
        <v>0</v>
      </c>
      <c r="AC5" s="36">
        <v>0</v>
      </c>
      <c r="AD5" s="37">
        <v>0</v>
      </c>
      <c r="AE5" s="36">
        <v>0</v>
      </c>
      <c r="AF5" s="37">
        <v>0</v>
      </c>
      <c r="AG5" s="2">
        <f>SUM('Rate Calc Sheet'!CR5:CT5)+SUM('Rate Calc Sheet'!CR20:CT20)+SUM('Rate Calc Sheet'!CR35:CT35)+SUM('Rate Calc Sheet'!CR50:CT50)+SUM('Rate Calc Sheet'!CR65:CT65)</f>
        <v>722070314</v>
      </c>
      <c r="AH5" s="2">
        <f>SUM('Rate Calc Sheet'!CU5:CW5)+SUM('Rate Calc Sheet'!CU20:CW20)+SUM('Rate Calc Sheet'!CU35:CW35)+SUM('Rate Calc Sheet'!CU50:CW50)+SUM('Rate Calc Sheet'!CU65:CW65)</f>
        <v>69006478</v>
      </c>
      <c r="AI5" s="2">
        <f>SUM('Rate Calc Sheet'!CY5:CZ5)+SUM('Rate Calc Sheet'!CY20:CZ20)+SUM('Rate Calc Sheet'!CY35:CZ35)+SUM('Rate Calc Sheet'!CY50:CZ50)+SUM('Rate Calc Sheet'!CY65:CZ65)</f>
        <v>13852422</v>
      </c>
      <c r="AJ5" s="2">
        <f>'Rate Calc Sheet'!DB5+'Rate Calc Sheet'!DB20+'Rate Calc Sheet'!DB35+'Rate Calc Sheet'!DB50+'Rate Calc Sheet'!DB65</f>
        <v>363351</v>
      </c>
      <c r="AK5" s="2">
        <f>'Rate Calc Sheet'!DC5+'Rate Calc Sheet'!DC20+'Rate Calc Sheet'!DC35+'Rate Calc Sheet'!DC50+'Rate Calc Sheet'!DC65</f>
        <v>24285</v>
      </c>
      <c r="AL5" s="2">
        <f>'Rate Calc Sheet'!DD5+'Rate Calc Sheet'!DD20+'Rate Calc Sheet'!DD35+'Rate Calc Sheet'!DD50+'Rate Calc Sheet'!DD65</f>
        <v>252913</v>
      </c>
      <c r="AM5" s="2">
        <f>'Rate Calc Sheet'!DE5+'Rate Calc Sheet'!DE20+'Rate Calc Sheet'!DE35+'Rate Calc Sheet'!DE50+'Rate Calc Sheet'!DE65</f>
        <v>231733</v>
      </c>
      <c r="AN5" s="2">
        <f>'Rate Calc Sheet'!DF5+'Rate Calc Sheet'!DF20+'Rate Calc Sheet'!DF35+'Rate Calc Sheet'!DF50+'Rate Calc Sheet'!DF65</f>
        <v>2790191</v>
      </c>
      <c r="AO5" s="2">
        <f>'Rate Calc Sheet'!DG5+'Rate Calc Sheet'!DG20+'Rate Calc Sheet'!DG35+'Rate Calc Sheet'!DG50+'Rate Calc Sheet'!DG65</f>
        <v>285330</v>
      </c>
      <c r="AP5" s="2">
        <f>'Rate Calc Sheet'!DH5+'Rate Calc Sheet'!DH20+'Rate Calc Sheet'!DH35+'Rate Calc Sheet'!DH50+'Rate Calc Sheet'!DH65</f>
        <v>6981685</v>
      </c>
      <c r="AQ5" s="2">
        <f>'Rate Calc Sheet'!DI5+'Rate Calc Sheet'!DI20+'Rate Calc Sheet'!DI35+'Rate Calc Sheet'!DI50+'Rate Calc Sheet'!DI65</f>
        <v>1722.054999999702</v>
      </c>
      <c r="AR5" s="2">
        <f>'Rate Calc Sheet'!DJ5+'Rate Calc Sheet'!DJ20+'Rate Calc Sheet'!DJ35+'Rate Calc Sheet'!DJ50+'Rate Calc Sheet'!DJ65</f>
        <v>306170</v>
      </c>
      <c r="AS5" s="3"/>
      <c r="AT5" s="2"/>
      <c r="AU5" s="12">
        <f>SUM('DEI Sales by Revenue'!C5:G5)-SUM('DEI Sales by Rate'!C5:AR5)</f>
        <v>-0.55499982833862305</v>
      </c>
    </row>
    <row r="6" spans="1:47" x14ac:dyDescent="0.2">
      <c r="A6" s="4"/>
      <c r="B6" s="4">
        <f>'DEI Sales by Revenue'!B6</f>
        <v>4</v>
      </c>
      <c r="C6" s="2">
        <f>SUM('Rate Calc Sheet'!L6:O6)+SUM('Rate Calc Sheet'!L21:O21)+SUM('Rate Calc Sheet'!L36:O36)+SUM('Rate Calc Sheet'!L51:O51)+SUM('Rate Calc Sheet'!L66:O66)</f>
        <v>67973076</v>
      </c>
      <c r="D6" s="2">
        <f>'Rate Calc Sheet'!P6+'Rate Calc Sheet'!P21+'Rate Calc Sheet'!P36+'Rate Calc Sheet'!P51+'Rate Calc Sheet'!P66</f>
        <v>349663</v>
      </c>
      <c r="E6" s="2">
        <f>SUM('Rate Calc Sheet'!Q6:T6)+SUM('Rate Calc Sheet'!Q21:T21)+SUM('Rate Calc Sheet'!Q36:T36)+SUM('Rate Calc Sheet'!Q51:T51)+SUM('Rate Calc Sheet'!Q66:T66)</f>
        <v>264</v>
      </c>
      <c r="F6" s="2">
        <f>SUM('Rate Calc Sheet'!U6:X6)+SUM('Rate Calc Sheet'!U21:X21)+SUM('Rate Calc Sheet'!U36:X36)+SUM('Rate Calc Sheet'!U51:X51)+SUM('Rate Calc Sheet'!U66:X66)</f>
        <v>1858631</v>
      </c>
      <c r="G6" s="2">
        <f>SUM('Rate Calc Sheet'!Y6:AB6)+SUM('Rate Calc Sheet'!Y21:AB21)+SUM('Rate Calc Sheet'!Y36:AB36)+SUM('Rate Calc Sheet'!Y51:AB51)+SUM('Rate Calc Sheet'!Y66:AB66)</f>
        <v>0</v>
      </c>
      <c r="H6" s="2">
        <f>SUM('Rate Calc Sheet'!AC6:AF6)+SUM('Rate Calc Sheet'!AC21:AF21)+SUM('Rate Calc Sheet'!AC36:AF36)+SUM('Rate Calc Sheet'!AC51:AF51)+SUM('Rate Calc Sheet'!AC66:AF66)</f>
        <v>0</v>
      </c>
      <c r="I6" s="2">
        <f>'Rate Calc Sheet'!AH6+'Rate Calc Sheet'!AH21+'Rate Calc Sheet'!AH36+'Rate Calc Sheet'!AH51+'Rate Calc Sheet'!AH66</f>
        <v>92373400</v>
      </c>
      <c r="J6" s="2">
        <f>'Rate Calc Sheet'!AI6+'Rate Calc Sheet'!AI21+'Rate Calc Sheet'!AI36+'Rate Calc Sheet'!AI51+'Rate Calc Sheet'!AI66</f>
        <v>79288467</v>
      </c>
      <c r="K6" s="2">
        <f>'Rate Calc Sheet'!AJ6+'Rate Calc Sheet'!AJ21+'Rate Calc Sheet'!AJ36+'Rate Calc Sheet'!AJ51+'Rate Calc Sheet'!AJ66</f>
        <v>7676661</v>
      </c>
      <c r="L6" s="2">
        <f>'Rate Calc Sheet'!AK6+'Rate Calc Sheet'!AK21+'Rate Calc Sheet'!AK36+'Rate Calc Sheet'!AK51+'Rate Calc Sheet'!AK66</f>
        <v>54668</v>
      </c>
      <c r="M6" s="2">
        <f>'Rate Calc Sheet'!AL6+'Rate Calc Sheet'!AL21+'Rate Calc Sheet'!AL36+'Rate Calc Sheet'!AL51+'Rate Calc Sheet'!AL66</f>
        <v>136267449</v>
      </c>
      <c r="N6" s="2">
        <f>'Rate Calc Sheet'!AM6+'Rate Calc Sheet'!AM21+'Rate Calc Sheet'!AM36+'Rate Calc Sheet'!AM51+'Rate Calc Sheet'!AM66</f>
        <v>126887405</v>
      </c>
      <c r="O6" s="2">
        <f>'Rate Calc Sheet'!AN6+'Rate Calc Sheet'!AN21+'Rate Calc Sheet'!AN36+'Rate Calc Sheet'!AN51+'Rate Calc Sheet'!AN66</f>
        <v>250316395</v>
      </c>
      <c r="P6" s="2">
        <f>SUM('Rate Calc Sheet'!AP6:AU6)+SUM('Rate Calc Sheet'!AP21:AU21)+SUM('Rate Calc Sheet'!AP36:AU36)+SUM('Rate Calc Sheet'!AP51:AU51)+SUM('Rate Calc Sheet'!AP66:AU66)</f>
        <v>10157068</v>
      </c>
      <c r="Q6" s="2">
        <f>SUM('Rate Calc Sheet'!AV6:BA6)+SUM('Rate Calc Sheet'!AV21:BA21)+SUM('Rate Calc Sheet'!AV36:BA36)+SUM('Rate Calc Sheet'!AV51:BA51)+SUM('Rate Calc Sheet'!AV66:BA66)</f>
        <v>21620197</v>
      </c>
      <c r="R6" s="2">
        <f>SUM('Rate Calc Sheet'!BB6:BG6)+SUM('Rate Calc Sheet'!BB21:BG21)+SUM('Rate Calc Sheet'!BB36:BG36)+SUM('Rate Calc Sheet'!BB51:BG51)+SUM('Rate Calc Sheet'!BB66:BG66)</f>
        <v>45986309</v>
      </c>
      <c r="S6" s="2">
        <f>SUM('Rate Calc Sheet'!BH6:BM6)+SUM('Rate Calc Sheet'!BH21:BM21)+SUM('Rate Calc Sheet'!BH36:BM36)+SUM('Rate Calc Sheet'!BH51:BM51)+SUM('Rate Calc Sheet'!BH66:BM66)</f>
        <v>286265571</v>
      </c>
      <c r="T6" s="2">
        <f>SUM('Rate Calc Sheet'!BN6:BS6)+SUM('Rate Calc Sheet'!BN21:BS21)+SUM('Rate Calc Sheet'!BN36:BS36)+SUM('Rate Calc Sheet'!BN51:BS51)+SUM('Rate Calc Sheet'!BN66:BS66)</f>
        <v>11173218</v>
      </c>
      <c r="U6" s="2">
        <f>SUM('Rate Calc Sheet'!BT6:BY6)+SUM('Rate Calc Sheet'!BT21:BY21)+SUM('Rate Calc Sheet'!BT36:BY36)+SUM('Rate Calc Sheet'!BT51:BY51)+SUM('Rate Calc Sheet'!BT66:BY66)</f>
        <v>737782</v>
      </c>
      <c r="V6" s="2">
        <f>SUM('Rate Calc Sheet'!BZ6:CE6)+SUM('Rate Calc Sheet'!BZ21:CE21)+SUM('Rate Calc Sheet'!BZ36:CE36)+SUM('Rate Calc Sheet'!BZ51:CE51)+SUM('Rate Calc Sheet'!BZ66:CE66)</f>
        <v>512927</v>
      </c>
      <c r="W6" s="36">
        <f>SUM('Rate Calc Sheet'!CK6)+SUM('Rate Calc Sheet'!CK21)+SUM('Rate Calc Sheet'!CK36)+SUM('Rate Calc Sheet'!CK51)+SUM('Rate Calc Sheet'!CK66)</f>
        <v>0</v>
      </c>
      <c r="X6" s="37">
        <f>SUM('Rate Calc Sheet'!CL6)+SUM('Rate Calc Sheet'!CL21)+SUM('Rate Calc Sheet'!CL36)+SUM('Rate Calc Sheet'!CL51)+SUM('Rate Calc Sheet'!CL66)</f>
        <v>0</v>
      </c>
      <c r="Y6" s="36">
        <f>SUM('Rate Calc Sheet'!CG6)+SUM('Rate Calc Sheet'!CG21)+SUM('Rate Calc Sheet'!CG36)+SUM('Rate Calc Sheet'!CG51)+SUM('Rate Calc Sheet'!CG66)</f>
        <v>0</v>
      </c>
      <c r="Z6" s="42">
        <f>SUM('Rate Calc Sheet'!CH6)+SUM('Rate Calc Sheet'!CH21)+SUM('Rate Calc Sheet'!CH36)+SUM('Rate Calc Sheet'!CH51)+SUM('Rate Calc Sheet'!CH66)</f>
        <v>0</v>
      </c>
      <c r="AA6" s="42">
        <f>SUM('Rate Calc Sheet'!CI6)+SUM('Rate Calc Sheet'!CI21)+SUM('Rate Calc Sheet'!CI36)+SUM('Rate Calc Sheet'!CI51)+SUM('Rate Calc Sheet'!CI66)</f>
        <v>0</v>
      </c>
      <c r="AB6" s="37">
        <f>SUM('Rate Calc Sheet'!CJ6)+SUM('Rate Calc Sheet'!CJ21)+SUM('Rate Calc Sheet'!CJ36)+SUM('Rate Calc Sheet'!CJ51)+SUM('Rate Calc Sheet'!CJ66)</f>
        <v>0</v>
      </c>
      <c r="AC6" s="36">
        <v>0</v>
      </c>
      <c r="AD6" s="37">
        <v>0</v>
      </c>
      <c r="AE6" s="36">
        <v>0</v>
      </c>
      <c r="AF6" s="37">
        <v>0</v>
      </c>
      <c r="AG6" s="2">
        <f>SUM('Rate Calc Sheet'!CR6:CT6)+SUM('Rate Calc Sheet'!CR21:CT21)+SUM('Rate Calc Sheet'!CR36:CT36)+SUM('Rate Calc Sheet'!CR51:CT51)+SUM('Rate Calc Sheet'!CR66:CT66)</f>
        <v>558892511</v>
      </c>
      <c r="AH6" s="2">
        <f>SUM('Rate Calc Sheet'!CU6:CW6)+SUM('Rate Calc Sheet'!CU21:CW21)+SUM('Rate Calc Sheet'!CU36:CW36)+SUM('Rate Calc Sheet'!CU51:CW51)+SUM('Rate Calc Sheet'!CU66:CW66)</f>
        <v>50188696</v>
      </c>
      <c r="AI6" s="2">
        <f>SUM('Rate Calc Sheet'!CY6:CZ6)+SUM('Rate Calc Sheet'!CY21:CZ21)+SUM('Rate Calc Sheet'!CY36:CZ36)+SUM('Rate Calc Sheet'!CY51:CZ51)+SUM('Rate Calc Sheet'!CY66:CZ66)</f>
        <v>12288275</v>
      </c>
      <c r="AJ6" s="2">
        <f>'Rate Calc Sheet'!DB6+'Rate Calc Sheet'!DB21+'Rate Calc Sheet'!DB36+'Rate Calc Sheet'!DB51+'Rate Calc Sheet'!DB66</f>
        <v>319040</v>
      </c>
      <c r="AK6" s="2">
        <f>'Rate Calc Sheet'!DC6+'Rate Calc Sheet'!DC21+'Rate Calc Sheet'!DC36+'Rate Calc Sheet'!DC51+'Rate Calc Sheet'!DC66</f>
        <v>24473</v>
      </c>
      <c r="AL6" s="2">
        <f>'Rate Calc Sheet'!DD6+'Rate Calc Sheet'!DD21+'Rate Calc Sheet'!DD36+'Rate Calc Sheet'!DD51+'Rate Calc Sheet'!DD66</f>
        <v>223600</v>
      </c>
      <c r="AM6" s="2">
        <f>'Rate Calc Sheet'!DE6+'Rate Calc Sheet'!DE21+'Rate Calc Sheet'!DE36+'Rate Calc Sheet'!DE51+'Rate Calc Sheet'!DE66</f>
        <v>234012</v>
      </c>
      <c r="AN6" s="2">
        <f>'Rate Calc Sheet'!DF6+'Rate Calc Sheet'!DF21+'Rate Calc Sheet'!DF36+'Rate Calc Sheet'!DF51+'Rate Calc Sheet'!DF66</f>
        <v>2776488</v>
      </c>
      <c r="AO6" s="2">
        <f>'Rate Calc Sheet'!DG6+'Rate Calc Sheet'!DG21+'Rate Calc Sheet'!DG36+'Rate Calc Sheet'!DG51+'Rate Calc Sheet'!DG66</f>
        <v>283651</v>
      </c>
      <c r="AP6" s="2">
        <f>'Rate Calc Sheet'!DH6+'Rate Calc Sheet'!DH21+'Rate Calc Sheet'!DH36+'Rate Calc Sheet'!DH51+'Rate Calc Sheet'!DH66</f>
        <v>6937522</v>
      </c>
      <c r="AQ6" s="2">
        <f>'Rate Calc Sheet'!DI6+'Rate Calc Sheet'!DI21+'Rate Calc Sheet'!DI36+'Rate Calc Sheet'!DI51+'Rate Calc Sheet'!DI66</f>
        <v>1722.4030000008643</v>
      </c>
      <c r="AR6" s="2">
        <f>'Rate Calc Sheet'!DJ6+'Rate Calc Sheet'!DJ21+'Rate Calc Sheet'!DJ36+'Rate Calc Sheet'!DJ51+'Rate Calc Sheet'!DJ66</f>
        <v>325819</v>
      </c>
      <c r="AT6" s="2"/>
      <c r="AU6" s="12">
        <f>SUM('DEI Sales by Revenue'!C6:G6)-SUM('DEI Sales by Rate'!C6:AR6)</f>
        <v>-1.9030001163482666</v>
      </c>
    </row>
    <row r="7" spans="1:47" x14ac:dyDescent="0.2">
      <c r="A7" s="4"/>
      <c r="B7" s="4">
        <f>'DEI Sales by Revenue'!B7</f>
        <v>5</v>
      </c>
      <c r="C7" s="2">
        <f>SUM('Rate Calc Sheet'!L7:O7)+SUM('Rate Calc Sheet'!L22:O22)+SUM('Rate Calc Sheet'!L37:O37)+SUM('Rate Calc Sheet'!L52:O52)+SUM('Rate Calc Sheet'!L67:O67)</f>
        <v>70321778</v>
      </c>
      <c r="D7" s="2">
        <f>'Rate Calc Sheet'!P7+'Rate Calc Sheet'!P22+'Rate Calc Sheet'!P37+'Rate Calc Sheet'!P52+'Rate Calc Sheet'!P67</f>
        <v>377659</v>
      </c>
      <c r="E7" s="2">
        <f>SUM('Rate Calc Sheet'!Q7:T7)+SUM('Rate Calc Sheet'!Q22:T22)+SUM('Rate Calc Sheet'!Q37:T37)+SUM('Rate Calc Sheet'!Q52:T52)+SUM('Rate Calc Sheet'!Q67:T67)</f>
        <v>301</v>
      </c>
      <c r="F7" s="2">
        <f>SUM('Rate Calc Sheet'!U7:X7)+SUM('Rate Calc Sheet'!U22:X22)+SUM('Rate Calc Sheet'!U37:X37)+SUM('Rate Calc Sheet'!U52:X52)+SUM('Rate Calc Sheet'!U67:X67)</f>
        <v>2038413</v>
      </c>
      <c r="G7" s="2">
        <f>SUM('Rate Calc Sheet'!Y7:AB7)+SUM('Rate Calc Sheet'!Y22:AB22)+SUM('Rate Calc Sheet'!Y37:AB37)+SUM('Rate Calc Sheet'!Y52:AB52)+SUM('Rate Calc Sheet'!Y67:AB67)</f>
        <v>0</v>
      </c>
      <c r="H7" s="2">
        <f>SUM('Rate Calc Sheet'!AC7:AF7)+SUM('Rate Calc Sheet'!AC22:AF22)+SUM('Rate Calc Sheet'!AC37:AF37)+SUM('Rate Calc Sheet'!AC52:AF52)+SUM('Rate Calc Sheet'!AC67:AF67)</f>
        <v>0</v>
      </c>
      <c r="I7" s="2">
        <f>'Rate Calc Sheet'!AH7+'Rate Calc Sheet'!AH22+'Rate Calc Sheet'!AH37+'Rate Calc Sheet'!AH52+'Rate Calc Sheet'!AH67</f>
        <v>120968407</v>
      </c>
      <c r="J7" s="2">
        <f>'Rate Calc Sheet'!AI7+'Rate Calc Sheet'!AI22+'Rate Calc Sheet'!AI37+'Rate Calc Sheet'!AI52+'Rate Calc Sheet'!AI67</f>
        <v>94914229</v>
      </c>
      <c r="K7" s="2">
        <f>'Rate Calc Sheet'!AJ7+'Rate Calc Sheet'!AJ22+'Rate Calc Sheet'!AJ37+'Rate Calc Sheet'!AJ52+'Rate Calc Sheet'!AJ67</f>
        <v>10484167</v>
      </c>
      <c r="L7" s="2">
        <f>'Rate Calc Sheet'!AK7+'Rate Calc Sheet'!AK22+'Rate Calc Sheet'!AK37+'Rate Calc Sheet'!AK52+'Rate Calc Sheet'!AK67</f>
        <v>53441</v>
      </c>
      <c r="M7" s="2">
        <f>'Rate Calc Sheet'!AL7+'Rate Calc Sheet'!AL22+'Rate Calc Sheet'!AL37+'Rate Calc Sheet'!AL52+'Rate Calc Sheet'!AL67</f>
        <v>151877426</v>
      </c>
      <c r="N7" s="2">
        <f>'Rate Calc Sheet'!AM7+'Rate Calc Sheet'!AM22+'Rate Calc Sheet'!AM37+'Rate Calc Sheet'!AM52+'Rate Calc Sheet'!AM67</f>
        <v>151007042</v>
      </c>
      <c r="O7" s="2">
        <f>'Rate Calc Sheet'!AN7+'Rate Calc Sheet'!AN22+'Rate Calc Sheet'!AN37+'Rate Calc Sheet'!AN52+'Rate Calc Sheet'!AN67</f>
        <v>290810027</v>
      </c>
      <c r="P7" s="2">
        <f>SUM('Rate Calc Sheet'!AP7:AU7)+SUM('Rate Calc Sheet'!AP22:AU22)+SUM('Rate Calc Sheet'!AP37:AU37)+SUM('Rate Calc Sheet'!AP52:AU52)+SUM('Rate Calc Sheet'!AP67:AU67)</f>
        <v>23486414</v>
      </c>
      <c r="Q7" s="2">
        <f>SUM('Rate Calc Sheet'!AV7:BA7)+SUM('Rate Calc Sheet'!AV22:BA22)+SUM('Rate Calc Sheet'!AV37:BA37)+SUM('Rate Calc Sheet'!AV52:BA52)+SUM('Rate Calc Sheet'!AV67:BA67)</f>
        <v>25587500</v>
      </c>
      <c r="R7" s="2">
        <f>SUM('Rate Calc Sheet'!BB7:BG7)+SUM('Rate Calc Sheet'!BB22:BG22)+SUM('Rate Calc Sheet'!BB37:BG37)+SUM('Rate Calc Sheet'!BB52:BG52)+SUM('Rate Calc Sheet'!BB67:BG67)</f>
        <v>58519130</v>
      </c>
      <c r="S7" s="2">
        <f>SUM('Rate Calc Sheet'!BH7:BM7)+SUM('Rate Calc Sheet'!BH22:BM22)+SUM('Rate Calc Sheet'!BH37:BM37)+SUM('Rate Calc Sheet'!BH52:BM52)+SUM('Rate Calc Sheet'!BH67:BM67)</f>
        <v>327034997</v>
      </c>
      <c r="T7" s="2">
        <f>SUM('Rate Calc Sheet'!BN7:BS7)+SUM('Rate Calc Sheet'!BN22:BS22)+SUM('Rate Calc Sheet'!BN37:BS37)+SUM('Rate Calc Sheet'!BN52:BS52)+SUM('Rate Calc Sheet'!BN67:BS67)</f>
        <v>11771490</v>
      </c>
      <c r="U7" s="2">
        <f>SUM('Rate Calc Sheet'!BT7:BY7)+SUM('Rate Calc Sheet'!BT22:BY22)+SUM('Rate Calc Sheet'!BT37:BY37)+SUM('Rate Calc Sheet'!BT52:BY52)+SUM('Rate Calc Sheet'!BT67:BY67)</f>
        <v>1014905</v>
      </c>
      <c r="V7" s="2">
        <f>SUM('Rate Calc Sheet'!BZ7:CE7)+SUM('Rate Calc Sheet'!BZ22:CE22)+SUM('Rate Calc Sheet'!BZ37:CE37)+SUM('Rate Calc Sheet'!BZ52:CE52)+SUM('Rate Calc Sheet'!BZ67:CE67)</f>
        <v>655585</v>
      </c>
      <c r="W7" s="36">
        <f>SUM('Rate Calc Sheet'!CK7)+SUM('Rate Calc Sheet'!CK22)+SUM('Rate Calc Sheet'!CK37)+SUM('Rate Calc Sheet'!CK52)+SUM('Rate Calc Sheet'!CK67)</f>
        <v>0</v>
      </c>
      <c r="X7" s="37">
        <f>SUM('Rate Calc Sheet'!CL7)+SUM('Rate Calc Sheet'!CL22)+SUM('Rate Calc Sheet'!CL37)+SUM('Rate Calc Sheet'!CL52)+SUM('Rate Calc Sheet'!CL67)</f>
        <v>0</v>
      </c>
      <c r="Y7" s="36">
        <f>SUM('Rate Calc Sheet'!CG7)+SUM('Rate Calc Sheet'!CG22)+SUM('Rate Calc Sheet'!CG37)+SUM('Rate Calc Sheet'!CG52)+SUM('Rate Calc Sheet'!CG67)</f>
        <v>0</v>
      </c>
      <c r="Z7" s="42">
        <f>SUM('Rate Calc Sheet'!CH7)+SUM('Rate Calc Sheet'!CH22)+SUM('Rate Calc Sheet'!CH37)+SUM('Rate Calc Sheet'!CH52)+SUM('Rate Calc Sheet'!CH67)</f>
        <v>0</v>
      </c>
      <c r="AA7" s="42">
        <f>SUM('Rate Calc Sheet'!CI7)+SUM('Rate Calc Sheet'!CI22)+SUM('Rate Calc Sheet'!CI37)+SUM('Rate Calc Sheet'!CI52)+SUM('Rate Calc Sheet'!CI67)</f>
        <v>0</v>
      </c>
      <c r="AB7" s="37">
        <f>SUM('Rate Calc Sheet'!CJ7)+SUM('Rate Calc Sheet'!CJ22)+SUM('Rate Calc Sheet'!CJ37)+SUM('Rate Calc Sheet'!CJ52)+SUM('Rate Calc Sheet'!CJ67)</f>
        <v>0</v>
      </c>
      <c r="AC7" s="36">
        <v>0</v>
      </c>
      <c r="AD7" s="37">
        <v>0</v>
      </c>
      <c r="AE7" s="36">
        <v>0</v>
      </c>
      <c r="AF7" s="37">
        <v>0</v>
      </c>
      <c r="AG7" s="2">
        <f>SUM('Rate Calc Sheet'!CR7:CT7)+SUM('Rate Calc Sheet'!CR22:CT22)+SUM('Rate Calc Sheet'!CR37:CT37)+SUM('Rate Calc Sheet'!CR52:CT52)+SUM('Rate Calc Sheet'!CR67:CT67)</f>
        <v>525240211</v>
      </c>
      <c r="AH7" s="2">
        <f>SUM('Rate Calc Sheet'!CU7:CW7)+SUM('Rate Calc Sheet'!CU22:CW22)+SUM('Rate Calc Sheet'!CU37:CW37)+SUM('Rate Calc Sheet'!CU52:CW52)+SUM('Rate Calc Sheet'!CU67:CW67)</f>
        <v>41321833</v>
      </c>
      <c r="AI7" s="2">
        <f>SUM('Rate Calc Sheet'!CY7:CZ7)+SUM('Rate Calc Sheet'!CY22:CZ22)+SUM('Rate Calc Sheet'!CY37:CZ37)+SUM('Rate Calc Sheet'!CY52:CZ52)+SUM('Rate Calc Sheet'!CY67:CZ67)</f>
        <v>12776788</v>
      </c>
      <c r="AJ7" s="2">
        <f>'Rate Calc Sheet'!DB7+'Rate Calc Sheet'!DB22+'Rate Calc Sheet'!DB37+'Rate Calc Sheet'!DB52+'Rate Calc Sheet'!DB67</f>
        <v>289471</v>
      </c>
      <c r="AK7" s="2">
        <f>'Rate Calc Sheet'!DC7+'Rate Calc Sheet'!DC22+'Rate Calc Sheet'!DC37+'Rate Calc Sheet'!DC52+'Rate Calc Sheet'!DC67</f>
        <v>24160</v>
      </c>
      <c r="AL7" s="2">
        <f>'Rate Calc Sheet'!DD7+'Rate Calc Sheet'!DD22+'Rate Calc Sheet'!DD37+'Rate Calc Sheet'!DD52+'Rate Calc Sheet'!DD67</f>
        <v>208711</v>
      </c>
      <c r="AM7" s="2">
        <f>'Rate Calc Sheet'!DE7+'Rate Calc Sheet'!DE22+'Rate Calc Sheet'!DE37+'Rate Calc Sheet'!DE52+'Rate Calc Sheet'!DE67</f>
        <v>212255</v>
      </c>
      <c r="AN7" s="2">
        <f>'Rate Calc Sheet'!DF7+'Rate Calc Sheet'!DF22+'Rate Calc Sheet'!DF37+'Rate Calc Sheet'!DF52+'Rate Calc Sheet'!DF67</f>
        <v>2775161</v>
      </c>
      <c r="AO7" s="2">
        <f>'Rate Calc Sheet'!DG7+'Rate Calc Sheet'!DG22+'Rate Calc Sheet'!DG37+'Rate Calc Sheet'!DG52+'Rate Calc Sheet'!DG67</f>
        <v>262533</v>
      </c>
      <c r="AP7" s="2">
        <f>'Rate Calc Sheet'!DH7+'Rate Calc Sheet'!DH22+'Rate Calc Sheet'!DH37+'Rate Calc Sheet'!DH52+'Rate Calc Sheet'!DH67</f>
        <v>7058685</v>
      </c>
      <c r="AQ7" s="2">
        <f>'Rate Calc Sheet'!DI7+'Rate Calc Sheet'!DI22+'Rate Calc Sheet'!DI37+'Rate Calc Sheet'!DI52+'Rate Calc Sheet'!DI67</f>
        <v>1358.5989999994636</v>
      </c>
      <c r="AR7" s="2">
        <f>'Rate Calc Sheet'!DJ7+'Rate Calc Sheet'!DJ22+'Rate Calc Sheet'!DJ37+'Rate Calc Sheet'!DJ52+'Rate Calc Sheet'!DJ67</f>
        <v>348456</v>
      </c>
      <c r="AT7" s="2"/>
      <c r="AU7" s="12">
        <f>SUM('DEI Sales by Revenue'!C7:G7)-SUM('DEI Sales by Rate'!C7:AR7)</f>
        <v>-9.8999977111816406E-2</v>
      </c>
    </row>
    <row r="8" spans="1:47" x14ac:dyDescent="0.2">
      <c r="A8" s="4"/>
      <c r="B8" s="4">
        <f>'DEI Sales by Revenue'!B8</f>
        <v>6</v>
      </c>
      <c r="C8" s="2">
        <f>SUM('Rate Calc Sheet'!L8:O8)+SUM('Rate Calc Sheet'!L23:O23)+SUM('Rate Calc Sheet'!L38:O38)+SUM('Rate Calc Sheet'!L53:O53)+SUM('Rate Calc Sheet'!L68:O68)</f>
        <v>89844066</v>
      </c>
      <c r="D8" s="2">
        <f>'Rate Calc Sheet'!P8+'Rate Calc Sheet'!P23+'Rate Calc Sheet'!P38+'Rate Calc Sheet'!P53+'Rate Calc Sheet'!P68</f>
        <v>459269</v>
      </c>
      <c r="E8" s="2">
        <f>SUM('Rate Calc Sheet'!Q8:T8)+SUM('Rate Calc Sheet'!Q23:T23)+SUM('Rate Calc Sheet'!Q38:T38)+SUM('Rate Calc Sheet'!Q53:T53)+SUM('Rate Calc Sheet'!Q68:T68)</f>
        <v>309</v>
      </c>
      <c r="F8" s="2">
        <f>SUM('Rate Calc Sheet'!U8:X8)+SUM('Rate Calc Sheet'!U23:X23)+SUM('Rate Calc Sheet'!U38:X38)+SUM('Rate Calc Sheet'!U53:X53)+SUM('Rate Calc Sheet'!U68:X68)</f>
        <v>2352688</v>
      </c>
      <c r="G8" s="2">
        <f>SUM('Rate Calc Sheet'!Y8:AB8)+SUM('Rate Calc Sheet'!Y23:AB23)+SUM('Rate Calc Sheet'!Y38:AB38)+SUM('Rate Calc Sheet'!Y53:AB53)+SUM('Rate Calc Sheet'!Y68:AB68)</f>
        <v>0</v>
      </c>
      <c r="H8" s="2">
        <f>SUM('Rate Calc Sheet'!AC8:AF8)+SUM('Rate Calc Sheet'!AC23:AF23)+SUM('Rate Calc Sheet'!AC38:AF38)+SUM('Rate Calc Sheet'!AC53:AF53)+SUM('Rate Calc Sheet'!AC68:AF68)</f>
        <v>0</v>
      </c>
      <c r="I8" s="2">
        <f>'Rate Calc Sheet'!AH8+'Rate Calc Sheet'!AH23+'Rate Calc Sheet'!AH38+'Rate Calc Sheet'!AH53+'Rate Calc Sheet'!AH68</f>
        <v>115628807</v>
      </c>
      <c r="J8" s="2">
        <f>'Rate Calc Sheet'!AI8+'Rate Calc Sheet'!AI23+'Rate Calc Sheet'!AI38+'Rate Calc Sheet'!AI53+'Rate Calc Sheet'!AI68</f>
        <v>101892404</v>
      </c>
      <c r="K8" s="2">
        <f>'Rate Calc Sheet'!AJ8+'Rate Calc Sheet'!AJ23+'Rate Calc Sheet'!AJ38+'Rate Calc Sheet'!AJ53+'Rate Calc Sheet'!AJ68</f>
        <v>9870896</v>
      </c>
      <c r="L8" s="2">
        <f>'Rate Calc Sheet'!AK8+'Rate Calc Sheet'!AK23+'Rate Calc Sheet'!AK38+'Rate Calc Sheet'!AK53+'Rate Calc Sheet'!AK68</f>
        <v>74307</v>
      </c>
      <c r="M8" s="2">
        <f>'Rate Calc Sheet'!AL8+'Rate Calc Sheet'!AL23+'Rate Calc Sheet'!AL38+'Rate Calc Sheet'!AL53+'Rate Calc Sheet'!AL68</f>
        <v>162669914</v>
      </c>
      <c r="N8" s="2">
        <f>'Rate Calc Sheet'!AM8+'Rate Calc Sheet'!AM23+'Rate Calc Sheet'!AM38+'Rate Calc Sheet'!AM53+'Rate Calc Sheet'!AM68</f>
        <v>171554023</v>
      </c>
      <c r="O8" s="2">
        <f>'Rate Calc Sheet'!AN8+'Rate Calc Sheet'!AN23+'Rate Calc Sheet'!AN38+'Rate Calc Sheet'!AN53+'Rate Calc Sheet'!AN68</f>
        <v>339979826</v>
      </c>
      <c r="P8" s="2">
        <f>SUM('Rate Calc Sheet'!AP8:AU8)+SUM('Rate Calc Sheet'!AP23:AU23)+SUM('Rate Calc Sheet'!AP38:AU38)+SUM('Rate Calc Sheet'!AP53:AU53)+SUM('Rate Calc Sheet'!AP68:AU68)</f>
        <v>26440989</v>
      </c>
      <c r="Q8" s="2">
        <f>SUM('Rate Calc Sheet'!AV8:BA8)+SUM('Rate Calc Sheet'!AV23:BA23)+SUM('Rate Calc Sheet'!AV38:BA38)+SUM('Rate Calc Sheet'!AV53:BA53)+SUM('Rate Calc Sheet'!AV68:BA68)</f>
        <v>27676945</v>
      </c>
      <c r="R8" s="2">
        <f>SUM('Rate Calc Sheet'!BB8:BG8)+SUM('Rate Calc Sheet'!BB23:BG23)+SUM('Rate Calc Sheet'!BB38:BG38)+SUM('Rate Calc Sheet'!BB53:BG53)+SUM('Rate Calc Sheet'!BB68:BG68)</f>
        <v>63285313</v>
      </c>
      <c r="S8" s="2">
        <f>SUM('Rate Calc Sheet'!BH8:BM8)+SUM('Rate Calc Sheet'!BH23:BM23)+SUM('Rate Calc Sheet'!BH38:BM38)+SUM('Rate Calc Sheet'!BH53:BM53)+SUM('Rate Calc Sheet'!BH68:BM68)</f>
        <v>385742501</v>
      </c>
      <c r="T8" s="2">
        <f>SUM('Rate Calc Sheet'!BN8:BS8)+SUM('Rate Calc Sheet'!BN23:BS23)+SUM('Rate Calc Sheet'!BN38:BS38)+SUM('Rate Calc Sheet'!BN53:BS53)+SUM('Rate Calc Sheet'!BN68:BS68)</f>
        <v>13571715</v>
      </c>
      <c r="U8" s="2">
        <f>SUM('Rate Calc Sheet'!BT8:BY8)+SUM('Rate Calc Sheet'!BT23:BY23)+SUM('Rate Calc Sheet'!BT38:BY38)+SUM('Rate Calc Sheet'!BT53:BY53)+SUM('Rate Calc Sheet'!BT68:BY68)</f>
        <v>1811616</v>
      </c>
      <c r="V8" s="2">
        <f>SUM('Rate Calc Sheet'!BZ8:CE8)+SUM('Rate Calc Sheet'!BZ23:CE23)+SUM('Rate Calc Sheet'!BZ38:CE38)+SUM('Rate Calc Sheet'!BZ53:CE53)+SUM('Rate Calc Sheet'!BZ68:CE68)</f>
        <v>596214</v>
      </c>
      <c r="W8" s="36">
        <f>SUM('Rate Calc Sheet'!CK8)+SUM('Rate Calc Sheet'!CK23)+SUM('Rate Calc Sheet'!CK38)+SUM('Rate Calc Sheet'!CK53)+SUM('Rate Calc Sheet'!CK68)</f>
        <v>0</v>
      </c>
      <c r="X8" s="37">
        <f>SUM('Rate Calc Sheet'!CL8)+SUM('Rate Calc Sheet'!CL23)+SUM('Rate Calc Sheet'!CL38)+SUM('Rate Calc Sheet'!CL53)+SUM('Rate Calc Sheet'!CL68)</f>
        <v>0</v>
      </c>
      <c r="Y8" s="36">
        <f>SUM('Rate Calc Sheet'!CG8)+SUM('Rate Calc Sheet'!CG23)+SUM('Rate Calc Sheet'!CG38)+SUM('Rate Calc Sheet'!CG53)+SUM('Rate Calc Sheet'!CG68)</f>
        <v>0</v>
      </c>
      <c r="Z8" s="42">
        <f>SUM('Rate Calc Sheet'!CH8)+SUM('Rate Calc Sheet'!CH23)+SUM('Rate Calc Sheet'!CH38)+SUM('Rate Calc Sheet'!CH53)+SUM('Rate Calc Sheet'!CH68)</f>
        <v>0</v>
      </c>
      <c r="AA8" s="42">
        <f>SUM('Rate Calc Sheet'!CI8)+SUM('Rate Calc Sheet'!CI23)+SUM('Rate Calc Sheet'!CI38)+SUM('Rate Calc Sheet'!CI53)+SUM('Rate Calc Sheet'!CI68)</f>
        <v>0</v>
      </c>
      <c r="AB8" s="37">
        <f>SUM('Rate Calc Sheet'!CJ8)+SUM('Rate Calc Sheet'!CJ23)+SUM('Rate Calc Sheet'!CJ38)+SUM('Rate Calc Sheet'!CJ53)+SUM('Rate Calc Sheet'!CJ68)</f>
        <v>0</v>
      </c>
      <c r="AC8" s="36">
        <v>0</v>
      </c>
      <c r="AD8" s="37">
        <v>0</v>
      </c>
      <c r="AE8" s="36">
        <v>0</v>
      </c>
      <c r="AF8" s="37">
        <v>0</v>
      </c>
      <c r="AG8" s="2">
        <f>SUM('Rate Calc Sheet'!CR8:CT8)+SUM('Rate Calc Sheet'!CR23:CT23)+SUM('Rate Calc Sheet'!CR38:CT38)+SUM('Rate Calc Sheet'!CR53:CT53)+SUM('Rate Calc Sheet'!CR68:CT68)</f>
        <v>638352745</v>
      </c>
      <c r="AH8" s="2">
        <f>SUM('Rate Calc Sheet'!CU8:CW8)+SUM('Rate Calc Sheet'!CU23:CW23)+SUM('Rate Calc Sheet'!CU38:CW38)+SUM('Rate Calc Sheet'!CU53:CW53)+SUM('Rate Calc Sheet'!CU68:CW68)</f>
        <v>42730606</v>
      </c>
      <c r="AI8" s="2">
        <f>SUM('Rate Calc Sheet'!CY8:CZ8)+SUM('Rate Calc Sheet'!CY23:CZ23)+SUM('Rate Calc Sheet'!CY38:CZ38)+SUM('Rate Calc Sheet'!CY53:CZ53)+SUM('Rate Calc Sheet'!CY68:CZ68)</f>
        <v>15962674</v>
      </c>
      <c r="AJ8" s="2">
        <f>'Rate Calc Sheet'!DB8+'Rate Calc Sheet'!DB23+'Rate Calc Sheet'!DB38+'Rate Calc Sheet'!DB53+'Rate Calc Sheet'!DB68</f>
        <v>286210</v>
      </c>
      <c r="AK8" s="2">
        <f>'Rate Calc Sheet'!DC8+'Rate Calc Sheet'!DC23+'Rate Calc Sheet'!DC38+'Rate Calc Sheet'!DC53+'Rate Calc Sheet'!DC68</f>
        <v>24081</v>
      </c>
      <c r="AL8" s="2">
        <f>'Rate Calc Sheet'!DD8+'Rate Calc Sheet'!DD23+'Rate Calc Sheet'!DD38+'Rate Calc Sheet'!DD53+'Rate Calc Sheet'!DD68</f>
        <v>205280</v>
      </c>
      <c r="AM8" s="2">
        <f>'Rate Calc Sheet'!DE8+'Rate Calc Sheet'!DE23+'Rate Calc Sheet'!DE38+'Rate Calc Sheet'!DE53+'Rate Calc Sheet'!DE68</f>
        <v>226751</v>
      </c>
      <c r="AN8" s="2">
        <f>'Rate Calc Sheet'!DF8+'Rate Calc Sheet'!DF23+'Rate Calc Sheet'!DF38+'Rate Calc Sheet'!DF53+'Rate Calc Sheet'!DF68</f>
        <v>2735008</v>
      </c>
      <c r="AO8" s="2">
        <f>'Rate Calc Sheet'!DG8+'Rate Calc Sheet'!DG23+'Rate Calc Sheet'!DG38+'Rate Calc Sheet'!DG53+'Rate Calc Sheet'!DG68</f>
        <v>263187</v>
      </c>
      <c r="AP8" s="2">
        <f>'Rate Calc Sheet'!DH8+'Rate Calc Sheet'!DH23+'Rate Calc Sheet'!DH38+'Rate Calc Sheet'!DH53+'Rate Calc Sheet'!DH68</f>
        <v>7036224</v>
      </c>
      <c r="AQ8" s="2">
        <f>'Rate Calc Sheet'!DI8+'Rate Calc Sheet'!DI23+'Rate Calc Sheet'!DI38+'Rate Calc Sheet'!DI53+'Rate Calc Sheet'!DI68</f>
        <v>1424.1919999998063</v>
      </c>
      <c r="AR8" s="2">
        <f>'Rate Calc Sheet'!DJ8+'Rate Calc Sheet'!DJ23+'Rate Calc Sheet'!DJ38+'Rate Calc Sheet'!DJ53+'Rate Calc Sheet'!DJ68</f>
        <v>379593</v>
      </c>
      <c r="AT8" s="2"/>
      <c r="AU8" s="12">
        <f>SUM('DEI Sales by Revenue'!C8:G8)-SUM('DEI Sales by Rate'!C8:AR8)</f>
        <v>-1.1919999122619629</v>
      </c>
    </row>
    <row r="9" spans="1:47" x14ac:dyDescent="0.2">
      <c r="A9" s="4"/>
      <c r="B9" s="4">
        <f>'DEI Sales by Revenue'!B9</f>
        <v>7</v>
      </c>
      <c r="C9" s="2">
        <f>SUM('Rate Calc Sheet'!L9:O9)+SUM('Rate Calc Sheet'!L24:O24)+SUM('Rate Calc Sheet'!L39:O39)+SUM('Rate Calc Sheet'!L54:O54)+SUM('Rate Calc Sheet'!L69:O69)</f>
        <v>96103007</v>
      </c>
      <c r="D9" s="2">
        <f>'Rate Calc Sheet'!P9+'Rate Calc Sheet'!P24+'Rate Calc Sheet'!P39+'Rate Calc Sheet'!P54+'Rate Calc Sheet'!P69</f>
        <v>446159</v>
      </c>
      <c r="E9" s="2">
        <f>SUM('Rate Calc Sheet'!Q9:T9)+SUM('Rate Calc Sheet'!Q24:T24)+SUM('Rate Calc Sheet'!Q39:T39)+SUM('Rate Calc Sheet'!Q54:T54)+SUM('Rate Calc Sheet'!Q69:T69)</f>
        <v>293</v>
      </c>
      <c r="F9" s="2">
        <f>SUM('Rate Calc Sheet'!U9:X9)+SUM('Rate Calc Sheet'!U24:X24)+SUM('Rate Calc Sheet'!U39:X39)+SUM('Rate Calc Sheet'!U54:X54)+SUM('Rate Calc Sheet'!U69:X69)</f>
        <v>2085381</v>
      </c>
      <c r="G9" s="2">
        <f>SUM('Rate Calc Sheet'!Y9:AB9)+SUM('Rate Calc Sheet'!Y24:AB24)+SUM('Rate Calc Sheet'!Y39:AB39)+SUM('Rate Calc Sheet'!Y54:AB54)+SUM('Rate Calc Sheet'!Y69:AB69)</f>
        <v>0</v>
      </c>
      <c r="H9" s="2">
        <f>SUM('Rate Calc Sheet'!AC9:AF9)+SUM('Rate Calc Sheet'!AC24:AF24)+SUM('Rate Calc Sheet'!AC39:AF39)+SUM('Rate Calc Sheet'!AC54:AF54)+SUM('Rate Calc Sheet'!AC69:AF69)</f>
        <v>0</v>
      </c>
      <c r="I9" s="2">
        <f>'Rate Calc Sheet'!AH9+'Rate Calc Sheet'!AH24+'Rate Calc Sheet'!AH39+'Rate Calc Sheet'!AH54+'Rate Calc Sheet'!AH69</f>
        <v>108684447</v>
      </c>
      <c r="J9" s="2">
        <f>'Rate Calc Sheet'!AI9+'Rate Calc Sheet'!AI24+'Rate Calc Sheet'!AI39+'Rate Calc Sheet'!AI54+'Rate Calc Sheet'!AI69</f>
        <v>83581110</v>
      </c>
      <c r="K9" s="2">
        <f>'Rate Calc Sheet'!AJ9+'Rate Calc Sheet'!AJ24+'Rate Calc Sheet'!AJ39+'Rate Calc Sheet'!AJ54+'Rate Calc Sheet'!AJ69</f>
        <v>8339553</v>
      </c>
      <c r="L9" s="2">
        <f>'Rate Calc Sheet'!AK9+'Rate Calc Sheet'!AK24+'Rate Calc Sheet'!AK39+'Rate Calc Sheet'!AK54+'Rate Calc Sheet'!AK69</f>
        <v>74787</v>
      </c>
      <c r="M9" s="2">
        <f>'Rate Calc Sheet'!AL9+'Rate Calc Sheet'!AL24+'Rate Calc Sheet'!AL39+'Rate Calc Sheet'!AL54+'Rate Calc Sheet'!AL69</f>
        <v>148208569</v>
      </c>
      <c r="N9" s="2">
        <f>'Rate Calc Sheet'!AM9+'Rate Calc Sheet'!AM24+'Rate Calc Sheet'!AM39+'Rate Calc Sheet'!AM54+'Rate Calc Sheet'!AM69</f>
        <v>126467349</v>
      </c>
      <c r="O9" s="2">
        <f>'Rate Calc Sheet'!AN9+'Rate Calc Sheet'!AN24+'Rate Calc Sheet'!AN39+'Rate Calc Sheet'!AN54+'Rate Calc Sheet'!AN69</f>
        <v>300462188</v>
      </c>
      <c r="P9" s="2">
        <f>SUM('Rate Calc Sheet'!AP9:AU9)+SUM('Rate Calc Sheet'!AP24:AU24)+SUM('Rate Calc Sheet'!AP39:AU39)+SUM('Rate Calc Sheet'!AP54:AU54)+SUM('Rate Calc Sheet'!AP69:AU69)</f>
        <v>12268644</v>
      </c>
      <c r="Q9" s="2">
        <f>SUM('Rate Calc Sheet'!AV9:BA9)+SUM('Rate Calc Sheet'!AV24:BA24)+SUM('Rate Calc Sheet'!AV39:BA39)+SUM('Rate Calc Sheet'!AV54:BA54)+SUM('Rate Calc Sheet'!AV69:BA69)</f>
        <v>22839239</v>
      </c>
      <c r="R9" s="2">
        <f>SUM('Rate Calc Sheet'!BB9:BG9)+SUM('Rate Calc Sheet'!BB24:BG24)+SUM('Rate Calc Sheet'!BB39:BG39)+SUM('Rate Calc Sheet'!BB54:BG54)+SUM('Rate Calc Sheet'!BB69:BG69)</f>
        <v>60875982</v>
      </c>
      <c r="S9" s="2">
        <f>SUM('Rate Calc Sheet'!BH9:BM9)+SUM('Rate Calc Sheet'!BH24:BM24)+SUM('Rate Calc Sheet'!BH39:BM39)+SUM('Rate Calc Sheet'!BH54:BM54)+SUM('Rate Calc Sheet'!BH69:BM69)</f>
        <v>444646662</v>
      </c>
      <c r="T9" s="2">
        <f>SUM('Rate Calc Sheet'!BN9:BS9)+SUM('Rate Calc Sheet'!BN24:BS24)+SUM('Rate Calc Sheet'!BN39:BS39)+SUM('Rate Calc Sheet'!BN54:BS54)+SUM('Rate Calc Sheet'!BN69:BS69)</f>
        <v>13739827</v>
      </c>
      <c r="U9" s="2">
        <f>SUM('Rate Calc Sheet'!BT9:BY9)+SUM('Rate Calc Sheet'!BT24:BY24)+SUM('Rate Calc Sheet'!BT39:BY39)+SUM('Rate Calc Sheet'!BT54:BY54)+SUM('Rate Calc Sheet'!BT69:BY69)</f>
        <v>1946164</v>
      </c>
      <c r="V9" s="2">
        <f>SUM('Rate Calc Sheet'!BZ9:CE9)+SUM('Rate Calc Sheet'!BZ24:CE24)+SUM('Rate Calc Sheet'!BZ39:CE39)+SUM('Rate Calc Sheet'!BZ54:CE54)+SUM('Rate Calc Sheet'!BZ69:CE69)</f>
        <v>567900</v>
      </c>
      <c r="W9" s="36">
        <f>SUM('Rate Calc Sheet'!CK9)+SUM('Rate Calc Sheet'!CK24)+SUM('Rate Calc Sheet'!CK39)+SUM('Rate Calc Sheet'!CK54)+SUM('Rate Calc Sheet'!CK69)</f>
        <v>0</v>
      </c>
      <c r="X9" s="37">
        <f>SUM('Rate Calc Sheet'!CL9)+SUM('Rate Calc Sheet'!CL24)+SUM('Rate Calc Sheet'!CL39)+SUM('Rate Calc Sheet'!CL54)+SUM('Rate Calc Sheet'!CL69)</f>
        <v>0</v>
      </c>
      <c r="Y9" s="36">
        <f>SUM('Rate Calc Sheet'!CG9)+SUM('Rate Calc Sheet'!CG24)+SUM('Rate Calc Sheet'!CG39)+SUM('Rate Calc Sheet'!CG54)+SUM('Rate Calc Sheet'!CG69)</f>
        <v>0</v>
      </c>
      <c r="Z9" s="42">
        <f>SUM('Rate Calc Sheet'!CH9)+SUM('Rate Calc Sheet'!CH24)+SUM('Rate Calc Sheet'!CH39)+SUM('Rate Calc Sheet'!CH54)+SUM('Rate Calc Sheet'!CH69)</f>
        <v>0</v>
      </c>
      <c r="AA9" s="42">
        <f>SUM('Rate Calc Sheet'!CI9)+SUM('Rate Calc Sheet'!CI24)+SUM('Rate Calc Sheet'!CI39)+SUM('Rate Calc Sheet'!CI54)+SUM('Rate Calc Sheet'!CI69)</f>
        <v>0</v>
      </c>
      <c r="AB9" s="37">
        <f>SUM('Rate Calc Sheet'!CJ9)+SUM('Rate Calc Sheet'!CJ24)+SUM('Rate Calc Sheet'!CJ39)+SUM('Rate Calc Sheet'!CJ54)+SUM('Rate Calc Sheet'!CJ69)</f>
        <v>0</v>
      </c>
      <c r="AC9" s="36">
        <v>0</v>
      </c>
      <c r="AD9" s="37">
        <v>0</v>
      </c>
      <c r="AE9" s="36">
        <v>0</v>
      </c>
      <c r="AF9" s="37">
        <v>0</v>
      </c>
      <c r="AG9" s="2">
        <f>SUM('Rate Calc Sheet'!CR9:CT9)+SUM('Rate Calc Sheet'!CR24:CT24)+SUM('Rate Calc Sheet'!CR39:CT39)+SUM('Rate Calc Sheet'!CR54:CT54)+SUM('Rate Calc Sheet'!CR69:CT69)</f>
        <v>805844289</v>
      </c>
      <c r="AH9" s="2">
        <f>SUM('Rate Calc Sheet'!CU9:CW9)+SUM('Rate Calc Sheet'!CU24:CW24)+SUM('Rate Calc Sheet'!CU39:CW39)+SUM('Rate Calc Sheet'!CU54:CW54)+SUM('Rate Calc Sheet'!CU69:CW69)</f>
        <v>50569245</v>
      </c>
      <c r="AI9" s="2">
        <f>SUM('Rate Calc Sheet'!CY9:CZ9)+SUM('Rate Calc Sheet'!CY24:CZ24)+SUM('Rate Calc Sheet'!CY39:CZ39)+SUM('Rate Calc Sheet'!CY54:CZ54)+SUM('Rate Calc Sheet'!CY69:CZ69)</f>
        <v>25651930</v>
      </c>
      <c r="AJ9" s="2">
        <f>'Rate Calc Sheet'!DB9+'Rate Calc Sheet'!DB24+'Rate Calc Sheet'!DB39+'Rate Calc Sheet'!DB54+'Rate Calc Sheet'!DB69</f>
        <v>261175</v>
      </c>
      <c r="AK9" s="2">
        <f>'Rate Calc Sheet'!DC9+'Rate Calc Sheet'!DC24+'Rate Calc Sheet'!DC39+'Rate Calc Sheet'!DC54+'Rate Calc Sheet'!DC69</f>
        <v>24379</v>
      </c>
      <c r="AL9" s="2">
        <f>'Rate Calc Sheet'!DD9+'Rate Calc Sheet'!DD24+'Rate Calc Sheet'!DD39+'Rate Calc Sheet'!DD54+'Rate Calc Sheet'!DD69</f>
        <v>313445</v>
      </c>
      <c r="AM9" s="2">
        <f>'Rate Calc Sheet'!DE9+'Rate Calc Sheet'!DE24+'Rate Calc Sheet'!DE39+'Rate Calc Sheet'!DE54+'Rate Calc Sheet'!DE69</f>
        <v>214106</v>
      </c>
      <c r="AN9" s="2">
        <f>'Rate Calc Sheet'!DF9+'Rate Calc Sheet'!DF24+'Rate Calc Sheet'!DF39+'Rate Calc Sheet'!DF54+'Rate Calc Sheet'!DF69</f>
        <v>2686838</v>
      </c>
      <c r="AO9" s="2">
        <f>'Rate Calc Sheet'!DG9+'Rate Calc Sheet'!DG24+'Rate Calc Sheet'!DG39+'Rate Calc Sheet'!DG54+'Rate Calc Sheet'!DG69</f>
        <v>264677</v>
      </c>
      <c r="AP9" s="2">
        <f>'Rate Calc Sheet'!DH9+'Rate Calc Sheet'!DH24+'Rate Calc Sheet'!DH39+'Rate Calc Sheet'!DH54+'Rate Calc Sheet'!DH69</f>
        <v>7733876</v>
      </c>
      <c r="AQ9" s="2">
        <f>'Rate Calc Sheet'!DI9+'Rate Calc Sheet'!DI24+'Rate Calc Sheet'!DI39+'Rate Calc Sheet'!DI54+'Rate Calc Sheet'!DI69</f>
        <v>1511.0140000004321</v>
      </c>
      <c r="AR9" s="2">
        <f>'Rate Calc Sheet'!DJ9+'Rate Calc Sheet'!DJ24+'Rate Calc Sheet'!DJ39+'Rate Calc Sheet'!DJ54+'Rate Calc Sheet'!DJ69</f>
        <v>454821</v>
      </c>
      <c r="AT9" s="2"/>
      <c r="AU9" s="12">
        <f>SUM('DEI Sales by Revenue'!C9:G9)-SUM('DEI Sales by Rate'!C9:AR9)</f>
        <v>-6.0000419616699219E-3</v>
      </c>
    </row>
    <row r="10" spans="1:47" x14ac:dyDescent="0.2">
      <c r="A10" s="4"/>
      <c r="B10" s="4">
        <f>'DEI Sales by Revenue'!B10</f>
        <v>8</v>
      </c>
      <c r="C10" s="2">
        <f>SUM('Rate Calc Sheet'!L10:O10)+SUM('Rate Calc Sheet'!L25:O25)+SUM('Rate Calc Sheet'!L40:O40)+SUM('Rate Calc Sheet'!L55:O55)+SUM('Rate Calc Sheet'!L70:O70)</f>
        <v>96637108</v>
      </c>
      <c r="D10" s="2">
        <f>'Rate Calc Sheet'!P10+'Rate Calc Sheet'!P25+'Rate Calc Sheet'!P40+'Rate Calc Sheet'!P55+'Rate Calc Sheet'!P70</f>
        <v>437201</v>
      </c>
      <c r="E10" s="2">
        <f>SUM('Rate Calc Sheet'!Q10:T10)+SUM('Rate Calc Sheet'!Q25:T25)+SUM('Rate Calc Sheet'!Q40:T40)+SUM('Rate Calc Sheet'!Q55:T55)+SUM('Rate Calc Sheet'!Q70:T70)</f>
        <v>277</v>
      </c>
      <c r="F10" s="2">
        <f>SUM('Rate Calc Sheet'!U10:X10)+SUM('Rate Calc Sheet'!U25:X25)+SUM('Rate Calc Sheet'!U40:X40)+SUM('Rate Calc Sheet'!U55:X55)+SUM('Rate Calc Sheet'!U70:X70)</f>
        <v>2003640</v>
      </c>
      <c r="G10" s="2">
        <f>SUM('Rate Calc Sheet'!Y10:AB10)+SUM('Rate Calc Sheet'!Y25:AB25)+SUM('Rate Calc Sheet'!Y40:AB40)+SUM('Rate Calc Sheet'!Y55:AB55)+SUM('Rate Calc Sheet'!Y70:AB70)</f>
        <v>0</v>
      </c>
      <c r="H10" s="2">
        <f>SUM('Rate Calc Sheet'!AC10:AF10)+SUM('Rate Calc Sheet'!AC25:AF25)+SUM('Rate Calc Sheet'!AC40:AF40)+SUM('Rate Calc Sheet'!AC55:AF55)+SUM('Rate Calc Sheet'!AC70:AF70)</f>
        <v>0</v>
      </c>
      <c r="I10" s="2">
        <f>'Rate Calc Sheet'!AH10+'Rate Calc Sheet'!AH25+'Rate Calc Sheet'!AH40+'Rate Calc Sheet'!AH55+'Rate Calc Sheet'!AH70</f>
        <v>116980249</v>
      </c>
      <c r="J10" s="2">
        <f>'Rate Calc Sheet'!AI10+'Rate Calc Sheet'!AI25+'Rate Calc Sheet'!AI40+'Rate Calc Sheet'!AI55+'Rate Calc Sheet'!AI70</f>
        <v>95773862</v>
      </c>
      <c r="K10" s="2">
        <f>'Rate Calc Sheet'!AJ10+'Rate Calc Sheet'!AJ25+'Rate Calc Sheet'!AJ40+'Rate Calc Sheet'!AJ55+'Rate Calc Sheet'!AJ70</f>
        <v>10371486</v>
      </c>
      <c r="L10" s="2">
        <f>'Rate Calc Sheet'!AK10+'Rate Calc Sheet'!AK25+'Rate Calc Sheet'!AK40+'Rate Calc Sheet'!AK55+'Rate Calc Sheet'!AK70</f>
        <v>74678</v>
      </c>
      <c r="M10" s="2">
        <f>'Rate Calc Sheet'!AL10+'Rate Calc Sheet'!AL25+'Rate Calc Sheet'!AL40+'Rate Calc Sheet'!AL55+'Rate Calc Sheet'!AL70</f>
        <v>161593087</v>
      </c>
      <c r="N10" s="2">
        <f>'Rate Calc Sheet'!AM10+'Rate Calc Sheet'!AM25+'Rate Calc Sheet'!AM40+'Rate Calc Sheet'!AM55+'Rate Calc Sheet'!AM70</f>
        <v>172226347</v>
      </c>
      <c r="O10" s="2">
        <f>'Rate Calc Sheet'!AN10+'Rate Calc Sheet'!AN25+'Rate Calc Sheet'!AN40+'Rate Calc Sheet'!AN55+'Rate Calc Sheet'!AN70</f>
        <v>330431799</v>
      </c>
      <c r="P10" s="2">
        <f>SUM('Rate Calc Sheet'!AP10:AU10)+SUM('Rate Calc Sheet'!AP25:AU25)+SUM('Rate Calc Sheet'!AP40:AU40)+SUM('Rate Calc Sheet'!AP55:AU55)+SUM('Rate Calc Sheet'!AP70:AU70)</f>
        <v>9901321</v>
      </c>
      <c r="Q10" s="2">
        <f>SUM('Rate Calc Sheet'!AV10:BA10)+SUM('Rate Calc Sheet'!AV25:BA25)+SUM('Rate Calc Sheet'!AV40:BA40)+SUM('Rate Calc Sheet'!AV55:BA55)+SUM('Rate Calc Sheet'!AV70:BA70)</f>
        <v>23416953</v>
      </c>
      <c r="R10" s="2">
        <f>SUM('Rate Calc Sheet'!BB10:BG10)+SUM('Rate Calc Sheet'!BB25:BG25)+SUM('Rate Calc Sheet'!BB40:BG40)+SUM('Rate Calc Sheet'!BB55:BG55)+SUM('Rate Calc Sheet'!BB70:BG70)</f>
        <v>63436229</v>
      </c>
      <c r="S10" s="2">
        <f>SUM('Rate Calc Sheet'!BH10:BM10)+SUM('Rate Calc Sheet'!BH25:BM25)+SUM('Rate Calc Sheet'!BH40:BM40)+SUM('Rate Calc Sheet'!BH55:BM55)+SUM('Rate Calc Sheet'!BH70:BM70)</f>
        <v>397509226</v>
      </c>
      <c r="T10" s="2">
        <f>SUM('Rate Calc Sheet'!BN10:BS10)+SUM('Rate Calc Sheet'!BN25:BS25)+SUM('Rate Calc Sheet'!BN40:BS40)+SUM('Rate Calc Sheet'!BN55:BS55)+SUM('Rate Calc Sheet'!BN70:BS70)</f>
        <v>12865704</v>
      </c>
      <c r="U10" s="2">
        <f>SUM('Rate Calc Sheet'!BT10:BY10)+SUM('Rate Calc Sheet'!BT25:BY25)+SUM('Rate Calc Sheet'!BT40:BY40)+SUM('Rate Calc Sheet'!BT55:BY55)+SUM('Rate Calc Sheet'!BT70:BY70)</f>
        <v>1384462</v>
      </c>
      <c r="V10" s="2">
        <f>SUM('Rate Calc Sheet'!BZ10:CE10)+SUM('Rate Calc Sheet'!BZ25:CE25)+SUM('Rate Calc Sheet'!BZ40:CE40)+SUM('Rate Calc Sheet'!BZ55:CE55)+SUM('Rate Calc Sheet'!BZ70:CE70)</f>
        <v>840</v>
      </c>
      <c r="W10" s="36">
        <f>SUM('Rate Calc Sheet'!CK10)+SUM('Rate Calc Sheet'!CK25)+SUM('Rate Calc Sheet'!CK40)+SUM('Rate Calc Sheet'!CK55)+SUM('Rate Calc Sheet'!CK70)</f>
        <v>0</v>
      </c>
      <c r="X10" s="37">
        <f>SUM('Rate Calc Sheet'!CL10)+SUM('Rate Calc Sheet'!CL25)+SUM('Rate Calc Sheet'!CL40)+SUM('Rate Calc Sheet'!CL55)+SUM('Rate Calc Sheet'!CL70)</f>
        <v>0</v>
      </c>
      <c r="Y10" s="36">
        <f>SUM('Rate Calc Sheet'!CG10)+SUM('Rate Calc Sheet'!CG25)+SUM('Rate Calc Sheet'!CG40)+SUM('Rate Calc Sheet'!CG55)+SUM('Rate Calc Sheet'!CG70)</f>
        <v>0</v>
      </c>
      <c r="Z10" s="42">
        <f>SUM('Rate Calc Sheet'!CH10)+SUM('Rate Calc Sheet'!CH25)+SUM('Rate Calc Sheet'!CH40)+SUM('Rate Calc Sheet'!CH55)+SUM('Rate Calc Sheet'!CH70)</f>
        <v>0</v>
      </c>
      <c r="AA10" s="42">
        <f>SUM('Rate Calc Sheet'!CI10)+SUM('Rate Calc Sheet'!CI25)+SUM('Rate Calc Sheet'!CI40)+SUM('Rate Calc Sheet'!CI55)+SUM('Rate Calc Sheet'!CI70)</f>
        <v>0</v>
      </c>
      <c r="AB10" s="37">
        <f>SUM('Rate Calc Sheet'!CJ10)+SUM('Rate Calc Sheet'!CJ25)+SUM('Rate Calc Sheet'!CJ40)+SUM('Rate Calc Sheet'!CJ55)+SUM('Rate Calc Sheet'!CJ70)</f>
        <v>0</v>
      </c>
      <c r="AC10" s="36">
        <v>0</v>
      </c>
      <c r="AD10" s="37">
        <v>0</v>
      </c>
      <c r="AE10" s="36">
        <v>0</v>
      </c>
      <c r="AF10" s="37">
        <v>0</v>
      </c>
      <c r="AG10" s="2">
        <f>SUM('Rate Calc Sheet'!CR10:CT10)+SUM('Rate Calc Sheet'!CR25:CT25)+SUM('Rate Calc Sheet'!CR40:CT40)+SUM('Rate Calc Sheet'!CR55:CT55)+SUM('Rate Calc Sheet'!CR70:CT70)</f>
        <v>785576177</v>
      </c>
      <c r="AH10" s="2">
        <f>SUM('Rate Calc Sheet'!CU10:CW10)+SUM('Rate Calc Sheet'!CU25:CW25)+SUM('Rate Calc Sheet'!CU40:CW40)+SUM('Rate Calc Sheet'!CU55:CW55)+SUM('Rate Calc Sheet'!CU70:CW70)</f>
        <v>47981077</v>
      </c>
      <c r="AI10" s="2">
        <f>SUM('Rate Calc Sheet'!CY10:CZ10)+SUM('Rate Calc Sheet'!CY25:CZ25)+SUM('Rate Calc Sheet'!CY40:CZ40)+SUM('Rate Calc Sheet'!CY55:CZ55)+SUM('Rate Calc Sheet'!CY70:CZ70)</f>
        <v>12978863</v>
      </c>
      <c r="AJ10" s="2">
        <f>'Rate Calc Sheet'!DB10+'Rate Calc Sheet'!DB25+'Rate Calc Sheet'!DB40+'Rate Calc Sheet'!DB55+'Rate Calc Sheet'!DB70</f>
        <v>259092</v>
      </c>
      <c r="AK10" s="2">
        <f>'Rate Calc Sheet'!DC10+'Rate Calc Sheet'!DC25+'Rate Calc Sheet'!DC40+'Rate Calc Sheet'!DC55+'Rate Calc Sheet'!DC70</f>
        <v>24117</v>
      </c>
      <c r="AL10" s="2">
        <f>'Rate Calc Sheet'!DD10+'Rate Calc Sheet'!DD25+'Rate Calc Sheet'!DD40+'Rate Calc Sheet'!DD55+'Rate Calc Sheet'!DD70</f>
        <v>216660</v>
      </c>
      <c r="AM10" s="2">
        <f>'Rate Calc Sheet'!DE10+'Rate Calc Sheet'!DE25+'Rate Calc Sheet'!DE40+'Rate Calc Sheet'!DE55+'Rate Calc Sheet'!DE70</f>
        <v>210178</v>
      </c>
      <c r="AN10" s="2">
        <f>'Rate Calc Sheet'!DF10+'Rate Calc Sheet'!DF25+'Rate Calc Sheet'!DF40+'Rate Calc Sheet'!DF55+'Rate Calc Sheet'!DF70</f>
        <v>2659812</v>
      </c>
      <c r="AO10" s="2">
        <f>'Rate Calc Sheet'!DG10+'Rate Calc Sheet'!DG25+'Rate Calc Sheet'!DG40+'Rate Calc Sheet'!DG55+'Rate Calc Sheet'!DG70</f>
        <v>321700</v>
      </c>
      <c r="AP10" s="2">
        <f>'Rate Calc Sheet'!DH10+'Rate Calc Sheet'!DH25+'Rate Calc Sheet'!DH40+'Rate Calc Sheet'!DH55+'Rate Calc Sheet'!DH70</f>
        <v>6994403</v>
      </c>
      <c r="AQ10" s="2">
        <f>'Rate Calc Sheet'!DI10+'Rate Calc Sheet'!DI25+'Rate Calc Sheet'!DI40+'Rate Calc Sheet'!DI55+'Rate Calc Sheet'!DI70</f>
        <v>1396.7939999997616</v>
      </c>
      <c r="AR10" s="2">
        <f>'Rate Calc Sheet'!DJ10+'Rate Calc Sheet'!DJ25+'Rate Calc Sheet'!DJ40+'Rate Calc Sheet'!DJ55+'Rate Calc Sheet'!DJ70</f>
        <v>450067</v>
      </c>
      <c r="AT10" s="2"/>
      <c r="AU10" s="12">
        <f>SUM('DEI Sales by Revenue'!C10:G10)-SUM('DEI Sales by Rate'!C10:AR10)</f>
        <v>-0.57800006866455078</v>
      </c>
    </row>
    <row r="11" spans="1:47" x14ac:dyDescent="0.2">
      <c r="A11" s="4"/>
      <c r="B11" s="4">
        <f>'DEI Sales by Revenue'!B11</f>
        <v>9</v>
      </c>
      <c r="C11" s="2">
        <f>SUM('Rate Calc Sheet'!L11:O11)+SUM('Rate Calc Sheet'!L26:O26)+SUM('Rate Calc Sheet'!L41:O41)+SUM('Rate Calc Sheet'!L56:O56)+SUM('Rate Calc Sheet'!L71:O71)</f>
        <v>93708388</v>
      </c>
      <c r="D11" s="2">
        <f>'Rate Calc Sheet'!P11+'Rate Calc Sheet'!P26+'Rate Calc Sheet'!P41+'Rate Calc Sheet'!P56+'Rate Calc Sheet'!P71</f>
        <v>466449</v>
      </c>
      <c r="E11" s="2">
        <f>SUM('Rate Calc Sheet'!Q11:T11)+SUM('Rate Calc Sheet'!Q26:T26)+SUM('Rate Calc Sheet'!Q41:T41)+SUM('Rate Calc Sheet'!Q56:T56)+SUM('Rate Calc Sheet'!Q71:T71)</f>
        <v>293</v>
      </c>
      <c r="F11" s="2">
        <f>SUM('Rate Calc Sheet'!U11:X11)+SUM('Rate Calc Sheet'!U26:X26)+SUM('Rate Calc Sheet'!U41:X41)+SUM('Rate Calc Sheet'!U56:X56)+SUM('Rate Calc Sheet'!U71:X71)</f>
        <v>2193831</v>
      </c>
      <c r="G11" s="2">
        <f>SUM('Rate Calc Sheet'!Y11:AB11)+SUM('Rate Calc Sheet'!Y26:AB26)+SUM('Rate Calc Sheet'!Y41:AB41)+SUM('Rate Calc Sheet'!Y56:AB56)+SUM('Rate Calc Sheet'!Y71:AB71)</f>
        <v>0</v>
      </c>
      <c r="H11" s="2">
        <f>SUM('Rate Calc Sheet'!AC11:AF11)+SUM('Rate Calc Sheet'!AC26:AF26)+SUM('Rate Calc Sheet'!AC41:AF41)+SUM('Rate Calc Sheet'!AC56:AF56)+SUM('Rate Calc Sheet'!AC71:AF71)</f>
        <v>0</v>
      </c>
      <c r="I11" s="2">
        <f>'Rate Calc Sheet'!AH11+'Rate Calc Sheet'!AH26+'Rate Calc Sheet'!AH41+'Rate Calc Sheet'!AH56+'Rate Calc Sheet'!AH71</f>
        <v>142867782</v>
      </c>
      <c r="J11" s="2">
        <f>'Rate Calc Sheet'!AI11+'Rate Calc Sheet'!AI26+'Rate Calc Sheet'!AI41+'Rate Calc Sheet'!AI56+'Rate Calc Sheet'!AI71</f>
        <v>120055852</v>
      </c>
      <c r="K11" s="2">
        <f>'Rate Calc Sheet'!AJ11+'Rate Calc Sheet'!AJ26+'Rate Calc Sheet'!AJ41+'Rate Calc Sheet'!AJ56+'Rate Calc Sheet'!AJ71</f>
        <v>10627614</v>
      </c>
      <c r="L11" s="2">
        <f>'Rate Calc Sheet'!AK11+'Rate Calc Sheet'!AK26+'Rate Calc Sheet'!AK41+'Rate Calc Sheet'!AK56+'Rate Calc Sheet'!AK71</f>
        <v>37385</v>
      </c>
      <c r="M11" s="2">
        <f>'Rate Calc Sheet'!AL11+'Rate Calc Sheet'!AL26+'Rate Calc Sheet'!AL41+'Rate Calc Sheet'!AL56+'Rate Calc Sheet'!AL71</f>
        <v>205710360</v>
      </c>
      <c r="N11" s="2">
        <f>'Rate Calc Sheet'!AM11+'Rate Calc Sheet'!AM26+'Rate Calc Sheet'!AM41+'Rate Calc Sheet'!AM56+'Rate Calc Sheet'!AM71</f>
        <v>190877216</v>
      </c>
      <c r="O11" s="2">
        <f>'Rate Calc Sheet'!AN11+'Rate Calc Sheet'!AN26+'Rate Calc Sheet'!AN41+'Rate Calc Sheet'!AN56+'Rate Calc Sheet'!AN71</f>
        <v>367145236</v>
      </c>
      <c r="P11" s="2">
        <f>SUM('Rate Calc Sheet'!AP11:AU11)+SUM('Rate Calc Sheet'!AP26:AU26)+SUM('Rate Calc Sheet'!AP41:AU41)+SUM('Rate Calc Sheet'!AP56:AU56)+SUM('Rate Calc Sheet'!AP71:AU71)</f>
        <v>13869975</v>
      </c>
      <c r="Q11" s="2">
        <f>SUM('Rate Calc Sheet'!AV11:BA11)+SUM('Rate Calc Sheet'!AV26:BA26)+SUM('Rate Calc Sheet'!AV41:BA41)+SUM('Rate Calc Sheet'!AV56:BA56)+SUM('Rate Calc Sheet'!AV71:BA71)</f>
        <v>27960186</v>
      </c>
      <c r="R11" s="2">
        <f>SUM('Rate Calc Sheet'!BB11:BG11)+SUM('Rate Calc Sheet'!BB26:BG26)+SUM('Rate Calc Sheet'!BB41:BG41)+SUM('Rate Calc Sheet'!BB56:BG56)+SUM('Rate Calc Sheet'!BB71:BG71)</f>
        <v>68269730</v>
      </c>
      <c r="S11" s="2">
        <f>SUM('Rate Calc Sheet'!BH11:BM11)+SUM('Rate Calc Sheet'!BH26:BM26)+SUM('Rate Calc Sheet'!BH41:BM41)+SUM('Rate Calc Sheet'!BH56:BM56)+SUM('Rate Calc Sheet'!BH71:BM71)</f>
        <v>428802119</v>
      </c>
      <c r="T11" s="2">
        <f>SUM('Rate Calc Sheet'!BN11:BS11)+SUM('Rate Calc Sheet'!BN26:BS26)+SUM('Rate Calc Sheet'!BN41:BS41)+SUM('Rate Calc Sheet'!BN56:BS56)+SUM('Rate Calc Sheet'!BN71:BS71)</f>
        <v>13159770</v>
      </c>
      <c r="U11" s="2">
        <f>SUM('Rate Calc Sheet'!BT11:BY11)+SUM('Rate Calc Sheet'!BT26:BY26)+SUM('Rate Calc Sheet'!BT41:BY41)+SUM('Rate Calc Sheet'!BT56:BY56)+SUM('Rate Calc Sheet'!BT71:BY71)</f>
        <v>0</v>
      </c>
      <c r="V11" s="2">
        <f>SUM('Rate Calc Sheet'!BZ11:CE11)+SUM('Rate Calc Sheet'!BZ26:CE26)+SUM('Rate Calc Sheet'!BZ41:CE41)+SUM('Rate Calc Sheet'!BZ56:CE56)+SUM('Rate Calc Sheet'!BZ71:CE71)</f>
        <v>544024</v>
      </c>
      <c r="W11" s="36">
        <f>SUM('Rate Calc Sheet'!CK11)+SUM('Rate Calc Sheet'!CK26)+SUM('Rate Calc Sheet'!CK41)+SUM('Rate Calc Sheet'!CK56)+SUM('Rate Calc Sheet'!CK71)</f>
        <v>0</v>
      </c>
      <c r="X11" s="37">
        <f>SUM('Rate Calc Sheet'!CL11)+SUM('Rate Calc Sheet'!CL26)+SUM('Rate Calc Sheet'!CL41)+SUM('Rate Calc Sheet'!CL56)+SUM('Rate Calc Sheet'!CL71)</f>
        <v>0</v>
      </c>
      <c r="Y11" s="36">
        <f>SUM('Rate Calc Sheet'!CG11)+SUM('Rate Calc Sheet'!CG26)+SUM('Rate Calc Sheet'!CG41)+SUM('Rate Calc Sheet'!CG56)+SUM('Rate Calc Sheet'!CG71)</f>
        <v>0</v>
      </c>
      <c r="Z11" s="42">
        <f>SUM('Rate Calc Sheet'!CH11)+SUM('Rate Calc Sheet'!CH26)+SUM('Rate Calc Sheet'!CH41)+SUM('Rate Calc Sheet'!CH56)+SUM('Rate Calc Sheet'!CH71)</f>
        <v>0</v>
      </c>
      <c r="AA11" s="42">
        <f>SUM('Rate Calc Sheet'!CI11)+SUM('Rate Calc Sheet'!CI26)+SUM('Rate Calc Sheet'!CI41)+SUM('Rate Calc Sheet'!CI56)+SUM('Rate Calc Sheet'!CI71)</f>
        <v>0</v>
      </c>
      <c r="AB11" s="37">
        <f>SUM('Rate Calc Sheet'!CJ11)+SUM('Rate Calc Sheet'!CJ26)+SUM('Rate Calc Sheet'!CJ41)+SUM('Rate Calc Sheet'!CJ56)+SUM('Rate Calc Sheet'!CJ71)</f>
        <v>0</v>
      </c>
      <c r="AC11" s="36">
        <v>0</v>
      </c>
      <c r="AD11" s="37">
        <v>0</v>
      </c>
      <c r="AE11" s="36">
        <v>0</v>
      </c>
      <c r="AF11" s="37">
        <v>0</v>
      </c>
      <c r="AG11" s="2">
        <f>SUM('Rate Calc Sheet'!CR11:CT11)+SUM('Rate Calc Sheet'!CR26:CT26)+SUM('Rate Calc Sheet'!CR41:CT41)+SUM('Rate Calc Sheet'!CR56:CT56)+SUM('Rate Calc Sheet'!CR71:CT71)</f>
        <v>711441221</v>
      </c>
      <c r="AH11" s="2">
        <f>SUM('Rate Calc Sheet'!CU11:CW11)+SUM('Rate Calc Sheet'!CU26:CW26)+SUM('Rate Calc Sheet'!CU41:CW41)+SUM('Rate Calc Sheet'!CU56:CW56)+SUM('Rate Calc Sheet'!CU71:CW71)</f>
        <v>47615637</v>
      </c>
      <c r="AI11" s="2">
        <f>SUM('Rate Calc Sheet'!CY11:CZ11)+SUM('Rate Calc Sheet'!CY26:CZ26)+SUM('Rate Calc Sheet'!CY41:CZ41)+SUM('Rate Calc Sheet'!CY56:CZ56)+SUM('Rate Calc Sheet'!CY71:CZ71)</f>
        <v>15230222</v>
      </c>
      <c r="AJ11" s="2">
        <f>'Rate Calc Sheet'!DB11+'Rate Calc Sheet'!DB26+'Rate Calc Sheet'!DB41+'Rate Calc Sheet'!DB56+'Rate Calc Sheet'!DB71</f>
        <v>327260</v>
      </c>
      <c r="AK11" s="2">
        <f>'Rate Calc Sheet'!DC11+'Rate Calc Sheet'!DC26+'Rate Calc Sheet'!DC41+'Rate Calc Sheet'!DC56+'Rate Calc Sheet'!DC71</f>
        <v>24247</v>
      </c>
      <c r="AL11" s="2">
        <f>'Rate Calc Sheet'!DD11+'Rate Calc Sheet'!DD26+'Rate Calc Sheet'!DD41+'Rate Calc Sheet'!DD56+'Rate Calc Sheet'!DD71</f>
        <v>242584</v>
      </c>
      <c r="AM11" s="2">
        <f>'Rate Calc Sheet'!DE11+'Rate Calc Sheet'!DE26+'Rate Calc Sheet'!DE41+'Rate Calc Sheet'!DE56+'Rate Calc Sheet'!DE71</f>
        <v>237380</v>
      </c>
      <c r="AN11" s="2">
        <f>'Rate Calc Sheet'!DF11+'Rate Calc Sheet'!DF26+'Rate Calc Sheet'!DF41+'Rate Calc Sheet'!DF56+'Rate Calc Sheet'!DF71</f>
        <v>2863933</v>
      </c>
      <c r="AO11" s="2">
        <f>'Rate Calc Sheet'!DG11+'Rate Calc Sheet'!DG26+'Rate Calc Sheet'!DG41+'Rate Calc Sheet'!DG56+'Rate Calc Sheet'!DG71</f>
        <v>281653</v>
      </c>
      <c r="AP11" s="2">
        <f>'Rate Calc Sheet'!DH11+'Rate Calc Sheet'!DH26+'Rate Calc Sheet'!DH41+'Rate Calc Sheet'!DH56+'Rate Calc Sheet'!DH71</f>
        <v>7267370</v>
      </c>
      <c r="AQ11" s="2">
        <f>'Rate Calc Sheet'!DI11+'Rate Calc Sheet'!DI26+'Rate Calc Sheet'!DI41+'Rate Calc Sheet'!DI56+'Rate Calc Sheet'!DI71</f>
        <v>946.58500000089407</v>
      </c>
      <c r="AR11" s="2">
        <f>'Rate Calc Sheet'!DJ11+'Rate Calc Sheet'!DJ26+'Rate Calc Sheet'!DJ41+'Rate Calc Sheet'!DJ56+'Rate Calc Sheet'!DJ71</f>
        <v>223375</v>
      </c>
      <c r="AT11" s="2"/>
      <c r="AU11" s="12">
        <f>SUM('DEI Sales by Revenue'!C11:G11)-SUM('DEI Sales by Rate'!C11:AR11)</f>
        <v>-57.902999877929688</v>
      </c>
    </row>
    <row r="12" spans="1:47" x14ac:dyDescent="0.2">
      <c r="A12" s="4"/>
      <c r="B12" s="4">
        <f>'DEI Sales by Revenue'!B12</f>
        <v>10</v>
      </c>
      <c r="C12" s="2">
        <f>SUM('Rate Calc Sheet'!L12:O12)+SUM('Rate Calc Sheet'!L27:O27)+SUM('Rate Calc Sheet'!L42:O42)+SUM('Rate Calc Sheet'!L57:O57)+SUM('Rate Calc Sheet'!L72:O72)</f>
        <v>70288754</v>
      </c>
      <c r="D12" s="2">
        <f>'Rate Calc Sheet'!P12+'Rate Calc Sheet'!P27+'Rate Calc Sheet'!P42+'Rate Calc Sheet'!P57+'Rate Calc Sheet'!P72</f>
        <v>359264</v>
      </c>
      <c r="E12" s="2">
        <f>SUM('Rate Calc Sheet'!Q12:T12)+SUM('Rate Calc Sheet'!Q27:T27)+SUM('Rate Calc Sheet'!Q42:T42)+SUM('Rate Calc Sheet'!Q57:T57)+SUM('Rate Calc Sheet'!Q72:T72)</f>
        <v>285</v>
      </c>
      <c r="F12" s="2">
        <f>SUM('Rate Calc Sheet'!U12:X12)+SUM('Rate Calc Sheet'!U27:X27)+SUM('Rate Calc Sheet'!U42:X42)+SUM('Rate Calc Sheet'!U57:X57)+SUM('Rate Calc Sheet'!U72:X72)</f>
        <v>1989849</v>
      </c>
      <c r="G12" s="2">
        <f>SUM('Rate Calc Sheet'!Y12:AB12)+SUM('Rate Calc Sheet'!Y27:AB27)+SUM('Rate Calc Sheet'!Y42:AB42)+SUM('Rate Calc Sheet'!Y57:AB57)+SUM('Rate Calc Sheet'!Y72:AB72)</f>
        <v>0</v>
      </c>
      <c r="H12" s="2">
        <f>SUM('Rate Calc Sheet'!AC12:AF12)+SUM('Rate Calc Sheet'!AC27:AF27)+SUM('Rate Calc Sheet'!AC42:AF42)+SUM('Rate Calc Sheet'!AC57:AF57)+SUM('Rate Calc Sheet'!AC72:AF72)</f>
        <v>0</v>
      </c>
      <c r="I12" s="2">
        <f>'Rate Calc Sheet'!AH12+'Rate Calc Sheet'!AH27+'Rate Calc Sheet'!AH42+'Rate Calc Sheet'!AH57+'Rate Calc Sheet'!AH72</f>
        <v>119601318</v>
      </c>
      <c r="J12" s="2">
        <f>'Rate Calc Sheet'!AI12+'Rate Calc Sheet'!AI27+'Rate Calc Sheet'!AI42+'Rate Calc Sheet'!AI57+'Rate Calc Sheet'!AI72</f>
        <v>93303671</v>
      </c>
      <c r="K12" s="2">
        <f>'Rate Calc Sheet'!AJ12+'Rate Calc Sheet'!AJ27+'Rate Calc Sheet'!AJ42+'Rate Calc Sheet'!AJ57+'Rate Calc Sheet'!AJ72</f>
        <v>9496517</v>
      </c>
      <c r="L12" s="2">
        <f>'Rate Calc Sheet'!AK12+'Rate Calc Sheet'!AK27+'Rate Calc Sheet'!AK42+'Rate Calc Sheet'!AK57+'Rate Calc Sheet'!AK72</f>
        <v>38857</v>
      </c>
      <c r="M12" s="2">
        <f>'Rate Calc Sheet'!AL12+'Rate Calc Sheet'!AL27+'Rate Calc Sheet'!AL42+'Rate Calc Sheet'!AL57+'Rate Calc Sheet'!AL72</f>
        <v>161228893</v>
      </c>
      <c r="N12" s="2">
        <f>'Rate Calc Sheet'!AM12+'Rate Calc Sheet'!AM27+'Rate Calc Sheet'!AM42+'Rate Calc Sheet'!AM57+'Rate Calc Sheet'!AM72</f>
        <v>156641871</v>
      </c>
      <c r="O12" s="2">
        <f>'Rate Calc Sheet'!AN12+'Rate Calc Sheet'!AN27+'Rate Calc Sheet'!AN42+'Rate Calc Sheet'!AN57+'Rate Calc Sheet'!AN72</f>
        <v>292683421</v>
      </c>
      <c r="P12" s="2">
        <f>SUM('Rate Calc Sheet'!AP12:AU12)+SUM('Rate Calc Sheet'!AP27:AU27)+SUM('Rate Calc Sheet'!AP42:AU42)+SUM('Rate Calc Sheet'!AP57:AU57)+SUM('Rate Calc Sheet'!AP72:AU72)</f>
        <v>13024870</v>
      </c>
      <c r="Q12" s="2">
        <f>SUM('Rate Calc Sheet'!AV12:BA12)+SUM('Rate Calc Sheet'!AV27:BA27)+SUM('Rate Calc Sheet'!AV42:BA42)+SUM('Rate Calc Sheet'!AV57:BA57)+SUM('Rate Calc Sheet'!AV72:BA72)</f>
        <v>24867822</v>
      </c>
      <c r="R12" s="2">
        <f>SUM('Rate Calc Sheet'!BB12:BG12)+SUM('Rate Calc Sheet'!BB27:BG27)+SUM('Rate Calc Sheet'!BB42:BG42)+SUM('Rate Calc Sheet'!BB57:BG57)+SUM('Rate Calc Sheet'!BB72:BG72)</f>
        <v>56853354</v>
      </c>
      <c r="S12" s="2">
        <f>SUM('Rate Calc Sheet'!BH12:BM12)+SUM('Rate Calc Sheet'!BH27:BM27)+SUM('Rate Calc Sheet'!BH42:BM42)+SUM('Rate Calc Sheet'!BH57:BM57)+SUM('Rate Calc Sheet'!BH72:BM72)</f>
        <v>342264290</v>
      </c>
      <c r="T12" s="2">
        <f>SUM('Rate Calc Sheet'!BN12:BS12)+SUM('Rate Calc Sheet'!BN27:BS27)+SUM('Rate Calc Sheet'!BN42:BS42)+SUM('Rate Calc Sheet'!BN57:BS57)+SUM('Rate Calc Sheet'!BN72:BS72)</f>
        <v>11265652</v>
      </c>
      <c r="U12" s="2">
        <f>SUM('Rate Calc Sheet'!BT12:BY12)+SUM('Rate Calc Sheet'!BT27:BY27)+SUM('Rate Calc Sheet'!BT42:BY42)+SUM('Rate Calc Sheet'!BT57:BY57)+SUM('Rate Calc Sheet'!BT72:BY72)</f>
        <v>0</v>
      </c>
      <c r="V12" s="2">
        <f>SUM('Rate Calc Sheet'!BZ12:CE12)+SUM('Rate Calc Sheet'!BZ27:CE27)+SUM('Rate Calc Sheet'!BZ42:CE42)+SUM('Rate Calc Sheet'!BZ57:CE57)+SUM('Rate Calc Sheet'!BZ72:CE72)</f>
        <v>416388</v>
      </c>
      <c r="W12" s="36">
        <f>SUM('Rate Calc Sheet'!CK12)+SUM('Rate Calc Sheet'!CK27)+SUM('Rate Calc Sheet'!CK42)+SUM('Rate Calc Sheet'!CK57)+SUM('Rate Calc Sheet'!CK72)</f>
        <v>0</v>
      </c>
      <c r="X12" s="37">
        <f>SUM('Rate Calc Sheet'!CL12)+SUM('Rate Calc Sheet'!CL27)+SUM('Rate Calc Sheet'!CL42)+SUM('Rate Calc Sheet'!CL57)+SUM('Rate Calc Sheet'!CL72)</f>
        <v>0</v>
      </c>
      <c r="Y12" s="36">
        <f>SUM('Rate Calc Sheet'!CG12)+SUM('Rate Calc Sheet'!CG27)+SUM('Rate Calc Sheet'!CG42)+SUM('Rate Calc Sheet'!CG57)+SUM('Rate Calc Sheet'!CG72)</f>
        <v>0</v>
      </c>
      <c r="Z12" s="42">
        <f>SUM('Rate Calc Sheet'!CH12)+SUM('Rate Calc Sheet'!CH27)+SUM('Rate Calc Sheet'!CH42)+SUM('Rate Calc Sheet'!CH57)+SUM('Rate Calc Sheet'!CH72)</f>
        <v>0</v>
      </c>
      <c r="AA12" s="42">
        <f>SUM('Rate Calc Sheet'!CI12)+SUM('Rate Calc Sheet'!CI27)+SUM('Rate Calc Sheet'!CI42)+SUM('Rate Calc Sheet'!CI57)+SUM('Rate Calc Sheet'!CI72)</f>
        <v>0</v>
      </c>
      <c r="AB12" s="37">
        <f>SUM('Rate Calc Sheet'!CJ12)+SUM('Rate Calc Sheet'!CJ27)+SUM('Rate Calc Sheet'!CJ42)+SUM('Rate Calc Sheet'!CJ57)+SUM('Rate Calc Sheet'!CJ72)</f>
        <v>0</v>
      </c>
      <c r="AC12" s="36">
        <v>0</v>
      </c>
      <c r="AD12" s="37">
        <v>0</v>
      </c>
      <c r="AE12" s="36">
        <v>0</v>
      </c>
      <c r="AF12" s="37">
        <v>0</v>
      </c>
      <c r="AG12" s="2">
        <f>SUM('Rate Calc Sheet'!CR12:CT12)+SUM('Rate Calc Sheet'!CR27:CT27)+SUM('Rate Calc Sheet'!CR42:CT42)+SUM('Rate Calc Sheet'!CR57:CT57)+SUM('Rate Calc Sheet'!CR72:CT72)</f>
        <v>515145802</v>
      </c>
      <c r="AH12" s="2">
        <f>SUM('Rate Calc Sheet'!CU12:CW12)+SUM('Rate Calc Sheet'!CU27:CW27)+SUM('Rate Calc Sheet'!CU42:CW42)+SUM('Rate Calc Sheet'!CU57:CW57)+SUM('Rate Calc Sheet'!CU72:CW72)</f>
        <v>38624961</v>
      </c>
      <c r="AI12" s="2">
        <f>SUM('Rate Calc Sheet'!CY12:CZ12)+SUM('Rate Calc Sheet'!CY27:CZ27)+SUM('Rate Calc Sheet'!CY42:CZ42)+SUM('Rate Calc Sheet'!CY57:CZ57)+SUM('Rate Calc Sheet'!CY72:CZ72)</f>
        <v>14384659</v>
      </c>
      <c r="AJ12" s="2">
        <f>'Rate Calc Sheet'!DB12+'Rate Calc Sheet'!DB27+'Rate Calc Sheet'!DB42+'Rate Calc Sheet'!DB57+'Rate Calc Sheet'!DB72</f>
        <v>337900</v>
      </c>
      <c r="AK12" s="2">
        <f>'Rate Calc Sheet'!DC12+'Rate Calc Sheet'!DC27+'Rate Calc Sheet'!DC42+'Rate Calc Sheet'!DC57+'Rate Calc Sheet'!DC72</f>
        <v>24300</v>
      </c>
      <c r="AL12" s="2">
        <f>'Rate Calc Sheet'!DD12+'Rate Calc Sheet'!DD27+'Rate Calc Sheet'!DD42+'Rate Calc Sheet'!DD57+'Rate Calc Sheet'!DD72</f>
        <v>264404</v>
      </c>
      <c r="AM12" s="2">
        <f>'Rate Calc Sheet'!DE12+'Rate Calc Sheet'!DE27+'Rate Calc Sheet'!DE42+'Rate Calc Sheet'!DE57+'Rate Calc Sheet'!DE72</f>
        <v>226719</v>
      </c>
      <c r="AN12" s="2">
        <f>'Rate Calc Sheet'!DF12+'Rate Calc Sheet'!DF27+'Rate Calc Sheet'!DF42+'Rate Calc Sheet'!DF57+'Rate Calc Sheet'!DF72</f>
        <v>2848860</v>
      </c>
      <c r="AO12" s="2">
        <f>'Rate Calc Sheet'!DG12+'Rate Calc Sheet'!DG27+'Rate Calc Sheet'!DG42+'Rate Calc Sheet'!DG57+'Rate Calc Sheet'!DG72</f>
        <v>285507</v>
      </c>
      <c r="AP12" s="2">
        <f>'Rate Calc Sheet'!DH12+'Rate Calc Sheet'!DH27+'Rate Calc Sheet'!DH42+'Rate Calc Sheet'!DH57+'Rate Calc Sheet'!DH72</f>
        <v>7334192</v>
      </c>
      <c r="AQ12" s="2">
        <f>'Rate Calc Sheet'!DI12+'Rate Calc Sheet'!DI27+'Rate Calc Sheet'!DI42+'Rate Calc Sheet'!DI57+'Rate Calc Sheet'!DI72</f>
        <v>874.91199999861419</v>
      </c>
      <c r="AR12" s="2">
        <f>'Rate Calc Sheet'!DJ12+'Rate Calc Sheet'!DJ27+'Rate Calc Sheet'!DJ42+'Rate Calc Sheet'!DJ57+'Rate Calc Sheet'!DJ72</f>
        <v>233274</v>
      </c>
      <c r="AT12" s="2"/>
      <c r="AU12" s="12">
        <f>SUM('DEI Sales by Revenue'!C12:G12)-SUM('DEI Sales by Rate'!C12:AR12)</f>
        <v>-0.53999996185302734</v>
      </c>
    </row>
    <row r="13" spans="1:47" x14ac:dyDescent="0.2">
      <c r="A13" s="4"/>
      <c r="B13" s="4">
        <f>'DEI Sales by Revenue'!B13</f>
        <v>11</v>
      </c>
      <c r="C13" s="2">
        <f>SUM('Rate Calc Sheet'!L13:O13)+SUM('Rate Calc Sheet'!L28:O28)+SUM('Rate Calc Sheet'!L43:O43)+SUM('Rate Calc Sheet'!L58:O58)+SUM('Rate Calc Sheet'!L73:O73)</f>
        <v>64689182</v>
      </c>
      <c r="D13" s="2">
        <f>'Rate Calc Sheet'!P13+'Rate Calc Sheet'!P28+'Rate Calc Sheet'!P43+'Rate Calc Sheet'!P58+'Rate Calc Sheet'!P73</f>
        <v>330862</v>
      </c>
      <c r="E13" s="2">
        <f>SUM('Rate Calc Sheet'!Q13:T13)+SUM('Rate Calc Sheet'!Q28:T28)+SUM('Rate Calc Sheet'!Q43:T43)+SUM('Rate Calc Sheet'!Q58:T58)+SUM('Rate Calc Sheet'!Q73:T73)</f>
        <v>271</v>
      </c>
      <c r="F13" s="2">
        <f>SUM('Rate Calc Sheet'!U13:X13)+SUM('Rate Calc Sheet'!U28:X28)+SUM('Rate Calc Sheet'!U43:X43)+SUM('Rate Calc Sheet'!U58:X58)+SUM('Rate Calc Sheet'!U73:X73)</f>
        <v>1892491</v>
      </c>
      <c r="G13" s="2">
        <f>SUM('Rate Calc Sheet'!Y13:AB13)+SUM('Rate Calc Sheet'!Y28:AB28)+SUM('Rate Calc Sheet'!Y43:AB43)+SUM('Rate Calc Sheet'!Y58:AB58)+SUM('Rate Calc Sheet'!Y73:AB73)</f>
        <v>0</v>
      </c>
      <c r="H13" s="2">
        <f>SUM('Rate Calc Sheet'!AC13:AF13)+SUM('Rate Calc Sheet'!AC28:AF28)+SUM('Rate Calc Sheet'!AC43:AF43)+SUM('Rate Calc Sheet'!AC58:AF58)+SUM('Rate Calc Sheet'!AC73:AF73)</f>
        <v>0</v>
      </c>
      <c r="I13" s="2">
        <f>'Rate Calc Sheet'!AH13+'Rate Calc Sheet'!AH28+'Rate Calc Sheet'!AH43+'Rate Calc Sheet'!AH58+'Rate Calc Sheet'!AH73</f>
        <v>123079685</v>
      </c>
      <c r="J13" s="2">
        <f>'Rate Calc Sheet'!AI13+'Rate Calc Sheet'!AI28+'Rate Calc Sheet'!AI43+'Rate Calc Sheet'!AI58+'Rate Calc Sheet'!AI73</f>
        <v>96052549</v>
      </c>
      <c r="K13" s="2">
        <f>'Rate Calc Sheet'!AJ13+'Rate Calc Sheet'!AJ28+'Rate Calc Sheet'!AJ43+'Rate Calc Sheet'!AJ58+'Rate Calc Sheet'!AJ73</f>
        <v>9436020</v>
      </c>
      <c r="L13" s="2">
        <f>'Rate Calc Sheet'!AK13+'Rate Calc Sheet'!AK28+'Rate Calc Sheet'!AK43+'Rate Calc Sheet'!AK58+'Rate Calc Sheet'!AK73</f>
        <v>33637</v>
      </c>
      <c r="M13" s="2">
        <f>'Rate Calc Sheet'!AL13+'Rate Calc Sheet'!AL28+'Rate Calc Sheet'!AL43+'Rate Calc Sheet'!AL58+'Rate Calc Sheet'!AL73</f>
        <v>141535487</v>
      </c>
      <c r="N13" s="2">
        <f>'Rate Calc Sheet'!AM13+'Rate Calc Sheet'!AM28+'Rate Calc Sheet'!AM43+'Rate Calc Sheet'!AM58+'Rate Calc Sheet'!AM73</f>
        <v>146816596</v>
      </c>
      <c r="O13" s="2">
        <f>'Rate Calc Sheet'!AN13+'Rate Calc Sheet'!AN28+'Rate Calc Sheet'!AN43+'Rate Calc Sheet'!AN58+'Rate Calc Sheet'!AN73</f>
        <v>274327506</v>
      </c>
      <c r="P13" s="2">
        <f>SUM('Rate Calc Sheet'!AP13:AU13)+SUM('Rate Calc Sheet'!AP28:AU28)+SUM('Rate Calc Sheet'!AP43:AU43)+SUM('Rate Calc Sheet'!AP58:AU58)+SUM('Rate Calc Sheet'!AP73:AU73)</f>
        <v>13020514</v>
      </c>
      <c r="Q13" s="2">
        <f>SUM('Rate Calc Sheet'!AV13:BA13)+SUM('Rate Calc Sheet'!AV28:BA28)+SUM('Rate Calc Sheet'!AV43:BA43)+SUM('Rate Calc Sheet'!AV58:BA58)+SUM('Rate Calc Sheet'!AV73:BA73)</f>
        <v>23267084</v>
      </c>
      <c r="R13" s="2">
        <f>SUM('Rate Calc Sheet'!BB13:BG13)+SUM('Rate Calc Sheet'!BB28:BG28)+SUM('Rate Calc Sheet'!BB43:BG43)+SUM('Rate Calc Sheet'!BB58:BG58)+SUM('Rate Calc Sheet'!BB73:BG73)</f>
        <v>55056120</v>
      </c>
      <c r="S13" s="2">
        <f>SUM('Rate Calc Sheet'!BH13:BM13)+SUM('Rate Calc Sheet'!BH28:BM28)+SUM('Rate Calc Sheet'!BH43:BM43)+SUM('Rate Calc Sheet'!BH58:BM58)+SUM('Rate Calc Sheet'!BH73:BM73)</f>
        <v>318185968</v>
      </c>
      <c r="T13" s="2">
        <f>SUM('Rate Calc Sheet'!BN13:BS13)+SUM('Rate Calc Sheet'!BN28:BS28)+SUM('Rate Calc Sheet'!BN43:BS43)+SUM('Rate Calc Sheet'!BN58:BS58)+SUM('Rate Calc Sheet'!BN73:BS73)</f>
        <v>11676128</v>
      </c>
      <c r="U13" s="2">
        <f>SUM('Rate Calc Sheet'!BT13:BY13)+SUM('Rate Calc Sheet'!BT28:BY28)+SUM('Rate Calc Sheet'!BT43:BY43)+SUM('Rate Calc Sheet'!BT58:BY58)+SUM('Rate Calc Sheet'!BT73:BY73)</f>
        <v>0</v>
      </c>
      <c r="V13" s="2">
        <f>SUM('Rate Calc Sheet'!BZ13:CE13)+SUM('Rate Calc Sheet'!BZ28:CE28)+SUM('Rate Calc Sheet'!BZ43:CE43)+SUM('Rate Calc Sheet'!BZ58:CE58)+SUM('Rate Calc Sheet'!BZ73:CE73)</f>
        <v>444299</v>
      </c>
      <c r="W13" s="36">
        <f>SUM('Rate Calc Sheet'!CK13)+SUM('Rate Calc Sheet'!CK28)+SUM('Rate Calc Sheet'!CK43)+SUM('Rate Calc Sheet'!CK58)+SUM('Rate Calc Sheet'!CK73)</f>
        <v>0</v>
      </c>
      <c r="X13" s="37">
        <f>SUM('Rate Calc Sheet'!CL13)+SUM('Rate Calc Sheet'!CL28)+SUM('Rate Calc Sheet'!CL43)+SUM('Rate Calc Sheet'!CL58)+SUM('Rate Calc Sheet'!CL73)</f>
        <v>0</v>
      </c>
      <c r="Y13" s="36">
        <f>SUM('Rate Calc Sheet'!CG13)+SUM('Rate Calc Sheet'!CG28)+SUM('Rate Calc Sheet'!CG43)+SUM('Rate Calc Sheet'!CG58)+SUM('Rate Calc Sheet'!CG73)</f>
        <v>0</v>
      </c>
      <c r="Z13" s="42">
        <f>SUM('Rate Calc Sheet'!CH13)+SUM('Rate Calc Sheet'!CH28)+SUM('Rate Calc Sheet'!CH43)+SUM('Rate Calc Sheet'!CH58)+SUM('Rate Calc Sheet'!CH73)</f>
        <v>0</v>
      </c>
      <c r="AA13" s="42">
        <f>SUM('Rate Calc Sheet'!CI13)+SUM('Rate Calc Sheet'!CI28)+SUM('Rate Calc Sheet'!CI43)+SUM('Rate Calc Sheet'!CI58)+SUM('Rate Calc Sheet'!CI73)</f>
        <v>0</v>
      </c>
      <c r="AB13" s="37">
        <f>SUM('Rate Calc Sheet'!CJ13)+SUM('Rate Calc Sheet'!CJ28)+SUM('Rate Calc Sheet'!CJ43)+SUM('Rate Calc Sheet'!CJ58)+SUM('Rate Calc Sheet'!CJ73)</f>
        <v>0</v>
      </c>
      <c r="AC13" s="36">
        <v>0</v>
      </c>
      <c r="AD13" s="37">
        <v>0</v>
      </c>
      <c r="AE13" s="36">
        <v>0</v>
      </c>
      <c r="AF13" s="37">
        <v>0</v>
      </c>
      <c r="AG13" s="2">
        <f>SUM('Rate Calc Sheet'!CR13:CT13)+SUM('Rate Calc Sheet'!CR28:CT28)+SUM('Rate Calc Sheet'!CR43:CT43)+SUM('Rate Calc Sheet'!CR58:CT58)+SUM('Rate Calc Sheet'!CR73:CT73)</f>
        <v>555507295</v>
      </c>
      <c r="AH13" s="2">
        <f>SUM('Rate Calc Sheet'!CU13:CW13)+SUM('Rate Calc Sheet'!CU28:CW28)+SUM('Rate Calc Sheet'!CU43:CW43)+SUM('Rate Calc Sheet'!CU58:CW58)+SUM('Rate Calc Sheet'!CU73:CW73)</f>
        <v>47546749</v>
      </c>
      <c r="AI13" s="2">
        <f>SUM('Rate Calc Sheet'!CY13:CZ13)+SUM('Rate Calc Sheet'!CY28:CZ28)+SUM('Rate Calc Sheet'!CY43:CZ43)+SUM('Rate Calc Sheet'!CY58:CZ58)+SUM('Rate Calc Sheet'!CY73:CZ73)</f>
        <v>12648870</v>
      </c>
      <c r="AJ13" s="2">
        <f>'Rate Calc Sheet'!DB13+'Rate Calc Sheet'!DB28+'Rate Calc Sheet'!DB43+'Rate Calc Sheet'!DB58+'Rate Calc Sheet'!DB73</f>
        <v>396961</v>
      </c>
      <c r="AK13" s="2">
        <f>'Rate Calc Sheet'!DC13+'Rate Calc Sheet'!DC28+'Rate Calc Sheet'!DC43+'Rate Calc Sheet'!DC58+'Rate Calc Sheet'!DC73</f>
        <v>24173</v>
      </c>
      <c r="AL13" s="2">
        <f>'Rate Calc Sheet'!DD13+'Rate Calc Sheet'!DD28+'Rate Calc Sheet'!DD43+'Rate Calc Sheet'!DD58+'Rate Calc Sheet'!DD73</f>
        <v>266967</v>
      </c>
      <c r="AM13" s="2">
        <f>'Rate Calc Sheet'!DE13+'Rate Calc Sheet'!DE28+'Rate Calc Sheet'!DE43+'Rate Calc Sheet'!DE58+'Rate Calc Sheet'!DE73</f>
        <v>235910</v>
      </c>
      <c r="AN13" s="2">
        <f>'Rate Calc Sheet'!DF13+'Rate Calc Sheet'!DF28+'Rate Calc Sheet'!DF43+'Rate Calc Sheet'!DF58+'Rate Calc Sheet'!DF73</f>
        <v>2828029</v>
      </c>
      <c r="AO13" s="2">
        <f>'Rate Calc Sheet'!DG13+'Rate Calc Sheet'!DG28+'Rate Calc Sheet'!DG43+'Rate Calc Sheet'!DG58+'Rate Calc Sheet'!DG73</f>
        <v>284019</v>
      </c>
      <c r="AP13" s="2">
        <f>'Rate Calc Sheet'!DH13+'Rate Calc Sheet'!DH28+'Rate Calc Sheet'!DH43+'Rate Calc Sheet'!DH58+'Rate Calc Sheet'!DH73</f>
        <v>7134840</v>
      </c>
      <c r="AQ13" s="2">
        <f>'Rate Calc Sheet'!DI13+'Rate Calc Sheet'!DI28+'Rate Calc Sheet'!DI43+'Rate Calc Sheet'!DI58+'Rate Calc Sheet'!DI73</f>
        <v>915.08899999968708</v>
      </c>
      <c r="AR13" s="2">
        <f>'Rate Calc Sheet'!DJ13+'Rate Calc Sheet'!DJ28+'Rate Calc Sheet'!DJ43+'Rate Calc Sheet'!DJ58+'Rate Calc Sheet'!DJ73</f>
        <v>246878</v>
      </c>
      <c r="AT13" s="2"/>
      <c r="AU13" s="12">
        <f>SUM('DEI Sales by Revenue'!C13:G13)-SUM('DEI Sales by Rate'!C13:AR13)</f>
        <v>0.35404014587402344</v>
      </c>
    </row>
    <row r="14" spans="1:47" x14ac:dyDescent="0.2">
      <c r="A14" s="4"/>
      <c r="B14" s="4">
        <f>'DEI Sales by Revenue'!B14</f>
        <v>12</v>
      </c>
      <c r="C14" s="2">
        <f>SUM('Rate Calc Sheet'!L14:O14)+SUM('Rate Calc Sheet'!L29:O29)+SUM('Rate Calc Sheet'!L44:O44)+SUM('Rate Calc Sheet'!L59:O59)+SUM('Rate Calc Sheet'!L74:O74)</f>
        <v>87602125</v>
      </c>
      <c r="D14" s="2">
        <f>'Rate Calc Sheet'!P14+'Rate Calc Sheet'!P29+'Rate Calc Sheet'!P44+'Rate Calc Sheet'!P59+'Rate Calc Sheet'!P74</f>
        <v>443271</v>
      </c>
      <c r="E14" s="2">
        <f>SUM('Rate Calc Sheet'!Q14:T14)+SUM('Rate Calc Sheet'!Q29:T29)+SUM('Rate Calc Sheet'!Q44:T44)+SUM('Rate Calc Sheet'!Q59:T59)+SUM('Rate Calc Sheet'!Q74:T74)</f>
        <v>306</v>
      </c>
      <c r="F14" s="2">
        <f>SUM('Rate Calc Sheet'!U14:X14)+SUM('Rate Calc Sheet'!U29:X29)+SUM('Rate Calc Sheet'!U44:X44)+SUM('Rate Calc Sheet'!U59:X59)+SUM('Rate Calc Sheet'!U74:X74)</f>
        <v>2195150</v>
      </c>
      <c r="G14" s="2">
        <f>SUM('Rate Calc Sheet'!Y14:AB14)+SUM('Rate Calc Sheet'!Y29:AB29)+SUM('Rate Calc Sheet'!Y44:AB44)+SUM('Rate Calc Sheet'!Y59:AB59)+SUM('Rate Calc Sheet'!Y74:AB74)</f>
        <v>0</v>
      </c>
      <c r="H14" s="2">
        <f>SUM('Rate Calc Sheet'!AC14:AF14)+SUM('Rate Calc Sheet'!AC29:AF29)+SUM('Rate Calc Sheet'!AC44:AF44)+SUM('Rate Calc Sheet'!AC59:AF59)+SUM('Rate Calc Sheet'!AC74:AF74)</f>
        <v>0</v>
      </c>
      <c r="I14" s="2">
        <f>'Rate Calc Sheet'!AH14+'Rate Calc Sheet'!AH29+'Rate Calc Sheet'!AH44+'Rate Calc Sheet'!AH59+'Rate Calc Sheet'!AH74</f>
        <v>117531926</v>
      </c>
      <c r="J14" s="2">
        <f>'Rate Calc Sheet'!AI14+'Rate Calc Sheet'!AI29+'Rate Calc Sheet'!AI44+'Rate Calc Sheet'!AI59+'Rate Calc Sheet'!AI74</f>
        <v>95967236</v>
      </c>
      <c r="K14" s="2">
        <f>'Rate Calc Sheet'!AJ14+'Rate Calc Sheet'!AJ29+'Rate Calc Sheet'!AJ44+'Rate Calc Sheet'!AJ59+'Rate Calc Sheet'!AJ74</f>
        <v>8434949</v>
      </c>
      <c r="L14" s="2">
        <f>'Rate Calc Sheet'!AK14+'Rate Calc Sheet'!AK29+'Rate Calc Sheet'!AK44+'Rate Calc Sheet'!AK59+'Rate Calc Sheet'!AK74</f>
        <v>45095</v>
      </c>
      <c r="M14" s="2">
        <f>'Rate Calc Sheet'!AL14+'Rate Calc Sheet'!AL29+'Rate Calc Sheet'!AL44+'Rate Calc Sheet'!AL59+'Rate Calc Sheet'!AL74</f>
        <v>137490550</v>
      </c>
      <c r="N14" s="2">
        <f>'Rate Calc Sheet'!AM14+'Rate Calc Sheet'!AM29+'Rate Calc Sheet'!AM44+'Rate Calc Sheet'!AM59+'Rate Calc Sheet'!AM74</f>
        <v>141348859</v>
      </c>
      <c r="O14" s="2">
        <f>'Rate Calc Sheet'!AN14+'Rate Calc Sheet'!AN29+'Rate Calc Sheet'!AN44+'Rate Calc Sheet'!AN59+'Rate Calc Sheet'!AN74</f>
        <v>290994081</v>
      </c>
      <c r="P14" s="2">
        <f>SUM('Rate Calc Sheet'!AP14:AU14)+SUM('Rate Calc Sheet'!AP29:AU29)+SUM('Rate Calc Sheet'!AP44:AU44)+SUM('Rate Calc Sheet'!AP59:AU59)+SUM('Rate Calc Sheet'!AP74:AU74)</f>
        <v>12746172</v>
      </c>
      <c r="Q14" s="2">
        <f>SUM('Rate Calc Sheet'!AV14:BA14)+SUM('Rate Calc Sheet'!AV29:BA29)+SUM('Rate Calc Sheet'!AV44:BA44)+SUM('Rate Calc Sheet'!AV59:BA59)+SUM('Rate Calc Sheet'!AV74:BA74)</f>
        <v>24196841</v>
      </c>
      <c r="R14" s="2">
        <f>SUM('Rate Calc Sheet'!BB14:BG14)+SUM('Rate Calc Sheet'!BB29:BG29)+SUM('Rate Calc Sheet'!BB44:BG44)+SUM('Rate Calc Sheet'!BB59:BG59)+SUM('Rate Calc Sheet'!BB74:BG74)</f>
        <v>53872731</v>
      </c>
      <c r="S14" s="2">
        <f>SUM('Rate Calc Sheet'!BH14:BM14)+SUM('Rate Calc Sheet'!BH29:BM29)+SUM('Rate Calc Sheet'!BH44:BM44)+SUM('Rate Calc Sheet'!BH59:BM59)+SUM('Rate Calc Sheet'!BH74:BM74)</f>
        <v>351924873</v>
      </c>
      <c r="T14" s="2">
        <f>SUM('Rate Calc Sheet'!BN14:BS14)+SUM('Rate Calc Sheet'!BN29:BS29)+SUM('Rate Calc Sheet'!BN44:BS44)+SUM('Rate Calc Sheet'!BN59:BS59)+SUM('Rate Calc Sheet'!BN74:BS74)</f>
        <v>15474115</v>
      </c>
      <c r="U14" s="2">
        <f>SUM('Rate Calc Sheet'!BT14:BY14)+SUM('Rate Calc Sheet'!BT29:BY29)+SUM('Rate Calc Sheet'!BT44:BY44)+SUM('Rate Calc Sheet'!BT59:BY59)+SUM('Rate Calc Sheet'!BT74:BY74)</f>
        <v>19280</v>
      </c>
      <c r="V14" s="2">
        <f>SUM('Rate Calc Sheet'!BZ14:CE14)+SUM('Rate Calc Sheet'!BZ29:CE29)+SUM('Rate Calc Sheet'!BZ44:CE44)+SUM('Rate Calc Sheet'!BZ59:CE59)+SUM('Rate Calc Sheet'!BZ74:CE74)</f>
        <v>449924</v>
      </c>
      <c r="W14" s="36">
        <f>SUM('Rate Calc Sheet'!CK14)+SUM('Rate Calc Sheet'!CK29)+SUM('Rate Calc Sheet'!CK44)+SUM('Rate Calc Sheet'!CK59)+SUM('Rate Calc Sheet'!CK74)</f>
        <v>0</v>
      </c>
      <c r="X14" s="37">
        <f>SUM('Rate Calc Sheet'!CL14)+SUM('Rate Calc Sheet'!CL29)+SUM('Rate Calc Sheet'!CL44)+SUM('Rate Calc Sheet'!CL59)+SUM('Rate Calc Sheet'!CL74)</f>
        <v>0</v>
      </c>
      <c r="Y14" s="36">
        <f>SUM('Rate Calc Sheet'!CG14)+SUM('Rate Calc Sheet'!CG29)+SUM('Rate Calc Sheet'!CG44)+SUM('Rate Calc Sheet'!CG59)+SUM('Rate Calc Sheet'!CG74)</f>
        <v>0</v>
      </c>
      <c r="Z14" s="42">
        <f>SUM('Rate Calc Sheet'!CH14)+SUM('Rate Calc Sheet'!CH29)+SUM('Rate Calc Sheet'!CH44)+SUM('Rate Calc Sheet'!CH59)+SUM('Rate Calc Sheet'!CH74)</f>
        <v>0</v>
      </c>
      <c r="AA14" s="42">
        <f>SUM('Rate Calc Sheet'!CI14)+SUM('Rate Calc Sheet'!CI29)+SUM('Rate Calc Sheet'!CI44)+SUM('Rate Calc Sheet'!CI59)+SUM('Rate Calc Sheet'!CI74)</f>
        <v>0</v>
      </c>
      <c r="AB14" s="37">
        <f>SUM('Rate Calc Sheet'!CJ14)+SUM('Rate Calc Sheet'!CJ29)+SUM('Rate Calc Sheet'!CJ44)+SUM('Rate Calc Sheet'!CJ59)+SUM('Rate Calc Sheet'!CJ74)</f>
        <v>0</v>
      </c>
      <c r="AC14" s="36">
        <v>0</v>
      </c>
      <c r="AD14" s="37">
        <v>0</v>
      </c>
      <c r="AE14" s="36">
        <v>0</v>
      </c>
      <c r="AF14" s="37">
        <v>0</v>
      </c>
      <c r="AG14" s="2">
        <f>SUM('Rate Calc Sheet'!CR14:CT14)+SUM('Rate Calc Sheet'!CR29:CT29)+SUM('Rate Calc Sheet'!CR44:CT44)+SUM('Rate Calc Sheet'!CR59:CT59)+SUM('Rate Calc Sheet'!CR74:CT74)</f>
        <v>800608510</v>
      </c>
      <c r="AH14" s="2">
        <f>SUM('Rate Calc Sheet'!CU14:CW14)+SUM('Rate Calc Sheet'!CU29:CW29)+SUM('Rate Calc Sheet'!CU44:CW44)+SUM('Rate Calc Sheet'!CU59:CW59)+SUM('Rate Calc Sheet'!CU74:CW74)</f>
        <v>79318886</v>
      </c>
      <c r="AI14" s="2">
        <f>SUM('Rate Calc Sheet'!CY14:CZ14)+SUM('Rate Calc Sheet'!CY29:CZ29)+SUM('Rate Calc Sheet'!CY44:CZ44)+SUM('Rate Calc Sheet'!CY59:CZ59)+SUM('Rate Calc Sheet'!CY74:CZ74)</f>
        <v>13782001</v>
      </c>
      <c r="AJ14" s="2">
        <f>'Rate Calc Sheet'!DB14+'Rate Calc Sheet'!DB29+'Rate Calc Sheet'!DB44+'Rate Calc Sheet'!DB59+'Rate Calc Sheet'!DB74</f>
        <v>444527</v>
      </c>
      <c r="AK14" s="2">
        <f>'Rate Calc Sheet'!DC14+'Rate Calc Sheet'!DC29+'Rate Calc Sheet'!DC44+'Rate Calc Sheet'!DC59+'Rate Calc Sheet'!DC74</f>
        <v>24035</v>
      </c>
      <c r="AL14" s="2">
        <f>'Rate Calc Sheet'!DD14+'Rate Calc Sheet'!DD29+'Rate Calc Sheet'!DD44+'Rate Calc Sheet'!DD59+'Rate Calc Sheet'!DD74</f>
        <v>315827</v>
      </c>
      <c r="AM14" s="2">
        <f>'Rate Calc Sheet'!DE14+'Rate Calc Sheet'!DE29+'Rate Calc Sheet'!DE44+'Rate Calc Sheet'!DE59+'Rate Calc Sheet'!DE74</f>
        <v>258714</v>
      </c>
      <c r="AN14" s="2">
        <f>'Rate Calc Sheet'!DF14+'Rate Calc Sheet'!DF29+'Rate Calc Sheet'!DF44+'Rate Calc Sheet'!DF59+'Rate Calc Sheet'!DF74</f>
        <v>2803808</v>
      </c>
      <c r="AO14" s="2">
        <f>'Rate Calc Sheet'!DG14+'Rate Calc Sheet'!DG29+'Rate Calc Sheet'!DG44+'Rate Calc Sheet'!DG59+'Rate Calc Sheet'!DG74</f>
        <v>282392</v>
      </c>
      <c r="AP14" s="2">
        <f>'Rate Calc Sheet'!DH14+'Rate Calc Sheet'!DH29+'Rate Calc Sheet'!DH44+'Rate Calc Sheet'!DH59+'Rate Calc Sheet'!DH74</f>
        <v>7113561</v>
      </c>
      <c r="AQ14" s="2">
        <f>'Rate Calc Sheet'!DI14+'Rate Calc Sheet'!DI29+'Rate Calc Sheet'!DI44+'Rate Calc Sheet'!DI59+'Rate Calc Sheet'!DI74</f>
        <v>1287.2160000000149</v>
      </c>
      <c r="AR14" s="2">
        <f>'Rate Calc Sheet'!DJ14+'Rate Calc Sheet'!DJ29+'Rate Calc Sheet'!DJ44+'Rate Calc Sheet'!DJ59+'Rate Calc Sheet'!DJ74</f>
        <v>256663</v>
      </c>
      <c r="AT14" s="2"/>
      <c r="AU14" s="12">
        <f>SUM('DEI Sales by Revenue'!C14:G14)-SUM('DEI Sales by Rate'!C14:AR14)</f>
        <v>-0.30503988265991211</v>
      </c>
    </row>
    <row r="15" spans="1:47" x14ac:dyDescent="0.2">
      <c r="A15" s="4"/>
      <c r="B15" s="4" t="str">
        <f>'DEI Sales by Revenue'!B15</f>
        <v>total</v>
      </c>
      <c r="C15" s="2">
        <f t="shared" ref="C15:AI15" si="0">SUM(C3:C14)</f>
        <v>998124803</v>
      </c>
      <c r="D15" s="2">
        <f t="shared" si="0"/>
        <v>5015284</v>
      </c>
      <c r="E15" s="2">
        <f>SUM(E3:E14)</f>
        <v>3482</v>
      </c>
      <c r="F15" s="2">
        <f t="shared" si="0"/>
        <v>24851349</v>
      </c>
      <c r="G15" s="2">
        <f t="shared" si="0"/>
        <v>0</v>
      </c>
      <c r="H15" s="2">
        <f t="shared" si="0"/>
        <v>0</v>
      </c>
      <c r="I15" s="2">
        <f t="shared" si="0"/>
        <v>1420875552</v>
      </c>
      <c r="J15" s="2">
        <f t="shared" si="0"/>
        <v>1153333103</v>
      </c>
      <c r="K15" s="2">
        <f t="shared" si="0"/>
        <v>115388260</v>
      </c>
      <c r="L15" s="2">
        <f>SUM(L3:L14)</f>
        <v>633047</v>
      </c>
      <c r="M15" s="2">
        <f t="shared" si="0"/>
        <v>1860228340</v>
      </c>
      <c r="N15" s="2">
        <f t="shared" si="0"/>
        <v>1828007428</v>
      </c>
      <c r="O15" s="2">
        <f t="shared" si="0"/>
        <v>3609291516</v>
      </c>
      <c r="P15" s="2">
        <f t="shared" si="0"/>
        <v>175700506</v>
      </c>
      <c r="Q15" s="2">
        <f t="shared" si="0"/>
        <v>298682480</v>
      </c>
      <c r="R15" s="2">
        <f t="shared" si="0"/>
        <v>694762821</v>
      </c>
      <c r="S15" s="2">
        <f t="shared" si="0"/>
        <v>4314736230</v>
      </c>
      <c r="T15" s="2">
        <f t="shared" si="0"/>
        <v>158225709</v>
      </c>
      <c r="U15" s="2">
        <f t="shared" si="0"/>
        <v>7007406</v>
      </c>
      <c r="V15" s="2">
        <f t="shared" si="0"/>
        <v>5729604</v>
      </c>
      <c r="W15" s="36">
        <f t="shared" ref="W15:AF15" si="1">SUM(W3:W14)</f>
        <v>0</v>
      </c>
      <c r="X15" s="37">
        <f t="shared" si="1"/>
        <v>0</v>
      </c>
      <c r="Y15" s="36">
        <f t="shared" si="1"/>
        <v>0</v>
      </c>
      <c r="Z15" s="42">
        <f t="shared" si="1"/>
        <v>0</v>
      </c>
      <c r="AA15" s="42">
        <f t="shared" si="1"/>
        <v>0</v>
      </c>
      <c r="AB15" s="37">
        <f t="shared" si="1"/>
        <v>0</v>
      </c>
      <c r="AC15" s="36">
        <f t="shared" si="1"/>
        <v>0</v>
      </c>
      <c r="AD15" s="37">
        <v>0</v>
      </c>
      <c r="AE15" s="36">
        <v>0</v>
      </c>
      <c r="AF15" s="37">
        <f t="shared" si="1"/>
        <v>0</v>
      </c>
      <c r="AG15" s="2">
        <f t="shared" si="0"/>
        <v>8537342781</v>
      </c>
      <c r="AH15" s="2">
        <f t="shared" si="0"/>
        <v>716371565</v>
      </c>
      <c r="AI15" s="2">
        <f t="shared" si="0"/>
        <v>180162320</v>
      </c>
      <c r="AJ15" s="2">
        <f t="shared" ref="AJ15:AR15" si="2">SUM(AJ3:AJ14)</f>
        <v>4093997</v>
      </c>
      <c r="AK15" s="2">
        <f>SUM(AK3:AK14)</f>
        <v>290127</v>
      </c>
      <c r="AL15" s="2">
        <f t="shared" si="2"/>
        <v>3130048</v>
      </c>
      <c r="AM15" s="2">
        <f t="shared" si="2"/>
        <v>2790992</v>
      </c>
      <c r="AN15" s="2">
        <f>SUM(AN3:AN14)</f>
        <v>33320064</v>
      </c>
      <c r="AO15" s="2">
        <f t="shared" si="2"/>
        <v>3377765</v>
      </c>
      <c r="AP15" s="2">
        <f t="shared" si="2"/>
        <v>85723824</v>
      </c>
      <c r="AQ15" s="2">
        <f t="shared" si="2"/>
        <v>17183.639999998733</v>
      </c>
      <c r="AR15" s="2">
        <f t="shared" si="2"/>
        <v>3776789</v>
      </c>
      <c r="AS15" s="3">
        <f>SUM(C15:AR15)</f>
        <v>26240994375.639999</v>
      </c>
      <c r="AT15" s="2"/>
      <c r="AU15" s="12">
        <f>SUM('DEI Sales by Revenue'!C15:G15)-SUM('DEI Sales by Rate'!C15:AR15)</f>
        <v>-64.507999420166016</v>
      </c>
    </row>
    <row r="16" spans="1:47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6"/>
      <c r="X16" s="37"/>
      <c r="Y16" s="36"/>
      <c r="Z16" s="42"/>
      <c r="AA16" s="42"/>
      <c r="AB16" s="37"/>
      <c r="AC16" s="36"/>
      <c r="AD16" s="37"/>
      <c r="AE16" s="36" t="s">
        <v>114</v>
      </c>
      <c r="AF16" s="37" t="s">
        <v>165</v>
      </c>
      <c r="AG16" s="2"/>
      <c r="AH16" s="2"/>
    </row>
    <row r="17" spans="1:56" x14ac:dyDescent="0.2">
      <c r="A17" s="4"/>
      <c r="B17" s="48" t="s">
        <v>164</v>
      </c>
      <c r="C17" s="5">
        <f>SUM('Rate Calc Sheet'!L3:O74)</f>
        <v>998124803</v>
      </c>
      <c r="D17" s="5">
        <f>SUM('Rate Calc Sheet'!P3:P74)</f>
        <v>5015284</v>
      </c>
      <c r="E17" s="5">
        <f>SUM('Rate Calc Sheet'!Q3:T74)</f>
        <v>3482</v>
      </c>
      <c r="F17" s="5">
        <f>SUM('Rate Calc Sheet'!U3:X74)</f>
        <v>24851349</v>
      </c>
      <c r="G17" s="5">
        <f>SUM('Rate Calc Sheet'!Y3:AB74)</f>
        <v>0</v>
      </c>
      <c r="H17" s="5">
        <f>SUM('Rate Calc Sheet'!AC3:AF74)</f>
        <v>0</v>
      </c>
      <c r="I17" s="5">
        <f>SUM('Rate Calc Sheet'!AH3:AH74)</f>
        <v>1420875552</v>
      </c>
      <c r="J17" s="5">
        <f>SUM('Rate Calc Sheet'!AI3:AI74)</f>
        <v>1153333103</v>
      </c>
      <c r="K17" s="5">
        <f>SUM('Rate Calc Sheet'!AJ3:AJ74)</f>
        <v>115388260</v>
      </c>
      <c r="L17" s="5">
        <f>SUM('Rate Calc Sheet'!AK3:AK74)</f>
        <v>633047</v>
      </c>
      <c r="M17" s="5">
        <f>SUM('Rate Calc Sheet'!AL3:AL74)</f>
        <v>1860228340</v>
      </c>
      <c r="N17" s="5">
        <f>SUM('Rate Calc Sheet'!AM3:AM74)</f>
        <v>1828007428</v>
      </c>
      <c r="O17" s="5">
        <f>SUM('Rate Calc Sheet'!AN3:AN74)</f>
        <v>3609291516</v>
      </c>
      <c r="P17" s="5">
        <f>SUM('Rate Calc Sheet'!AP3:AU74)</f>
        <v>175700506</v>
      </c>
      <c r="Q17" s="5">
        <f>SUM('Rate Calc Sheet'!AV3:BA74)</f>
        <v>298682480</v>
      </c>
      <c r="R17" s="5">
        <f>SUM('Rate Calc Sheet'!BB3:BG74)</f>
        <v>694762821</v>
      </c>
      <c r="S17" s="5">
        <f>SUM('Rate Calc Sheet'!BH3:BM74)</f>
        <v>4314736230</v>
      </c>
      <c r="T17" s="5">
        <f>SUM('Rate Calc Sheet'!BN3:BS74)</f>
        <v>158225709</v>
      </c>
      <c r="U17" s="5">
        <f>SUM('Rate Calc Sheet'!BT3:BY74)</f>
        <v>7007406</v>
      </c>
      <c r="V17" s="5">
        <f>SUM('Rate Calc Sheet'!BZ3:CE74)</f>
        <v>5729604</v>
      </c>
      <c r="W17" s="38">
        <f>SUM('Rate Calc Sheet'!CK3:CK74)</f>
        <v>0</v>
      </c>
      <c r="X17" s="39">
        <f>SUM('Rate Calc Sheet'!CL3:CL74)</f>
        <v>0</v>
      </c>
      <c r="Y17" s="38">
        <f>SUM('Rate Calc Sheet'!CG3:CG74)</f>
        <v>0</v>
      </c>
      <c r="Z17" s="43">
        <f>SUM('Rate Calc Sheet'!CH3:CH74)</f>
        <v>0</v>
      </c>
      <c r="AA17" s="43">
        <f>SUM('Rate Calc Sheet'!CI3:CI74)</f>
        <v>0</v>
      </c>
      <c r="AB17" s="39">
        <f>SUM('Rate Calc Sheet'!CJ3:CJ74)</f>
        <v>0</v>
      </c>
      <c r="AC17" s="38">
        <v>0</v>
      </c>
      <c r="AD17" s="39">
        <v>0</v>
      </c>
      <c r="AE17" s="38">
        <v>0</v>
      </c>
      <c r="AF17" s="39">
        <v>0</v>
      </c>
      <c r="AG17" s="5">
        <f>SUM('Rate Calc Sheet'!CR3:CT74)</f>
        <v>8537342781</v>
      </c>
      <c r="AH17" s="5">
        <f>SUM('Rate Calc Sheet'!CU3:CW74)</f>
        <v>716371565</v>
      </c>
      <c r="AI17" s="5">
        <f>SUM('Rate Calc Sheet'!CY3:CZ74)</f>
        <v>180162320</v>
      </c>
      <c r="AJ17" s="5">
        <f>SUM('Rate Calc Sheet'!DB3:DB74)</f>
        <v>4093997</v>
      </c>
      <c r="AK17" s="5">
        <f>SUM('Rate Calc Sheet'!DC3:DC74)</f>
        <v>290127</v>
      </c>
      <c r="AL17" s="5">
        <f>SUM('Rate Calc Sheet'!DD3:DD74)</f>
        <v>3130048</v>
      </c>
      <c r="AM17" s="5">
        <f>SUM('Rate Calc Sheet'!DE3:DE74)</f>
        <v>2790992</v>
      </c>
      <c r="AN17" s="5">
        <f>SUM('Rate Calc Sheet'!DF3:DF74)</f>
        <v>33320064</v>
      </c>
      <c r="AO17" s="5">
        <f>SUM('Rate Calc Sheet'!DG3:DG74)</f>
        <v>3377765</v>
      </c>
      <c r="AP17" s="5">
        <f>SUM('Rate Calc Sheet'!DH3:DH74)</f>
        <v>85723824</v>
      </c>
      <c r="AQ17" s="5">
        <f>SUM('Rate Calc Sheet'!DI3:DI74)</f>
        <v>17183.639999998733</v>
      </c>
      <c r="AR17" s="5">
        <f>SUM('Rate Calc Sheet'!DJ3:DJ74)</f>
        <v>3776789</v>
      </c>
    </row>
    <row r="18" spans="1:56" x14ac:dyDescent="0.2">
      <c r="A18" s="4"/>
      <c r="B18" s="5"/>
      <c r="C18" s="23">
        <f t="shared" ref="C18:AJ18" si="3">C15-C17</f>
        <v>0</v>
      </c>
      <c r="D18" s="23">
        <f t="shared" si="3"/>
        <v>0</v>
      </c>
      <c r="E18" s="23">
        <f t="shared" si="3"/>
        <v>0</v>
      </c>
      <c r="F18" s="23">
        <f t="shared" si="3"/>
        <v>0</v>
      </c>
      <c r="G18" s="23">
        <f t="shared" si="3"/>
        <v>0</v>
      </c>
      <c r="H18" s="23">
        <f t="shared" si="3"/>
        <v>0</v>
      </c>
      <c r="I18" s="23">
        <f t="shared" si="3"/>
        <v>0</v>
      </c>
      <c r="J18" s="23">
        <f t="shared" si="3"/>
        <v>0</v>
      </c>
      <c r="K18" s="23">
        <f t="shared" si="3"/>
        <v>0</v>
      </c>
      <c r="L18" s="23">
        <f>L15-L17</f>
        <v>0</v>
      </c>
      <c r="M18" s="23">
        <f t="shared" si="3"/>
        <v>0</v>
      </c>
      <c r="N18" s="23">
        <f t="shared" si="3"/>
        <v>0</v>
      </c>
      <c r="O18" s="23">
        <f t="shared" si="3"/>
        <v>0</v>
      </c>
      <c r="P18" s="23">
        <f t="shared" si="3"/>
        <v>0</v>
      </c>
      <c r="Q18" s="23">
        <f t="shared" si="3"/>
        <v>0</v>
      </c>
      <c r="R18" s="23">
        <f t="shared" si="3"/>
        <v>0</v>
      </c>
      <c r="S18" s="23">
        <f t="shared" si="3"/>
        <v>0</v>
      </c>
      <c r="T18" s="23">
        <f t="shared" si="3"/>
        <v>0</v>
      </c>
      <c r="U18" s="23">
        <f t="shared" si="3"/>
        <v>0</v>
      </c>
      <c r="V18" s="23">
        <f t="shared" si="3"/>
        <v>0</v>
      </c>
      <c r="W18" s="40">
        <f t="shared" si="3"/>
        <v>0</v>
      </c>
      <c r="X18" s="41">
        <f t="shared" ref="X18:AF18" si="4">X15-X17</f>
        <v>0</v>
      </c>
      <c r="Y18" s="40">
        <f t="shared" si="4"/>
        <v>0</v>
      </c>
      <c r="Z18" s="44">
        <f t="shared" si="4"/>
        <v>0</v>
      </c>
      <c r="AA18" s="44">
        <f t="shared" si="4"/>
        <v>0</v>
      </c>
      <c r="AB18" s="41">
        <f t="shared" si="4"/>
        <v>0</v>
      </c>
      <c r="AC18" s="40">
        <f t="shared" si="4"/>
        <v>0</v>
      </c>
      <c r="AD18" s="41">
        <f t="shared" si="4"/>
        <v>0</v>
      </c>
      <c r="AE18" s="40">
        <f t="shared" si="4"/>
        <v>0</v>
      </c>
      <c r="AF18" s="41">
        <f t="shared" si="4"/>
        <v>0</v>
      </c>
      <c r="AG18" s="23">
        <f t="shared" si="3"/>
        <v>0</v>
      </c>
      <c r="AH18" s="23">
        <f t="shared" si="3"/>
        <v>0</v>
      </c>
      <c r="AI18" s="23">
        <f t="shared" si="3"/>
        <v>0</v>
      </c>
      <c r="AJ18" s="23">
        <f t="shared" si="3"/>
        <v>0</v>
      </c>
      <c r="AK18" s="23">
        <f>AK15-AK17</f>
        <v>0</v>
      </c>
      <c r="AL18" s="23">
        <f t="shared" ref="AL18:AR18" si="5">AL15-AL17</f>
        <v>0</v>
      </c>
      <c r="AM18" s="23">
        <f t="shared" si="5"/>
        <v>0</v>
      </c>
      <c r="AN18" s="23">
        <f>AN15-AN17</f>
        <v>0</v>
      </c>
      <c r="AO18" s="23">
        <f t="shared" si="5"/>
        <v>0</v>
      </c>
      <c r="AP18" s="23">
        <f t="shared" si="5"/>
        <v>0</v>
      </c>
      <c r="AQ18" s="23">
        <f t="shared" si="5"/>
        <v>0</v>
      </c>
      <c r="AR18" s="23">
        <f t="shared" si="5"/>
        <v>0</v>
      </c>
    </row>
    <row r="19" spans="1:56" x14ac:dyDescent="0.2">
      <c r="A19" s="4"/>
      <c r="B19" s="2"/>
      <c r="C19" s="2"/>
      <c r="D19" s="2"/>
      <c r="E19" s="2"/>
      <c r="F19" s="7"/>
      <c r="G19" s="2"/>
      <c r="H19" s="2"/>
      <c r="I19" s="2" t="s">
        <v>8</v>
      </c>
      <c r="J19" s="2" t="s">
        <v>8</v>
      </c>
      <c r="K19" s="103" t="s">
        <v>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f>+AG17+AH17-AH19</f>
        <v>8586356225</v>
      </c>
      <c r="AH19" s="2">
        <v>667358121</v>
      </c>
      <c r="AU19" s="3"/>
    </row>
    <row r="20" spans="1:56" x14ac:dyDescent="0.2">
      <c r="A20" s="4" t="s">
        <v>166</v>
      </c>
      <c r="B20" s="2"/>
      <c r="C20" s="325" t="e">
        <f>+C43/C22</f>
        <v>#DIV/0!</v>
      </c>
      <c r="D20" s="2"/>
      <c r="E20" s="2"/>
      <c r="F20" s="2"/>
      <c r="G20" s="2"/>
      <c r="H20" s="2"/>
      <c r="I20" s="103" t="s">
        <v>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S20" s="3"/>
      <c r="AX20" s="6" t="s">
        <v>167</v>
      </c>
      <c r="AY20" s="2" t="s">
        <v>168</v>
      </c>
      <c r="AZ20" t="s">
        <v>25</v>
      </c>
      <c r="BA20" t="s">
        <v>27</v>
      </c>
      <c r="BB20" t="s">
        <v>29</v>
      </c>
      <c r="BC20" t="s">
        <v>30</v>
      </c>
      <c r="BD20" t="s">
        <v>31</v>
      </c>
    </row>
    <row r="21" spans="1:56" x14ac:dyDescent="0.2">
      <c r="A21" s="4"/>
      <c r="B21" s="8"/>
      <c r="C21" s="7" t="s">
        <v>169</v>
      </c>
      <c r="D21" s="7" t="s">
        <v>34</v>
      </c>
      <c r="E21" s="7" t="s">
        <v>36</v>
      </c>
      <c r="F21" s="7" t="s">
        <v>39</v>
      </c>
      <c r="G21" s="7" t="s">
        <v>41</v>
      </c>
      <c r="H21" s="2" t="s">
        <v>170</v>
      </c>
      <c r="I21" s="2" t="s">
        <v>171</v>
      </c>
      <c r="J21" s="2" t="s">
        <v>172</v>
      </c>
      <c r="K21" s="2" t="s">
        <v>59</v>
      </c>
      <c r="L21" s="2" t="s">
        <v>60</v>
      </c>
      <c r="M21" s="2" t="s">
        <v>173</v>
      </c>
      <c r="N21" s="2" t="s">
        <v>54</v>
      </c>
      <c r="O21" s="2" t="s">
        <v>174</v>
      </c>
      <c r="P21" s="2" t="s">
        <v>175</v>
      </c>
      <c r="Q21" s="2" t="s">
        <v>35</v>
      </c>
      <c r="R21" s="2" t="s">
        <v>176</v>
      </c>
      <c r="S21" s="2" t="s">
        <v>177</v>
      </c>
      <c r="T21" s="2" t="s">
        <v>42</v>
      </c>
      <c r="U21" s="2" t="s">
        <v>178</v>
      </c>
      <c r="V21" s="2" t="s">
        <v>179</v>
      </c>
      <c r="W21" s="2" t="s">
        <v>180</v>
      </c>
      <c r="X21" s="2" t="s">
        <v>181</v>
      </c>
      <c r="Y21" s="2" t="s">
        <v>182</v>
      </c>
      <c r="Z21" s="2" t="s">
        <v>183</v>
      </c>
      <c r="AA21" s="2" t="s">
        <v>184</v>
      </c>
      <c r="AB21" s="2" t="s">
        <v>185</v>
      </c>
      <c r="AC21" s="34" t="s">
        <v>186</v>
      </c>
      <c r="AD21" s="35" t="s">
        <v>187</v>
      </c>
      <c r="AE21" s="34" t="s">
        <v>188</v>
      </c>
      <c r="AF21" s="35" t="s">
        <v>189</v>
      </c>
      <c r="AG21" s="2" t="s">
        <v>190</v>
      </c>
      <c r="AH21" s="2" t="s">
        <v>28</v>
      </c>
      <c r="AI21" t="s">
        <v>191</v>
      </c>
      <c r="AJ21" t="s">
        <v>65</v>
      </c>
      <c r="AK21" t="s">
        <v>73</v>
      </c>
      <c r="AL21" t="s">
        <v>67</v>
      </c>
      <c r="AM21" t="s">
        <v>69</v>
      </c>
      <c r="AN21" t="s">
        <v>75</v>
      </c>
      <c r="AO21" t="s">
        <v>71</v>
      </c>
      <c r="AP21" t="s">
        <v>80</v>
      </c>
      <c r="AQ21" t="s">
        <v>83</v>
      </c>
      <c r="AR21" t="s">
        <v>79</v>
      </c>
      <c r="AX21" s="4">
        <v>2025</v>
      </c>
      <c r="AY21" s="2">
        <v>1</v>
      </c>
      <c r="AZ21" s="2">
        <v>1025343679.9999999</v>
      </c>
      <c r="BA21" s="2">
        <v>481066011.00000006</v>
      </c>
      <c r="BB21" s="2">
        <v>709605460.42980635</v>
      </c>
      <c r="BC21" s="2">
        <v>145338088</v>
      </c>
      <c r="BD21" s="2">
        <v>5092180</v>
      </c>
    </row>
    <row r="22" spans="1:56" x14ac:dyDescent="0.2">
      <c r="A22" s="4"/>
      <c r="B22" s="2" t="s">
        <v>25</v>
      </c>
      <c r="C22" s="2">
        <f>SUM('Rate Calc Sheet'!L3:O14)</f>
        <v>0</v>
      </c>
      <c r="D22" s="2">
        <f>SUM('Rate Calc Sheet'!P3:P14)</f>
        <v>0</v>
      </c>
      <c r="E22" s="2">
        <f>SUM('Rate Calc Sheet'!Q3:T14)</f>
        <v>0</v>
      </c>
      <c r="F22" s="2">
        <f>SUM('Rate Calc Sheet'!U3:X14)</f>
        <v>0</v>
      </c>
      <c r="G22" s="2">
        <f>SUM('Rate Calc Sheet'!Y3:AB14)</f>
        <v>0</v>
      </c>
      <c r="H22" s="2">
        <f>SUM('Rate Calc Sheet'!AC3:AF14)</f>
        <v>0</v>
      </c>
      <c r="I22" s="2">
        <f>SUM('Rate Calc Sheet'!AH3:AH14)</f>
        <v>0</v>
      </c>
      <c r="J22" s="2">
        <f>SUM('Rate Calc Sheet'!AI3:AI14)</f>
        <v>0</v>
      </c>
      <c r="K22" s="2">
        <f>SUM('Rate Calc Sheet'!AJ3:AJ14)</f>
        <v>0</v>
      </c>
      <c r="L22" s="2">
        <f>SUM('Rate Calc Sheet'!AK3:AK14)</f>
        <v>0</v>
      </c>
      <c r="M22" s="2">
        <f>SUM('Rate Calc Sheet'!AL3:AL14)</f>
        <v>0</v>
      </c>
      <c r="N22" s="2">
        <f>SUM('Rate Calc Sheet'!AM3:AM14)</f>
        <v>0</v>
      </c>
      <c r="O22" s="2">
        <f>SUM('Rate Calc Sheet'!AN3:AN14)</f>
        <v>0</v>
      </c>
      <c r="P22" s="2">
        <f>SUM('Rate Calc Sheet'!AP3:AU14)</f>
        <v>0</v>
      </c>
      <c r="Q22" s="2">
        <f>SUM('Rate Calc Sheet'!AV3:BA14)</f>
        <v>0</v>
      </c>
      <c r="R22" s="2">
        <f>SUM('Rate Calc Sheet'!BB3:BG14)</f>
        <v>0</v>
      </c>
      <c r="S22" s="2">
        <f>SUM('Rate Calc Sheet'!BH3:BM14)</f>
        <v>0</v>
      </c>
      <c r="T22" s="2">
        <f>SUM('Rate Calc Sheet'!BN3:BS14)</f>
        <v>0</v>
      </c>
      <c r="U22" s="2">
        <f>SUM('Rate Calc Sheet'!BT3:CE14)</f>
        <v>0</v>
      </c>
      <c r="V22" s="2"/>
      <c r="W22" s="2">
        <f>SUM('Rate Calc Sheet'!CK3:CL14)</f>
        <v>0</v>
      </c>
      <c r="X22" s="2"/>
      <c r="Y22" s="2">
        <f>SUM('Rate Calc Sheet'!CG3:CG14)</f>
        <v>0</v>
      </c>
      <c r="Z22" s="2">
        <f>SUM('Rate Calc Sheet'!CH3:CH14)</f>
        <v>0</v>
      </c>
      <c r="AA22" s="2">
        <f>SUM('Rate Calc Sheet'!CI3:CI14)</f>
        <v>0</v>
      </c>
      <c r="AB22" s="2">
        <f>SUM('Rate Calc Sheet'!CJ3:CJ14)</f>
        <v>0</v>
      </c>
      <c r="AC22" s="2">
        <f>SUM('Rate Calc Sheet'!CM3:CM14)</f>
        <v>0</v>
      </c>
      <c r="AD22" s="2">
        <f>SUM('Rate Calc Sheet'!CN3:CN14)</f>
        <v>0</v>
      </c>
      <c r="AE22" s="2">
        <f>SUM('Rate Calc Sheet'!CO3:CO14)</f>
        <v>0</v>
      </c>
      <c r="AF22" s="2">
        <f>SUM('Rate Calc Sheet'!CP3:CP14)</f>
        <v>0</v>
      </c>
      <c r="AG22" s="2">
        <f>SUM('Rate Calc Sheet'!CR3:CT14)</f>
        <v>8537342781</v>
      </c>
      <c r="AH22" s="2">
        <f>SUM('Rate Calc Sheet'!CU3:CW14)</f>
        <v>716371565</v>
      </c>
      <c r="AI22" s="2">
        <f>SUM('Rate Calc Sheet'!CX3:CZ14)</f>
        <v>0</v>
      </c>
      <c r="AJ22" s="2">
        <f>SUM('Rate Calc Sheet'!DB3:DB14)</f>
        <v>0</v>
      </c>
      <c r="AK22" s="2">
        <f>SUM('Rate Calc Sheet'!DC3:DC14)</f>
        <v>0</v>
      </c>
      <c r="AL22" s="2">
        <f>SUM('Rate Calc Sheet'!DD3:DD14)</f>
        <v>0</v>
      </c>
      <c r="AM22" s="2">
        <f>SUM('Rate Calc Sheet'!DE3:DE14)</f>
        <v>0</v>
      </c>
      <c r="AN22" s="2">
        <f>SUM('Rate Calc Sheet'!DF3:DF14)</f>
        <v>0</v>
      </c>
      <c r="AO22" s="2">
        <f>SUM('Rate Calc Sheet'!DG3:DG14)</f>
        <v>0</v>
      </c>
      <c r="AP22" s="2">
        <f>SUM('Rate Calc Sheet'!DH3:DH14)</f>
        <v>0</v>
      </c>
      <c r="AQ22" s="2">
        <f>SUM('Rate Calc Sheet'!DI3:DI14)</f>
        <v>0</v>
      </c>
      <c r="AR22" s="2">
        <f>SUM('Rate Calc Sheet'!DJ3:DJ14)</f>
        <v>0</v>
      </c>
      <c r="AS22" s="3">
        <f t="shared" ref="AS22:AS27" si="6">SUM(C22:AR22)</f>
        <v>9253714346</v>
      </c>
      <c r="AU22" s="324">
        <f>+A43/AS22</f>
        <v>0.12717801263324191</v>
      </c>
      <c r="AX22" s="4"/>
      <c r="AY22" s="2">
        <v>2</v>
      </c>
      <c r="AZ22" s="2">
        <v>881749000</v>
      </c>
      <c r="BA22" s="2">
        <v>430276059.5</v>
      </c>
      <c r="BB22" s="2">
        <v>695862340.93624258</v>
      </c>
      <c r="BC22" s="2">
        <v>139217793</v>
      </c>
      <c r="BD22" s="2">
        <v>5097420</v>
      </c>
    </row>
    <row r="23" spans="1:56" x14ac:dyDescent="0.2">
      <c r="A23" s="4"/>
      <c r="B23" s="2" t="s">
        <v>27</v>
      </c>
      <c r="C23" s="2">
        <f>SUM('Rate Calc Sheet'!L18:O29)</f>
        <v>930812159</v>
      </c>
      <c r="D23" s="2">
        <f>SUM('Rate Calc Sheet'!P18:P29)</f>
        <v>4970010</v>
      </c>
      <c r="E23" s="2">
        <f>SUM('Rate Calc Sheet'!Q18:T29)</f>
        <v>3482</v>
      </c>
      <c r="F23" s="2">
        <f>SUM('Rate Calc Sheet'!U18:X29)</f>
        <v>24851349</v>
      </c>
      <c r="G23" s="2">
        <f>SUM('Rate Calc Sheet'!Y18:AB29)</f>
        <v>0</v>
      </c>
      <c r="H23" s="2">
        <f>SUM('Rate Calc Sheet'!AC18:AF29)</f>
        <v>0</v>
      </c>
      <c r="I23" s="2">
        <f>SUM('Rate Calc Sheet'!AH18:AH29)</f>
        <v>0</v>
      </c>
      <c r="J23" s="2">
        <f>SUM('Rate Calc Sheet'!AI18:AI29)</f>
        <v>205867</v>
      </c>
      <c r="K23" s="2">
        <f>SUM('Rate Calc Sheet'!AJ18:AJ29)</f>
        <v>0</v>
      </c>
      <c r="L23" s="2">
        <f>SUM('Rate Calc Sheet'!AK18:AK29)</f>
        <v>633047</v>
      </c>
      <c r="M23" s="2">
        <f>SUM('Rate Calc Sheet'!AL18:AL29)</f>
        <v>9035503</v>
      </c>
      <c r="N23" s="2">
        <f>SUM('Rate Calc Sheet'!AM18:AM29)</f>
        <v>322030191</v>
      </c>
      <c r="O23" s="2">
        <f>SUM('Rate Calc Sheet'!AN18:AN29)</f>
        <v>1858574395</v>
      </c>
      <c r="P23" s="2">
        <f>SUM('Rate Calc Sheet'!AP18:AU29)</f>
        <v>9269198</v>
      </c>
      <c r="Q23" s="2">
        <f>SUM('Rate Calc Sheet'!AV18:BA29)</f>
        <v>26339397</v>
      </c>
      <c r="R23" s="2">
        <f>SUM('Rate Calc Sheet'!BB18:BG29)</f>
        <v>46023965</v>
      </c>
      <c r="S23" s="2">
        <f>SUM('Rate Calc Sheet'!BH18:BM29)</f>
        <v>2459924612</v>
      </c>
      <c r="T23" s="2">
        <f>SUM('Rate Calc Sheet'!BN18:BS29)</f>
        <v>146897297</v>
      </c>
      <c r="U23" s="2">
        <f>SUM('Rate Calc Sheet'!BT18:CE29)</f>
        <v>7007406</v>
      </c>
      <c r="V23" s="2"/>
      <c r="W23" s="2">
        <f>SUM('Rate Calc Sheet'!CK18:CL29)</f>
        <v>0</v>
      </c>
      <c r="X23" s="2"/>
      <c r="Y23" s="2">
        <f>SUM('Rate Calc Sheet'!CG18:CG29)</f>
        <v>0</v>
      </c>
      <c r="Z23" s="2">
        <f>SUM('Rate Calc Sheet'!CH18:CH29)</f>
        <v>0</v>
      </c>
      <c r="AA23" s="2">
        <f>SUM('Rate Calc Sheet'!CI18:CI29)</f>
        <v>0</v>
      </c>
      <c r="AB23" s="2">
        <f>SUM('Rate Calc Sheet'!CJ18:CJ29)</f>
        <v>0</v>
      </c>
      <c r="AC23" s="2">
        <f>SUM('Rate Calc Sheet'!CM18:CM29)</f>
        <v>0</v>
      </c>
      <c r="AD23" s="2">
        <f>SUM('Rate Calc Sheet'!CN18:CN29)</f>
        <v>0</v>
      </c>
      <c r="AE23" s="2">
        <f>SUM('Rate Calc Sheet'!CO18:CO29)</f>
        <v>0</v>
      </c>
      <c r="AF23" s="2">
        <f>SUM('Rate Calc Sheet'!CP18:CP29)</f>
        <v>0</v>
      </c>
      <c r="AG23" s="2">
        <f>SUM('Rate Calc Sheet'!CR18:CT29)</f>
        <v>0</v>
      </c>
      <c r="AH23" s="2">
        <f>SUM('Rate Calc Sheet'!CU18:CW29)</f>
        <v>0</v>
      </c>
      <c r="AI23" s="2">
        <f>SUM('Rate Calc Sheet'!CX18:CZ29)</f>
        <v>14234833</v>
      </c>
      <c r="AJ23" s="2">
        <f>SUM('Rate Calc Sheet'!DB18:DB29)</f>
        <v>0</v>
      </c>
      <c r="AK23" s="2">
        <f>SUM('Rate Calc Sheet'!DC18:DC29)</f>
        <v>0</v>
      </c>
      <c r="AL23" s="2">
        <f>SUM('Rate Calc Sheet'!DD18:DD29)</f>
        <v>0</v>
      </c>
      <c r="AM23" s="2">
        <f>SUM('Rate Calc Sheet'!DE18:DE29)</f>
        <v>0</v>
      </c>
      <c r="AN23" s="2">
        <f>SUM('Rate Calc Sheet'!DF18:DF29)</f>
        <v>0</v>
      </c>
      <c r="AO23" s="2">
        <f>SUM('Rate Calc Sheet'!DG18:DG29)</f>
        <v>0</v>
      </c>
      <c r="AP23" s="2">
        <f>SUM('Rate Calc Sheet'!DH18:DH29)</f>
        <v>0</v>
      </c>
      <c r="AQ23" s="2">
        <f>SUM('Rate Calc Sheet'!DI18:DI29)</f>
        <v>0</v>
      </c>
      <c r="AR23" s="2">
        <f>SUM('Rate Calc Sheet'!DJ18:DJ29)</f>
        <v>0</v>
      </c>
      <c r="AS23" s="3">
        <f t="shared" si="6"/>
        <v>5860812711</v>
      </c>
      <c r="AU23" s="324">
        <f>+A44/AS23</f>
        <v>0.1018403128425784</v>
      </c>
      <c r="AX23" s="4"/>
      <c r="AY23" s="2">
        <v>3</v>
      </c>
      <c r="AZ23" s="2">
        <v>747535610</v>
      </c>
      <c r="BA23" s="2">
        <v>455042064.49999994</v>
      </c>
      <c r="BB23" s="2">
        <v>737991776.06282651</v>
      </c>
      <c r="BC23" s="2">
        <v>144671812</v>
      </c>
      <c r="BD23" s="2">
        <v>5102640</v>
      </c>
    </row>
    <row r="24" spans="1:56" x14ac:dyDescent="0.2">
      <c r="A24" s="4"/>
      <c r="B24" s="2" t="s">
        <v>47</v>
      </c>
      <c r="C24" s="2">
        <f>SUM('Rate Calc Sheet'!L33:O44)</f>
        <v>7276906</v>
      </c>
      <c r="D24" s="2">
        <f>SUM('Rate Calc Sheet'!P33:P44)</f>
        <v>37261</v>
      </c>
      <c r="E24" s="2">
        <f>SUM('Rate Calc Sheet'!Q33:T44)</f>
        <v>0</v>
      </c>
      <c r="F24" s="2">
        <f>SUM('Rate Calc Sheet'!U33:X44)</f>
        <v>0</v>
      </c>
      <c r="G24" s="2">
        <f>SUM('Rate Calc Sheet'!Y33:AB44)</f>
        <v>0</v>
      </c>
      <c r="H24" s="2">
        <f>SUM('Rate Calc Sheet'!AC33:AF44)</f>
        <v>0</v>
      </c>
      <c r="I24" s="2">
        <f>SUM('Rate Calc Sheet'!AH33:AH44)</f>
        <v>1420875552</v>
      </c>
      <c r="J24" s="2">
        <f>SUM('Rate Calc Sheet'!AI33:AI44)</f>
        <v>1074521335</v>
      </c>
      <c r="K24" s="2">
        <f>SUM('Rate Calc Sheet'!AJ33:AJ44)</f>
        <v>115388260</v>
      </c>
      <c r="L24" s="2">
        <f>SUM('Rate Calc Sheet'!AK33:AK44)</f>
        <v>0</v>
      </c>
      <c r="M24" s="2">
        <f>SUM('Rate Calc Sheet'!AL33:AL44)</f>
        <v>1851192837</v>
      </c>
      <c r="N24" s="2">
        <f>SUM('Rate Calc Sheet'!AM33:AM44)</f>
        <v>1149961204</v>
      </c>
      <c r="O24" s="2">
        <f>SUM('Rate Calc Sheet'!AN33:AN44)</f>
        <v>1503040132</v>
      </c>
      <c r="P24" s="2">
        <f>SUM('Rate Calc Sheet'!AP33:AU44)</f>
        <v>166431308</v>
      </c>
      <c r="Q24" s="2">
        <f>SUM('Rate Calc Sheet'!AV33:BA44)</f>
        <v>272343083</v>
      </c>
      <c r="R24" s="2">
        <f>SUM('Rate Calc Sheet'!BB33:BG44)</f>
        <v>591986714</v>
      </c>
      <c r="S24" s="2">
        <f>SUM('Rate Calc Sheet'!BH33:BM44)</f>
        <v>1069724449</v>
      </c>
      <c r="T24" s="2">
        <f>SUM('Rate Calc Sheet'!BN33:BS44)</f>
        <v>0</v>
      </c>
      <c r="U24" s="2">
        <f>SUM('Rate Calc Sheet'!BT33:CE44)</f>
        <v>5729604</v>
      </c>
      <c r="V24" s="2"/>
      <c r="W24" s="2">
        <f>SUM('Rate Calc Sheet'!CK33:CL44)</f>
        <v>0</v>
      </c>
      <c r="X24" s="2"/>
      <c r="Y24" s="2">
        <f>SUM('Rate Calc Sheet'!CG33:CG44)</f>
        <v>0</v>
      </c>
      <c r="Z24" s="2">
        <f>SUM('Rate Calc Sheet'!CH33:CH44)</f>
        <v>0</v>
      </c>
      <c r="AA24" s="2">
        <f>SUM('Rate Calc Sheet'!CI33:CI44)</f>
        <v>0</v>
      </c>
      <c r="AB24" s="2">
        <f>SUM('Rate Calc Sheet'!CJ33:CJ44)</f>
        <v>0</v>
      </c>
      <c r="AC24" s="2">
        <f>SUM('Rate Calc Sheet'!CM33:CM44)</f>
        <v>0</v>
      </c>
      <c r="AD24" s="2">
        <f>SUM('Rate Calc Sheet'!CN33:CN44)</f>
        <v>0</v>
      </c>
      <c r="AE24" s="2">
        <v>0</v>
      </c>
      <c r="AF24" s="2">
        <v>0</v>
      </c>
      <c r="AG24" s="2">
        <f>SUM('Rate Calc Sheet'!CR33:CT44)</f>
        <v>0</v>
      </c>
      <c r="AH24" s="2">
        <f>SUM('Rate Calc Sheet'!CU33:CW44)</f>
        <v>0</v>
      </c>
      <c r="AI24" s="2">
        <f>SUM('Rate Calc Sheet'!CX33:CZ44)</f>
        <v>21536572</v>
      </c>
      <c r="AJ24" s="2">
        <f>SUM('Rate Calc Sheet'!DB33:DB44)</f>
        <v>0</v>
      </c>
      <c r="AK24" s="2">
        <f>SUM('Rate Calc Sheet'!DC33:DC44)</f>
        <v>0</v>
      </c>
      <c r="AL24" s="2">
        <f>SUM('Rate Calc Sheet'!DD33:DD44)</f>
        <v>0</v>
      </c>
      <c r="AM24" s="2">
        <f>SUM('Rate Calc Sheet'!DE33:DE44)</f>
        <v>0</v>
      </c>
      <c r="AN24" s="2">
        <f>SUM('Rate Calc Sheet'!DF33:DF44)</f>
        <v>0</v>
      </c>
      <c r="AO24" s="2">
        <f>SUM('Rate Calc Sheet'!DG33:DG44)</f>
        <v>0</v>
      </c>
      <c r="AP24" s="2">
        <f>SUM('Rate Calc Sheet'!DH33:DH44)</f>
        <v>0</v>
      </c>
      <c r="AQ24" s="2">
        <f>SUM('Rate Calc Sheet'!DI33:DI44)</f>
        <v>0</v>
      </c>
      <c r="AR24" s="2">
        <f>SUM('Rate Calc Sheet'!DJ33:DJ44)</f>
        <v>0</v>
      </c>
      <c r="AS24" s="3">
        <f t="shared" si="6"/>
        <v>9250045217</v>
      </c>
      <c r="AU24" s="324">
        <f>+A45/AS24</f>
        <v>7.894188437673666E-2</v>
      </c>
      <c r="AW24" s="143">
        <f>+AU45/AS24</f>
        <v>7.894188437673666E-2</v>
      </c>
      <c r="AX24" s="4"/>
      <c r="AY24" s="2">
        <v>4</v>
      </c>
      <c r="AZ24" s="2">
        <v>593597910</v>
      </c>
      <c r="BA24" s="2">
        <v>433518980.5</v>
      </c>
      <c r="BB24" s="2">
        <v>724792186.60824192</v>
      </c>
      <c r="BC24" s="2">
        <v>139377149</v>
      </c>
      <c r="BD24" s="2">
        <v>5107850</v>
      </c>
    </row>
    <row r="25" spans="1:56" x14ac:dyDescent="0.2">
      <c r="A25" s="4"/>
      <c r="B25" s="2" t="s">
        <v>30</v>
      </c>
      <c r="C25" s="2">
        <f>SUM('Rate Calc Sheet'!L48:O59)</f>
        <v>60035738</v>
      </c>
      <c r="D25" s="2">
        <f>SUM('Rate Calc Sheet'!P48:P59)</f>
        <v>8013</v>
      </c>
      <c r="E25" s="2">
        <f>SUM('Rate Calc Sheet'!Q48:T59)</f>
        <v>0</v>
      </c>
      <c r="F25" s="2">
        <f>SUM('Rate Calc Sheet'!U48:X59)</f>
        <v>0</v>
      </c>
      <c r="G25" s="2">
        <f>SUM('Rate Calc Sheet'!Y48:AB59)</f>
        <v>0</v>
      </c>
      <c r="H25" s="2">
        <f>SUM('Rate Calc Sheet'!AC48:AF59)</f>
        <v>0</v>
      </c>
      <c r="I25" s="2">
        <f>SUM('Rate Calc Sheet'!AH48:AH59)</f>
        <v>0</v>
      </c>
      <c r="J25" s="2">
        <f>SUM('Rate Calc Sheet'!AI48:AI59)</f>
        <v>78605901</v>
      </c>
      <c r="K25" s="2">
        <f>SUM('Rate Calc Sheet'!AJ48:AJ59)</f>
        <v>0</v>
      </c>
      <c r="L25" s="2">
        <f>SUM('Rate Calc Sheet'!AK48:AK59)</f>
        <v>0</v>
      </c>
      <c r="M25" s="2">
        <f>SUM('Rate Calc Sheet'!AL48:AL59)</f>
        <v>0</v>
      </c>
      <c r="N25" s="2">
        <f>SUM('Rate Calc Sheet'!AM48:AM59)</f>
        <v>356016033</v>
      </c>
      <c r="O25" s="2">
        <f>SUM('Rate Calc Sheet'!AN48:AN59)</f>
        <v>247676989</v>
      </c>
      <c r="P25" s="2">
        <f>SUM('Rate Calc Sheet'!AP48:AU59)</f>
        <v>0</v>
      </c>
      <c r="Q25" s="2">
        <f>SUM('Rate Calc Sheet'!AV48:BA59)</f>
        <v>0</v>
      </c>
      <c r="R25" s="2">
        <f>SUM('Rate Calc Sheet'!BB48:BG59)</f>
        <v>56752142</v>
      </c>
      <c r="S25" s="2">
        <f>SUM('Rate Calc Sheet'!BH48:BM59)</f>
        <v>785087169</v>
      </c>
      <c r="T25" s="2">
        <f>SUM('Rate Calc Sheet'!BN48:BS59)</f>
        <v>11328412</v>
      </c>
      <c r="U25" s="2">
        <f>SUM('Rate Calc Sheet'!BT48:CE59)</f>
        <v>0</v>
      </c>
      <c r="V25" s="2"/>
      <c r="W25" s="2">
        <f>SUM('Rate Calc Sheet'!CK48:CL59)</f>
        <v>0</v>
      </c>
      <c r="X25" s="2"/>
      <c r="Y25" s="2">
        <f>SUM('Rate Calc Sheet'!CG48:CG59)</f>
        <v>0</v>
      </c>
      <c r="Z25" s="2">
        <f>SUM('Rate Calc Sheet'!CH48:CH59)</f>
        <v>0</v>
      </c>
      <c r="AA25" s="2">
        <f>SUM('Rate Calc Sheet'!CI48:CI59)</f>
        <v>0</v>
      </c>
      <c r="AB25" s="2">
        <f>SUM('Rate Calc Sheet'!CJ48:CJ59)</f>
        <v>0</v>
      </c>
      <c r="AC25" s="2">
        <v>0</v>
      </c>
      <c r="AD25" s="2">
        <v>0</v>
      </c>
      <c r="AE25" s="2">
        <f>SUM('Rate Calc Sheet'!CO48:CO59)</f>
        <v>0</v>
      </c>
      <c r="AF25" s="2">
        <f>SUM('Rate Calc Sheet'!CP48:CP59)</f>
        <v>0</v>
      </c>
      <c r="AG25" s="2">
        <f>SUM('Rate Calc Sheet'!CR48:CT59)</f>
        <v>0</v>
      </c>
      <c r="AH25" s="2">
        <f>SUM('Rate Calc Sheet'!CU48:CW59)</f>
        <v>0</v>
      </c>
      <c r="AI25" s="2">
        <f>SUM('Rate Calc Sheet'!CX48:CZ59)</f>
        <v>144390915</v>
      </c>
      <c r="AJ25" s="2">
        <f>SUM('Rate Calc Sheet'!DB48:DB59)</f>
        <v>0</v>
      </c>
      <c r="AK25" s="2">
        <f>SUM('Rate Calc Sheet'!DC48:DC59)</f>
        <v>0</v>
      </c>
      <c r="AL25" s="2">
        <f>SUM('Rate Calc Sheet'!DD48:DD59)</f>
        <v>1456010</v>
      </c>
      <c r="AM25" s="2">
        <f>SUM('Rate Calc Sheet'!DE48:DE59)</f>
        <v>0</v>
      </c>
      <c r="AN25" s="2">
        <f>SUM('Rate Calc Sheet'!DF48:DF59)</f>
        <v>0</v>
      </c>
      <c r="AO25" s="2">
        <f>SUM('Rate Calc Sheet'!DG48:DG59)</f>
        <v>0</v>
      </c>
      <c r="AP25" s="2">
        <f>SUM('Rate Calc Sheet'!DH48:DH59)</f>
        <v>8610330</v>
      </c>
      <c r="AQ25" s="2">
        <f>SUM('Rate Calc Sheet'!DI48:DI59)</f>
        <v>0</v>
      </c>
      <c r="AR25" s="2">
        <f>SUM('Rate Calc Sheet'!DJ48:DJ59)</f>
        <v>204888</v>
      </c>
      <c r="AS25" s="3">
        <f t="shared" si="6"/>
        <v>1750172540</v>
      </c>
      <c r="AU25" s="324">
        <f>+A51/AS25</f>
        <v>9.2538876195600694E-2</v>
      </c>
      <c r="AX25" s="4"/>
      <c r="AY25" s="2">
        <v>5</v>
      </c>
      <c r="AZ25" s="2">
        <v>588976990.00000024</v>
      </c>
      <c r="BA25" s="2">
        <v>478667136.49999994</v>
      </c>
      <c r="BB25" s="2">
        <v>750256433.45070171</v>
      </c>
      <c r="BC25" s="2">
        <v>145625054</v>
      </c>
      <c r="BD25" s="2">
        <v>5113040</v>
      </c>
    </row>
    <row r="26" spans="1:56" x14ac:dyDescent="0.2">
      <c r="A26" s="4"/>
      <c r="B26" s="2" t="s">
        <v>31</v>
      </c>
      <c r="C26" s="2">
        <f>SUM('Rate Calc Sheet'!L63:O74)</f>
        <v>0</v>
      </c>
      <c r="D26" s="2">
        <f>SUM('Rate Calc Sheet'!P63:P74)</f>
        <v>0</v>
      </c>
      <c r="E26" s="2">
        <f>SUM('Rate Calc Sheet'!Q63:T74)</f>
        <v>0</v>
      </c>
      <c r="F26" s="2">
        <f>SUM('Rate Calc Sheet'!U63:X74)</f>
        <v>0</v>
      </c>
      <c r="G26" s="2">
        <f>SUM('Rate Calc Sheet'!Y63:AB74)</f>
        <v>0</v>
      </c>
      <c r="H26" s="2">
        <f>SUM('Rate Calc Sheet'!AC63:AF74)</f>
        <v>0</v>
      </c>
      <c r="I26" s="2">
        <f>SUM('Rate Calc Sheet'!AH63:AH74)</f>
        <v>0</v>
      </c>
      <c r="J26" s="2">
        <f>SUM('Rate Calc Sheet'!AI63:AI74)</f>
        <v>0</v>
      </c>
      <c r="K26" s="2">
        <f>SUM('Rate Calc Sheet'!AJ63:AJ74)</f>
        <v>0</v>
      </c>
      <c r="L26" s="2">
        <f>SUM('Rate Calc Sheet'!AK63:AK74)</f>
        <v>0</v>
      </c>
      <c r="M26" s="2">
        <f>SUM('Rate Calc Sheet'!AL63:AL74)</f>
        <v>0</v>
      </c>
      <c r="N26" s="2">
        <f>SUM('Rate Calc Sheet'!AM63:AM74)</f>
        <v>0</v>
      </c>
      <c r="O26" s="2">
        <f>SUM('Rate Calc Sheet'!AN63:AN74)</f>
        <v>0</v>
      </c>
      <c r="P26" s="2">
        <f>SUM('Rate Calc Sheet'!AP63:AU74)</f>
        <v>0</v>
      </c>
      <c r="Q26" s="2">
        <f>SUM('Rate Calc Sheet'!AV63:BA74)</f>
        <v>0</v>
      </c>
      <c r="R26" s="2">
        <f>SUM('Rate Calc Sheet'!BB63:BG74)</f>
        <v>0</v>
      </c>
      <c r="S26" s="2">
        <f>SUM('Rate Calc Sheet'!BH63:BM74)</f>
        <v>0</v>
      </c>
      <c r="T26" s="2">
        <f>SUM('Rate Calc Sheet'!BN63:BS74)</f>
        <v>0</v>
      </c>
      <c r="U26" s="2">
        <f>SUM('Rate Calc Sheet'!BT63:CE74)</f>
        <v>0</v>
      </c>
      <c r="V26" s="2"/>
      <c r="W26" s="2">
        <f>SUM('Rate Calc Sheet'!CK63:CL74)</f>
        <v>0</v>
      </c>
      <c r="X26" s="2"/>
      <c r="Y26" s="2">
        <f>SUM('Rate Calc Sheet'!CG63:CG74)</f>
        <v>0</v>
      </c>
      <c r="Z26" s="2">
        <f>SUM('Rate Calc Sheet'!CH63:CH74)</f>
        <v>0</v>
      </c>
      <c r="AA26" s="2">
        <f>SUM('Rate Calc Sheet'!CI63:CI74)</f>
        <v>0</v>
      </c>
      <c r="AB26" s="2">
        <f>SUM('Rate Calc Sheet'!CJ63:CJ74)</f>
        <v>0</v>
      </c>
      <c r="AC26" s="2">
        <f>SUM('Rate Calc Sheet'!CM63:CM74)</f>
        <v>0</v>
      </c>
      <c r="AD26" s="2">
        <f>SUM('Rate Calc Sheet'!CN63:CN74)</f>
        <v>0</v>
      </c>
      <c r="AE26" s="2">
        <f>SUM('Rate Calc Sheet'!CO63:CO74)</f>
        <v>0</v>
      </c>
      <c r="AF26" s="2">
        <f>SUM('Rate Calc Sheet'!CP63:CP74)</f>
        <v>0</v>
      </c>
      <c r="AG26" s="2">
        <f>SUM('Rate Calc Sheet'!CR63:CT74)</f>
        <v>0</v>
      </c>
      <c r="AH26" s="2">
        <f>SUM('Rate Calc Sheet'!CU63:CW74)</f>
        <v>0</v>
      </c>
      <c r="AI26" s="2">
        <f>SUM('Rate Calc Sheet'!CX63:CZ74)</f>
        <v>0</v>
      </c>
      <c r="AJ26" s="2">
        <f>SUM('Rate Calc Sheet'!DB63:DB74)</f>
        <v>4093997</v>
      </c>
      <c r="AK26" s="2">
        <f>SUM('Rate Calc Sheet'!DC63:DC74)</f>
        <v>290127</v>
      </c>
      <c r="AL26" s="2">
        <f>SUM('Rate Calc Sheet'!DD63:DD74)</f>
        <v>1674038</v>
      </c>
      <c r="AM26" s="2">
        <f>SUM('Rate Calc Sheet'!DE63:DE74)</f>
        <v>2790992</v>
      </c>
      <c r="AN26" s="2">
        <f>SUM('Rate Calc Sheet'!DF63:DF74)</f>
        <v>33320064</v>
      </c>
      <c r="AO26" s="2">
        <f>SUM('Rate Calc Sheet'!DG63:DG74)</f>
        <v>3377765</v>
      </c>
      <c r="AP26" s="2">
        <f>SUM('Rate Calc Sheet'!DH63:DH74)</f>
        <v>77113494</v>
      </c>
      <c r="AQ26" s="2">
        <f>SUM('Rate Calc Sheet'!DI63:DI74)</f>
        <v>17183.639999998733</v>
      </c>
      <c r="AR26" s="2">
        <f>SUM('Rate Calc Sheet'!DJ63:DJ74)</f>
        <v>3571901</v>
      </c>
      <c r="AS26" s="3">
        <f t="shared" si="6"/>
        <v>126249561.64</v>
      </c>
      <c r="AU26" s="324">
        <f>+AU53/AS26</f>
        <v>0.14337475524560561</v>
      </c>
      <c r="AX26" s="4"/>
      <c r="AY26" s="2">
        <v>6</v>
      </c>
      <c r="AZ26" s="2">
        <v>759659399.99999988</v>
      </c>
      <c r="BA26" s="2">
        <v>569774583.5</v>
      </c>
      <c r="BB26" s="2">
        <v>756459743.52653265</v>
      </c>
      <c r="BC26" s="2">
        <v>154107273.00000003</v>
      </c>
      <c r="BD26" s="2">
        <v>5118210</v>
      </c>
    </row>
    <row r="27" spans="1:56" x14ac:dyDescent="0.2">
      <c r="A27" s="4"/>
      <c r="B27" s="2"/>
      <c r="C27" s="2">
        <f>SUM(C22:C26)</f>
        <v>998124803</v>
      </c>
      <c r="D27" s="2">
        <f t="shared" ref="D27:AR27" si="7">SUM(D22:D26)</f>
        <v>5015284</v>
      </c>
      <c r="E27" s="2">
        <f t="shared" si="7"/>
        <v>3482</v>
      </c>
      <c r="F27" s="2">
        <f t="shared" si="7"/>
        <v>24851349</v>
      </c>
      <c r="G27" s="2">
        <f t="shared" si="7"/>
        <v>0</v>
      </c>
      <c r="H27" s="2">
        <f t="shared" si="7"/>
        <v>0</v>
      </c>
      <c r="I27" s="2">
        <f t="shared" si="7"/>
        <v>1420875552</v>
      </c>
      <c r="J27" s="2">
        <f t="shared" si="7"/>
        <v>1153333103</v>
      </c>
      <c r="K27" s="2">
        <f t="shared" si="7"/>
        <v>115388260</v>
      </c>
      <c r="L27" s="2">
        <f t="shared" si="7"/>
        <v>633047</v>
      </c>
      <c r="M27" s="2">
        <f t="shared" si="7"/>
        <v>1860228340</v>
      </c>
      <c r="N27" s="2">
        <f t="shared" si="7"/>
        <v>1828007428</v>
      </c>
      <c r="O27" s="2">
        <f t="shared" si="7"/>
        <v>3609291516</v>
      </c>
      <c r="P27" s="2">
        <f t="shared" si="7"/>
        <v>175700506</v>
      </c>
      <c r="Q27" s="2">
        <f t="shared" si="7"/>
        <v>298682480</v>
      </c>
      <c r="R27" s="2">
        <f t="shared" si="7"/>
        <v>694762821</v>
      </c>
      <c r="S27" s="2">
        <f t="shared" si="7"/>
        <v>4314736230</v>
      </c>
      <c r="T27" s="2">
        <f t="shared" si="7"/>
        <v>158225709</v>
      </c>
      <c r="U27" s="2">
        <f t="shared" si="7"/>
        <v>12737010</v>
      </c>
      <c r="V27" s="2"/>
      <c r="W27" s="2">
        <f t="shared" si="7"/>
        <v>0</v>
      </c>
      <c r="X27" s="2"/>
      <c r="Y27" s="2">
        <f>SUM(Y22:Y26)</f>
        <v>0</v>
      </c>
      <c r="Z27" s="2">
        <f>SUM(Z22:Z26)</f>
        <v>0</v>
      </c>
      <c r="AA27" s="2">
        <f>SUM(AA22:AA26)</f>
        <v>0</v>
      </c>
      <c r="AB27" s="2">
        <f>SUM(AB22:AB26)</f>
        <v>0</v>
      </c>
      <c r="AC27" s="2">
        <f t="shared" si="7"/>
        <v>0</v>
      </c>
      <c r="AD27" s="2">
        <f>SUM(AD22:AD26)</f>
        <v>0</v>
      </c>
      <c r="AE27" s="2">
        <f>SUM(AE22:AE26)</f>
        <v>0</v>
      </c>
      <c r="AF27" s="2">
        <f>SUM(AF22:AF26)</f>
        <v>0</v>
      </c>
      <c r="AG27" s="2">
        <f t="shared" si="7"/>
        <v>8537342781</v>
      </c>
      <c r="AH27" s="2">
        <f t="shared" si="7"/>
        <v>716371565</v>
      </c>
      <c r="AI27" s="2">
        <f t="shared" si="7"/>
        <v>180162320</v>
      </c>
      <c r="AJ27" s="2">
        <f t="shared" si="7"/>
        <v>4093997</v>
      </c>
      <c r="AK27" s="2">
        <f t="shared" si="7"/>
        <v>290127</v>
      </c>
      <c r="AL27" s="2">
        <f t="shared" si="7"/>
        <v>3130048</v>
      </c>
      <c r="AM27" s="2">
        <f t="shared" si="7"/>
        <v>2790992</v>
      </c>
      <c r="AN27" s="2">
        <f t="shared" si="7"/>
        <v>33320064</v>
      </c>
      <c r="AO27" s="2">
        <f t="shared" si="7"/>
        <v>3377765</v>
      </c>
      <c r="AP27" s="2">
        <f t="shared" si="7"/>
        <v>85723824</v>
      </c>
      <c r="AQ27" s="2">
        <f t="shared" si="7"/>
        <v>17183.639999998733</v>
      </c>
      <c r="AR27" s="2">
        <f t="shared" si="7"/>
        <v>3776789</v>
      </c>
      <c r="AS27" s="3">
        <f t="shared" si="6"/>
        <v>26240994375.639999</v>
      </c>
      <c r="AX27" s="4"/>
      <c r="AY27" s="2">
        <v>7</v>
      </c>
      <c r="AZ27" s="2">
        <v>885536010.00000012</v>
      </c>
      <c r="BA27" s="2">
        <v>566063799.49000001</v>
      </c>
      <c r="BB27" s="2">
        <v>644585610.89486468</v>
      </c>
      <c r="BC27" s="2">
        <v>178213137.00000003</v>
      </c>
      <c r="BD27" s="2">
        <v>5123370</v>
      </c>
    </row>
    <row r="28" spans="1:56" x14ac:dyDescent="0.2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"/>
      <c r="AX28" s="4"/>
      <c r="AY28" s="2">
        <v>8</v>
      </c>
      <c r="AZ28" s="2">
        <v>876684340</v>
      </c>
      <c r="BA28" s="2">
        <v>578215673.10500002</v>
      </c>
      <c r="BB28" s="2">
        <v>818212679.35911071</v>
      </c>
      <c r="BC28" s="2">
        <v>181659139</v>
      </c>
      <c r="BD28" s="2">
        <v>5128510</v>
      </c>
    </row>
    <row r="29" spans="1:56" x14ac:dyDescent="0.2">
      <c r="A29" s="4"/>
      <c r="B29" s="2"/>
      <c r="C29" s="7" t="str">
        <f>+C2</f>
        <v>CSN0</v>
      </c>
      <c r="D29" s="7" t="str">
        <f t="shared" ref="D29:AR29" si="8">+D2</f>
        <v>CSN2</v>
      </c>
      <c r="E29" s="7" t="str">
        <f t="shared" si="8"/>
        <v>CSN7</v>
      </c>
      <c r="F29" s="7" t="str">
        <f t="shared" si="8"/>
        <v>CSN8</v>
      </c>
      <c r="G29" s="7" t="str">
        <f t="shared" si="8"/>
        <v>CSN9</v>
      </c>
      <c r="H29" s="7" t="str">
        <f t="shared" si="8"/>
        <v>SFOC</v>
      </c>
      <c r="I29" s="7" t="str">
        <f t="shared" si="8"/>
        <v>HBN0</v>
      </c>
      <c r="J29" s="7" t="str">
        <f t="shared" si="8"/>
        <v>HCN0</v>
      </c>
      <c r="K29" s="7" t="str">
        <f t="shared" si="8"/>
        <v>HCN3</v>
      </c>
      <c r="L29" s="7" t="str">
        <f t="shared" si="8"/>
        <v>HSN3</v>
      </c>
      <c r="M29" s="7" t="str">
        <f t="shared" si="8"/>
        <v>HDN0</v>
      </c>
      <c r="N29" s="7" t="str">
        <f t="shared" si="8"/>
        <v>HPN0</v>
      </c>
      <c r="O29" s="7" t="str">
        <f t="shared" si="8"/>
        <v>HSN0</v>
      </c>
      <c r="P29" s="7" t="str">
        <f t="shared" si="8"/>
        <v>LBN0</v>
      </c>
      <c r="Q29" s="7" t="str">
        <f t="shared" si="8"/>
        <v>LDN0</v>
      </c>
      <c r="R29" s="7" t="str">
        <f t="shared" si="8"/>
        <v>LPN0</v>
      </c>
      <c r="S29" s="7" t="str">
        <f t="shared" si="8"/>
        <v>LSN0</v>
      </c>
      <c r="T29" s="7" t="str">
        <f t="shared" si="8"/>
        <v>LSN2</v>
      </c>
      <c r="U29" s="7" t="str">
        <f t="shared" si="8"/>
        <v>LSN3 - Peak</v>
      </c>
      <c r="V29" s="7" t="str">
        <f t="shared" si="8"/>
        <v>LSN3 - Grandfathered</v>
      </c>
      <c r="W29" s="7" t="str">
        <f t="shared" si="8"/>
        <v>SAES</v>
      </c>
      <c r="X29" s="7" t="str">
        <f t="shared" si="8"/>
        <v>SASN</v>
      </c>
      <c r="Y29" s="7" t="str">
        <f t="shared" si="8"/>
        <v>NUCF</v>
      </c>
      <c r="Z29" s="7" t="str">
        <f t="shared" si="8"/>
        <v>NUIF</v>
      </c>
      <c r="AA29" s="7" t="str">
        <f t="shared" si="8"/>
        <v>NUID</v>
      </c>
      <c r="AB29" s="7" t="str">
        <f t="shared" si="8"/>
        <v>NUCS</v>
      </c>
      <c r="AC29" s="7" t="str">
        <f t="shared" si="8"/>
        <v>SPUF</v>
      </c>
      <c r="AD29" s="7" t="str">
        <f t="shared" si="8"/>
        <v>SPUR</v>
      </c>
      <c r="AE29" s="7" t="str">
        <f t="shared" si="8"/>
        <v>SDEH</v>
      </c>
      <c r="AF29" s="7" t="str">
        <f t="shared" si="8"/>
        <v>SDED</v>
      </c>
      <c r="AG29" s="7" t="str">
        <f t="shared" si="8"/>
        <v>RSN0</v>
      </c>
      <c r="AH29" s="7" t="str">
        <f t="shared" si="8"/>
        <v>RSN2</v>
      </c>
      <c r="AI29" s="7" t="str">
        <f t="shared" si="8"/>
        <v xml:space="preserve">SWP </v>
      </c>
      <c r="AJ29" s="7" t="str">
        <f t="shared" si="8"/>
        <v>MHLS</v>
      </c>
      <c r="AK29" s="7" t="str">
        <f t="shared" si="8"/>
        <v>FS</v>
      </c>
      <c r="AL29" s="7" t="str">
        <f t="shared" si="8"/>
        <v>MOLS</v>
      </c>
      <c r="AM29" s="7" t="str">
        <f t="shared" si="8"/>
        <v>MS</v>
      </c>
      <c r="AN29" s="7" t="str">
        <f t="shared" si="8"/>
        <v>SL</v>
      </c>
      <c r="AO29" s="7" t="str">
        <f t="shared" si="8"/>
        <v>TS</v>
      </c>
      <c r="AP29" s="7" t="str">
        <f t="shared" si="8"/>
        <v>UOLS</v>
      </c>
      <c r="AQ29" s="7" t="str">
        <f t="shared" si="8"/>
        <v>WHTL</v>
      </c>
      <c r="AR29" s="7" t="str">
        <f t="shared" si="8"/>
        <v>XLED</v>
      </c>
      <c r="AS29" s="3"/>
      <c r="AX29" s="4"/>
      <c r="AY29" s="2">
        <v>9</v>
      </c>
      <c r="AZ29" s="2">
        <v>674839050</v>
      </c>
      <c r="BA29" s="2">
        <v>502661840.935</v>
      </c>
      <c r="BB29" s="2">
        <v>771578771.48717344</v>
      </c>
      <c r="BC29" s="2">
        <v>171745361</v>
      </c>
      <c r="BD29" s="2">
        <v>5133630</v>
      </c>
    </row>
    <row r="30" spans="1:56" x14ac:dyDescent="0.2">
      <c r="A30" s="4"/>
      <c r="B30" s="2" t="s">
        <v>25</v>
      </c>
      <c r="C30" s="76">
        <f t="shared" ref="C30:AR30" si="9">C22/$AS$22</f>
        <v>0</v>
      </c>
      <c r="D30" s="76">
        <f t="shared" si="9"/>
        <v>0</v>
      </c>
      <c r="E30" s="76">
        <f t="shared" si="9"/>
        <v>0</v>
      </c>
      <c r="F30" s="76">
        <f t="shared" si="9"/>
        <v>0</v>
      </c>
      <c r="G30" s="76">
        <f t="shared" si="9"/>
        <v>0</v>
      </c>
      <c r="H30" s="76">
        <f t="shared" si="9"/>
        <v>0</v>
      </c>
      <c r="I30" s="76">
        <f t="shared" si="9"/>
        <v>0</v>
      </c>
      <c r="J30" s="76">
        <f t="shared" si="9"/>
        <v>0</v>
      </c>
      <c r="K30" s="76">
        <f t="shared" si="9"/>
        <v>0</v>
      </c>
      <c r="L30" s="76">
        <f t="shared" si="9"/>
        <v>0</v>
      </c>
      <c r="M30" s="76">
        <f t="shared" si="9"/>
        <v>0</v>
      </c>
      <c r="N30" s="76">
        <f t="shared" si="9"/>
        <v>0</v>
      </c>
      <c r="O30" s="76">
        <f t="shared" si="9"/>
        <v>0</v>
      </c>
      <c r="P30" s="76">
        <f t="shared" si="9"/>
        <v>0</v>
      </c>
      <c r="Q30" s="76">
        <f t="shared" si="9"/>
        <v>0</v>
      </c>
      <c r="R30" s="76">
        <f t="shared" si="9"/>
        <v>0</v>
      </c>
      <c r="S30" s="76">
        <f t="shared" si="9"/>
        <v>0</v>
      </c>
      <c r="T30" s="76">
        <f t="shared" si="9"/>
        <v>0</v>
      </c>
      <c r="U30" s="76">
        <f t="shared" si="9"/>
        <v>0</v>
      </c>
      <c r="V30" s="76">
        <f t="shared" si="9"/>
        <v>0</v>
      </c>
      <c r="W30" s="76">
        <f t="shared" si="9"/>
        <v>0</v>
      </c>
      <c r="X30" s="76">
        <f t="shared" si="9"/>
        <v>0</v>
      </c>
      <c r="Y30" s="76">
        <f t="shared" si="9"/>
        <v>0</v>
      </c>
      <c r="Z30" s="76">
        <f t="shared" si="9"/>
        <v>0</v>
      </c>
      <c r="AA30" s="76">
        <f t="shared" si="9"/>
        <v>0</v>
      </c>
      <c r="AB30" s="76">
        <f t="shared" si="9"/>
        <v>0</v>
      </c>
      <c r="AC30" s="76">
        <f t="shared" si="9"/>
        <v>0</v>
      </c>
      <c r="AD30" s="76">
        <f t="shared" si="9"/>
        <v>0</v>
      </c>
      <c r="AE30" s="76">
        <f t="shared" si="9"/>
        <v>0</v>
      </c>
      <c r="AF30" s="76">
        <f t="shared" si="9"/>
        <v>0</v>
      </c>
      <c r="AG30" s="76">
        <f t="shared" si="9"/>
        <v>0.92258551126449484</v>
      </c>
      <c r="AH30" s="76">
        <f t="shared" si="9"/>
        <v>7.7414488735505216E-2</v>
      </c>
      <c r="AI30" s="76">
        <f t="shared" si="9"/>
        <v>0</v>
      </c>
      <c r="AJ30" s="76">
        <f t="shared" si="9"/>
        <v>0</v>
      </c>
      <c r="AK30" s="76">
        <f t="shared" si="9"/>
        <v>0</v>
      </c>
      <c r="AL30" s="76">
        <f t="shared" si="9"/>
        <v>0</v>
      </c>
      <c r="AM30" s="76">
        <f t="shared" si="9"/>
        <v>0</v>
      </c>
      <c r="AN30" s="76">
        <f t="shared" si="9"/>
        <v>0</v>
      </c>
      <c r="AO30" s="76">
        <f t="shared" si="9"/>
        <v>0</v>
      </c>
      <c r="AP30" s="76">
        <f t="shared" si="9"/>
        <v>0</v>
      </c>
      <c r="AQ30" s="76">
        <f t="shared" si="9"/>
        <v>0</v>
      </c>
      <c r="AR30" s="76">
        <f t="shared" si="9"/>
        <v>0</v>
      </c>
      <c r="AS30" s="77">
        <f t="shared" ref="AS30:AS40" si="10">SUM(C30:AR30)</f>
        <v>1</v>
      </c>
      <c r="AX30" s="4"/>
      <c r="AY30" s="2">
        <v>10</v>
      </c>
      <c r="AZ30" s="2">
        <v>587076700</v>
      </c>
      <c r="BA30" s="2">
        <v>442455599.70999998</v>
      </c>
      <c r="BB30" s="2">
        <v>752375892.63070333</v>
      </c>
      <c r="BC30" s="2">
        <v>167775143.99999997</v>
      </c>
      <c r="BD30" s="2">
        <v>5138740</v>
      </c>
    </row>
    <row r="31" spans="1:56" x14ac:dyDescent="0.2">
      <c r="A31" s="4"/>
      <c r="B31" s="2" t="s">
        <v>27</v>
      </c>
      <c r="C31" s="76">
        <f t="shared" ref="C31:AR31" si="11">C23/$AS$23</f>
        <v>0.15881963899869792</v>
      </c>
      <c r="D31" s="76">
        <f t="shared" si="11"/>
        <v>8.480069650872691E-4</v>
      </c>
      <c r="E31" s="76">
        <f t="shared" si="11"/>
        <v>5.9411555558919818E-7</v>
      </c>
      <c r="F31" s="76">
        <f t="shared" si="11"/>
        <v>4.2402564670522879E-3</v>
      </c>
      <c r="G31" s="76">
        <f t="shared" si="11"/>
        <v>0</v>
      </c>
      <c r="H31" s="76">
        <f t="shared" si="11"/>
        <v>0</v>
      </c>
      <c r="I31" s="76">
        <f t="shared" si="11"/>
        <v>0</v>
      </c>
      <c r="J31" s="76">
        <f t="shared" si="11"/>
        <v>3.5126015819207776E-5</v>
      </c>
      <c r="K31" s="76">
        <f t="shared" si="11"/>
        <v>0</v>
      </c>
      <c r="L31" s="76">
        <f t="shared" si="11"/>
        <v>1.0801351812724732E-4</v>
      </c>
      <c r="M31" s="76">
        <f t="shared" si="11"/>
        <v>1.5416808974362053E-3</v>
      </c>
      <c r="N31" s="76">
        <f t="shared" si="11"/>
        <v>5.4946337117306322E-2</v>
      </c>
      <c r="O31" s="76">
        <f t="shared" si="11"/>
        <v>0.31711888549376305</v>
      </c>
      <c r="P31" s="76">
        <f t="shared" si="11"/>
        <v>1.5815550602057108E-3</v>
      </c>
      <c r="Q31" s="76">
        <f t="shared" si="11"/>
        <v>4.4941543602927802E-3</v>
      </c>
      <c r="R31" s="76">
        <f t="shared" si="11"/>
        <v>7.8528298496245881E-3</v>
      </c>
      <c r="S31" s="76">
        <f t="shared" si="11"/>
        <v>0.41972414634288424</v>
      </c>
      <c r="T31" s="76">
        <f t="shared" si="11"/>
        <v>2.5064322005085141E-2</v>
      </c>
      <c r="U31" s="76">
        <f t="shared" si="11"/>
        <v>1.1956372512719935E-3</v>
      </c>
      <c r="V31" s="76">
        <f t="shared" si="11"/>
        <v>0</v>
      </c>
      <c r="W31" s="76">
        <f t="shared" si="11"/>
        <v>0</v>
      </c>
      <c r="X31" s="76">
        <f t="shared" si="11"/>
        <v>0</v>
      </c>
      <c r="Y31" s="76">
        <f t="shared" si="11"/>
        <v>0</v>
      </c>
      <c r="Z31" s="76">
        <f t="shared" si="11"/>
        <v>0</v>
      </c>
      <c r="AA31" s="76">
        <f t="shared" si="11"/>
        <v>0</v>
      </c>
      <c r="AB31" s="76">
        <f t="shared" si="11"/>
        <v>0</v>
      </c>
      <c r="AC31" s="76">
        <f t="shared" si="11"/>
        <v>0</v>
      </c>
      <c r="AD31" s="76">
        <f t="shared" si="11"/>
        <v>0</v>
      </c>
      <c r="AE31" s="76">
        <f t="shared" si="11"/>
        <v>0</v>
      </c>
      <c r="AF31" s="76">
        <f t="shared" si="11"/>
        <v>0</v>
      </c>
      <c r="AG31" s="76">
        <f t="shared" si="11"/>
        <v>0</v>
      </c>
      <c r="AH31" s="76">
        <f t="shared" si="11"/>
        <v>0</v>
      </c>
      <c r="AI31" s="76">
        <f t="shared" si="11"/>
        <v>2.4288155417904805E-3</v>
      </c>
      <c r="AJ31" s="76">
        <f t="shared" si="11"/>
        <v>0</v>
      </c>
      <c r="AK31" s="76">
        <f t="shared" si="11"/>
        <v>0</v>
      </c>
      <c r="AL31" s="76">
        <f t="shared" si="11"/>
        <v>0</v>
      </c>
      <c r="AM31" s="76">
        <f t="shared" si="11"/>
        <v>0</v>
      </c>
      <c r="AN31" s="76">
        <f t="shared" si="11"/>
        <v>0</v>
      </c>
      <c r="AO31" s="76">
        <f t="shared" si="11"/>
        <v>0</v>
      </c>
      <c r="AP31" s="76">
        <f t="shared" si="11"/>
        <v>0</v>
      </c>
      <c r="AQ31" s="76">
        <f t="shared" si="11"/>
        <v>0</v>
      </c>
      <c r="AR31" s="76">
        <f t="shared" si="11"/>
        <v>0</v>
      </c>
      <c r="AS31" s="77">
        <f t="shared" si="10"/>
        <v>1</v>
      </c>
      <c r="AX31" s="4"/>
      <c r="AY31" s="2">
        <v>11</v>
      </c>
      <c r="AZ31" s="2">
        <v>706802080</v>
      </c>
      <c r="BA31" s="2">
        <v>442781204.4532001</v>
      </c>
      <c r="BB31" s="2">
        <v>724914260.75266969</v>
      </c>
      <c r="BC31" s="2">
        <v>139463504</v>
      </c>
      <c r="BD31" s="2">
        <v>5143830</v>
      </c>
    </row>
    <row r="32" spans="1:56" x14ac:dyDescent="0.2">
      <c r="A32" s="4"/>
      <c r="B32" s="2" t="s">
        <v>47</v>
      </c>
      <c r="C32" s="76">
        <f>C24/$AS$24</f>
        <v>7.8668869495105733E-4</v>
      </c>
      <c r="D32" s="76">
        <f t="shared" ref="D32:AR32" si="12">D24/$AS$24</f>
        <v>4.0281965250851597E-6</v>
      </c>
      <c r="E32" s="76">
        <f t="shared" si="12"/>
        <v>0</v>
      </c>
      <c r="F32" s="76">
        <f t="shared" si="12"/>
        <v>0</v>
      </c>
      <c r="G32" s="76">
        <f t="shared" si="12"/>
        <v>0</v>
      </c>
      <c r="H32" s="76">
        <f t="shared" si="12"/>
        <v>0</v>
      </c>
      <c r="I32" s="76">
        <f t="shared" si="12"/>
        <v>0.15360741690091134</v>
      </c>
      <c r="J32" s="76">
        <f t="shared" si="12"/>
        <v>0.11616390080182674</v>
      </c>
      <c r="K32" s="76">
        <f t="shared" si="12"/>
        <v>1.247434550783991E-2</v>
      </c>
      <c r="L32" s="76">
        <f t="shared" si="12"/>
        <v>0</v>
      </c>
      <c r="M32" s="76">
        <f t="shared" si="12"/>
        <v>0.20012797706089311</v>
      </c>
      <c r="N32" s="76">
        <f t="shared" si="12"/>
        <v>0.1243195224480166</v>
      </c>
      <c r="O32" s="76">
        <f t="shared" si="12"/>
        <v>0.16249003077711116</v>
      </c>
      <c r="P32" s="76">
        <f t="shared" si="12"/>
        <v>1.7992485884731433E-2</v>
      </c>
      <c r="Q32" s="76">
        <f t="shared" si="12"/>
        <v>2.9442351535696281E-2</v>
      </c>
      <c r="R32" s="76">
        <f t="shared" si="12"/>
        <v>6.3998250831469428E-2</v>
      </c>
      <c r="S32" s="76">
        <f t="shared" si="12"/>
        <v>0.11564532106654242</v>
      </c>
      <c r="T32" s="76">
        <f t="shared" si="12"/>
        <v>0</v>
      </c>
      <c r="U32" s="76">
        <f t="shared" si="12"/>
        <v>6.1941362075397955E-4</v>
      </c>
      <c r="V32" s="76">
        <f t="shared" si="12"/>
        <v>0</v>
      </c>
      <c r="W32" s="76">
        <f t="shared" si="12"/>
        <v>0</v>
      </c>
      <c r="X32" s="76">
        <f t="shared" si="12"/>
        <v>0</v>
      </c>
      <c r="Y32" s="76">
        <f t="shared" si="12"/>
        <v>0</v>
      </c>
      <c r="Z32" s="76">
        <f t="shared" si="12"/>
        <v>0</v>
      </c>
      <c r="AA32" s="76">
        <f t="shared" si="12"/>
        <v>0</v>
      </c>
      <c r="AB32" s="76">
        <f t="shared" si="12"/>
        <v>0</v>
      </c>
      <c r="AC32" s="76">
        <f t="shared" si="12"/>
        <v>0</v>
      </c>
      <c r="AD32" s="76">
        <f t="shared" si="12"/>
        <v>0</v>
      </c>
      <c r="AE32" s="76">
        <f t="shared" si="12"/>
        <v>0</v>
      </c>
      <c r="AF32" s="76">
        <f t="shared" si="12"/>
        <v>0</v>
      </c>
      <c r="AG32" s="76">
        <f t="shared" si="12"/>
        <v>0</v>
      </c>
      <c r="AH32" s="76">
        <f t="shared" si="12"/>
        <v>0</v>
      </c>
      <c r="AI32" s="76">
        <f t="shared" si="12"/>
        <v>2.3282666727314442E-3</v>
      </c>
      <c r="AJ32" s="76">
        <f t="shared" si="12"/>
        <v>0</v>
      </c>
      <c r="AK32" s="76">
        <f t="shared" si="12"/>
        <v>0</v>
      </c>
      <c r="AL32" s="76">
        <f t="shared" si="12"/>
        <v>0</v>
      </c>
      <c r="AM32" s="76">
        <f t="shared" si="12"/>
        <v>0</v>
      </c>
      <c r="AN32" s="76">
        <f t="shared" si="12"/>
        <v>0</v>
      </c>
      <c r="AO32" s="76">
        <f t="shared" si="12"/>
        <v>0</v>
      </c>
      <c r="AP32" s="76">
        <f t="shared" si="12"/>
        <v>0</v>
      </c>
      <c r="AQ32" s="76">
        <f t="shared" si="12"/>
        <v>0</v>
      </c>
      <c r="AR32" s="76">
        <f t="shared" si="12"/>
        <v>0</v>
      </c>
      <c r="AS32" s="77">
        <f t="shared" si="10"/>
        <v>1</v>
      </c>
      <c r="AX32" s="4"/>
      <c r="AY32" s="2">
        <v>12</v>
      </c>
      <c r="AZ32" s="2">
        <v>980892560</v>
      </c>
      <c r="BA32" s="2">
        <v>493839112.18679994</v>
      </c>
      <c r="BB32" s="2">
        <v>691756795.4240818</v>
      </c>
      <c r="BC32" s="2">
        <v>136399346.00000003</v>
      </c>
      <c r="BD32" s="2">
        <v>5148900</v>
      </c>
    </row>
    <row r="33" spans="1:56" hidden="1" x14ac:dyDescent="0.2">
      <c r="A33" s="4"/>
      <c r="B33">
        <v>60</v>
      </c>
      <c r="C33" s="76">
        <f>+C27/$AS$27</f>
        <v>3.8036851375059848E-2</v>
      </c>
      <c r="D33" s="76">
        <f t="shared" ref="D33:AR33" si="13">+D27/$AS$27</f>
        <v>1.9112400727678907E-4</v>
      </c>
      <c r="E33" s="76">
        <f t="shared" si="13"/>
        <v>1.3269314227026415E-7</v>
      </c>
      <c r="F33" s="76">
        <f t="shared" si="13"/>
        <v>9.4704296050114503E-4</v>
      </c>
      <c r="G33" s="76">
        <f t="shared" si="13"/>
        <v>0</v>
      </c>
      <c r="H33" s="76">
        <f t="shared" si="13"/>
        <v>0</v>
      </c>
      <c r="I33" s="76">
        <f t="shared" si="13"/>
        <v>5.4147168802376827E-2</v>
      </c>
      <c r="J33" s="76">
        <f t="shared" si="13"/>
        <v>4.395157769137973E-2</v>
      </c>
      <c r="K33" s="76">
        <f t="shared" si="13"/>
        <v>4.3972518094480845E-3</v>
      </c>
      <c r="L33" s="76">
        <f t="shared" si="13"/>
        <v>2.412435256598619E-5</v>
      </c>
      <c r="M33" s="76">
        <f t="shared" si="13"/>
        <v>7.0890161911199692E-2</v>
      </c>
      <c r="N33" s="76">
        <f t="shared" si="13"/>
        <v>6.9662277344831602E-2</v>
      </c>
      <c r="O33" s="76">
        <f t="shared" si="13"/>
        <v>0.1375440070727873</v>
      </c>
      <c r="P33" s="76">
        <f t="shared" si="13"/>
        <v>6.695649695466801E-3</v>
      </c>
      <c r="Q33" s="76">
        <f t="shared" si="13"/>
        <v>1.1382285127017612E-2</v>
      </c>
      <c r="R33" s="76">
        <f t="shared" si="13"/>
        <v>2.6476238325974458E-2</v>
      </c>
      <c r="S33" s="76">
        <f t="shared" si="13"/>
        <v>0.16442731430960747</v>
      </c>
      <c r="T33" s="76">
        <f t="shared" si="13"/>
        <v>6.0297146798249327E-3</v>
      </c>
      <c r="U33" s="76">
        <f t="shared" si="13"/>
        <v>4.8538595061107907E-4</v>
      </c>
      <c r="V33" s="76">
        <f t="shared" si="13"/>
        <v>0</v>
      </c>
      <c r="W33" s="76">
        <f t="shared" si="13"/>
        <v>0</v>
      </c>
      <c r="X33" s="76">
        <f t="shared" si="13"/>
        <v>0</v>
      </c>
      <c r="Y33" s="76">
        <f t="shared" si="13"/>
        <v>0</v>
      </c>
      <c r="Z33" s="76">
        <f t="shared" si="13"/>
        <v>0</v>
      </c>
      <c r="AA33" s="76">
        <f t="shared" si="13"/>
        <v>0</v>
      </c>
      <c r="AB33" s="76">
        <f t="shared" si="13"/>
        <v>0</v>
      </c>
      <c r="AC33" s="76">
        <f t="shared" si="13"/>
        <v>0</v>
      </c>
      <c r="AD33" s="76">
        <f t="shared" si="13"/>
        <v>0</v>
      </c>
      <c r="AE33" s="76">
        <f t="shared" si="13"/>
        <v>0</v>
      </c>
      <c r="AF33" s="76">
        <f t="shared" si="13"/>
        <v>0</v>
      </c>
      <c r="AG33" s="76">
        <f t="shared" si="13"/>
        <v>0.32534372207043238</v>
      </c>
      <c r="AH33" s="76">
        <f t="shared" si="13"/>
        <v>2.7299711083548762E-2</v>
      </c>
      <c r="AI33" s="76">
        <f t="shared" si="13"/>
        <v>6.8656818953190283E-3</v>
      </c>
      <c r="AJ33" s="76">
        <f t="shared" si="13"/>
        <v>1.5601531486933792E-4</v>
      </c>
      <c r="AK33" s="76">
        <f t="shared" si="13"/>
        <v>1.1056250226147308E-5</v>
      </c>
      <c r="AL33" s="76">
        <f t="shared" si="13"/>
        <v>1.192808456567363E-4</v>
      </c>
      <c r="AM33" s="76">
        <f t="shared" si="13"/>
        <v>1.063599938343392E-4</v>
      </c>
      <c r="AN33" s="76">
        <f t="shared" si="13"/>
        <v>1.2697713936836033E-3</v>
      </c>
      <c r="AO33" s="76">
        <f t="shared" si="13"/>
        <v>1.2872092237234888E-4</v>
      </c>
      <c r="AP33" s="76">
        <f t="shared" si="13"/>
        <v>3.2667902280250102E-3</v>
      </c>
      <c r="AQ33" s="76">
        <f t="shared" si="13"/>
        <v>6.5483951385434637E-7</v>
      </c>
      <c r="AR33" s="76">
        <f t="shared" si="13"/>
        <v>1.4392705344680318E-4</v>
      </c>
      <c r="AS33" s="77">
        <f t="shared" si="10"/>
        <v>0.99999999999999989</v>
      </c>
      <c r="AX33" s="4"/>
      <c r="AY33" s="2" t="s">
        <v>192</v>
      </c>
      <c r="AZ33" s="2">
        <v>9308693330</v>
      </c>
      <c r="BA33" s="2">
        <v>5874362065.3800001</v>
      </c>
      <c r="BB33" s="2">
        <v>8778391951.5629539</v>
      </c>
      <c r="BC33" s="2">
        <v>1843592800</v>
      </c>
      <c r="BD33" s="2">
        <v>61448320</v>
      </c>
    </row>
    <row r="34" spans="1:56" hidden="1" x14ac:dyDescent="0.2">
      <c r="A34" s="4"/>
      <c r="B34">
        <v>62</v>
      </c>
      <c r="C34" s="76">
        <f>+C27/$AS$27</f>
        <v>3.8036851375059848E-2</v>
      </c>
      <c r="D34" s="76">
        <f t="shared" ref="D34:AR34" si="14">+D27/$AS$27</f>
        <v>1.9112400727678907E-4</v>
      </c>
      <c r="E34" s="76">
        <f t="shared" si="14"/>
        <v>1.3269314227026415E-7</v>
      </c>
      <c r="F34" s="76">
        <f t="shared" si="14"/>
        <v>9.4704296050114503E-4</v>
      </c>
      <c r="G34" s="76">
        <f t="shared" si="14"/>
        <v>0</v>
      </c>
      <c r="H34" s="76">
        <f t="shared" si="14"/>
        <v>0</v>
      </c>
      <c r="I34" s="76">
        <f t="shared" si="14"/>
        <v>5.4147168802376827E-2</v>
      </c>
      <c r="J34" s="76">
        <f t="shared" si="14"/>
        <v>4.395157769137973E-2</v>
      </c>
      <c r="K34" s="76">
        <f t="shared" si="14"/>
        <v>4.3972518094480845E-3</v>
      </c>
      <c r="L34" s="76">
        <f t="shared" si="14"/>
        <v>2.412435256598619E-5</v>
      </c>
      <c r="M34" s="76">
        <f t="shared" si="14"/>
        <v>7.0890161911199692E-2</v>
      </c>
      <c r="N34" s="76">
        <f t="shared" si="14"/>
        <v>6.9662277344831602E-2</v>
      </c>
      <c r="O34" s="76">
        <f t="shared" si="14"/>
        <v>0.1375440070727873</v>
      </c>
      <c r="P34" s="76">
        <f t="shared" si="14"/>
        <v>6.695649695466801E-3</v>
      </c>
      <c r="Q34" s="76">
        <f t="shared" si="14"/>
        <v>1.1382285127017612E-2</v>
      </c>
      <c r="R34" s="76">
        <f t="shared" si="14"/>
        <v>2.6476238325974458E-2</v>
      </c>
      <c r="S34" s="76">
        <f t="shared" si="14"/>
        <v>0.16442731430960747</v>
      </c>
      <c r="T34" s="76">
        <f t="shared" si="14"/>
        <v>6.0297146798249327E-3</v>
      </c>
      <c r="U34" s="76">
        <f t="shared" si="14"/>
        <v>4.8538595061107907E-4</v>
      </c>
      <c r="V34" s="76">
        <f t="shared" si="14"/>
        <v>0</v>
      </c>
      <c r="W34" s="76">
        <f t="shared" si="14"/>
        <v>0</v>
      </c>
      <c r="X34" s="76">
        <f t="shared" si="14"/>
        <v>0</v>
      </c>
      <c r="Y34" s="76">
        <f t="shared" si="14"/>
        <v>0</v>
      </c>
      <c r="Z34" s="76">
        <f t="shared" si="14"/>
        <v>0</v>
      </c>
      <c r="AA34" s="76">
        <f t="shared" si="14"/>
        <v>0</v>
      </c>
      <c r="AB34" s="76">
        <f t="shared" si="14"/>
        <v>0</v>
      </c>
      <c r="AC34" s="76">
        <f t="shared" si="14"/>
        <v>0</v>
      </c>
      <c r="AD34" s="76">
        <f t="shared" si="14"/>
        <v>0</v>
      </c>
      <c r="AE34" s="76">
        <f t="shared" si="14"/>
        <v>0</v>
      </c>
      <c r="AF34" s="76">
        <f t="shared" si="14"/>
        <v>0</v>
      </c>
      <c r="AG34" s="76">
        <f t="shared" si="14"/>
        <v>0.32534372207043238</v>
      </c>
      <c r="AH34" s="76">
        <f t="shared" si="14"/>
        <v>2.7299711083548762E-2</v>
      </c>
      <c r="AI34" s="76">
        <f t="shared" si="14"/>
        <v>6.8656818953190283E-3</v>
      </c>
      <c r="AJ34" s="76">
        <f t="shared" si="14"/>
        <v>1.5601531486933792E-4</v>
      </c>
      <c r="AK34" s="76">
        <f t="shared" si="14"/>
        <v>1.1056250226147308E-5</v>
      </c>
      <c r="AL34" s="76">
        <f t="shared" si="14"/>
        <v>1.192808456567363E-4</v>
      </c>
      <c r="AM34" s="76">
        <f t="shared" si="14"/>
        <v>1.063599938343392E-4</v>
      </c>
      <c r="AN34" s="76">
        <f t="shared" si="14"/>
        <v>1.2697713936836033E-3</v>
      </c>
      <c r="AO34" s="76">
        <f t="shared" si="14"/>
        <v>1.2872092237234888E-4</v>
      </c>
      <c r="AP34" s="76">
        <f t="shared" si="14"/>
        <v>3.2667902280250102E-3</v>
      </c>
      <c r="AQ34" s="76">
        <f t="shared" si="14"/>
        <v>6.5483951385434637E-7</v>
      </c>
      <c r="AR34" s="76">
        <f t="shared" si="14"/>
        <v>1.4392705344680318E-4</v>
      </c>
      <c r="AS34" s="77">
        <f t="shared" si="10"/>
        <v>0.99999999999999989</v>
      </c>
      <c r="AX34" s="4"/>
      <c r="AY34" s="2"/>
      <c r="AZ34" s="2"/>
      <c r="BA34" s="2"/>
      <c r="BB34" s="2"/>
      <c r="BC34" s="2"/>
      <c r="BD34" s="2">
        <v>25866488466.942955</v>
      </c>
    </row>
    <row r="35" spans="1:56" hidden="1" x14ac:dyDescent="0.2">
      <c r="A35" s="4"/>
      <c r="B35">
        <v>66</v>
      </c>
      <c r="C35" s="76">
        <f>+C27/$AS$27</f>
        <v>3.8036851375059848E-2</v>
      </c>
      <c r="D35" s="76">
        <f t="shared" ref="D35:AR35" si="15">+D27/$AS$27</f>
        <v>1.9112400727678907E-4</v>
      </c>
      <c r="E35" s="76">
        <f t="shared" si="15"/>
        <v>1.3269314227026415E-7</v>
      </c>
      <c r="F35" s="76">
        <f t="shared" si="15"/>
        <v>9.4704296050114503E-4</v>
      </c>
      <c r="G35" s="76">
        <f t="shared" si="15"/>
        <v>0</v>
      </c>
      <c r="H35" s="76">
        <f t="shared" si="15"/>
        <v>0</v>
      </c>
      <c r="I35" s="76">
        <f t="shared" si="15"/>
        <v>5.4147168802376827E-2</v>
      </c>
      <c r="J35" s="76">
        <f t="shared" si="15"/>
        <v>4.395157769137973E-2</v>
      </c>
      <c r="K35" s="76">
        <f t="shared" si="15"/>
        <v>4.3972518094480845E-3</v>
      </c>
      <c r="L35" s="76">
        <f t="shared" si="15"/>
        <v>2.412435256598619E-5</v>
      </c>
      <c r="M35" s="76">
        <f t="shared" si="15"/>
        <v>7.0890161911199692E-2</v>
      </c>
      <c r="N35" s="76">
        <f t="shared" si="15"/>
        <v>6.9662277344831602E-2</v>
      </c>
      <c r="O35" s="76">
        <f t="shared" si="15"/>
        <v>0.1375440070727873</v>
      </c>
      <c r="P35" s="76">
        <f t="shared" si="15"/>
        <v>6.695649695466801E-3</v>
      </c>
      <c r="Q35" s="76">
        <f t="shared" si="15"/>
        <v>1.1382285127017612E-2</v>
      </c>
      <c r="R35" s="76">
        <f t="shared" si="15"/>
        <v>2.6476238325974458E-2</v>
      </c>
      <c r="S35" s="76">
        <f t="shared" si="15"/>
        <v>0.16442731430960747</v>
      </c>
      <c r="T35" s="76">
        <f t="shared" si="15"/>
        <v>6.0297146798249327E-3</v>
      </c>
      <c r="U35" s="76">
        <f t="shared" si="15"/>
        <v>4.8538595061107907E-4</v>
      </c>
      <c r="V35" s="76">
        <f t="shared" si="15"/>
        <v>0</v>
      </c>
      <c r="W35" s="76">
        <f t="shared" si="15"/>
        <v>0</v>
      </c>
      <c r="X35" s="76">
        <f t="shared" si="15"/>
        <v>0</v>
      </c>
      <c r="Y35" s="76">
        <f t="shared" si="15"/>
        <v>0</v>
      </c>
      <c r="Z35" s="76">
        <f t="shared" si="15"/>
        <v>0</v>
      </c>
      <c r="AA35" s="76">
        <f t="shared" si="15"/>
        <v>0</v>
      </c>
      <c r="AB35" s="76">
        <f t="shared" si="15"/>
        <v>0</v>
      </c>
      <c r="AC35" s="76">
        <f t="shared" si="15"/>
        <v>0</v>
      </c>
      <c r="AD35" s="76">
        <f t="shared" si="15"/>
        <v>0</v>
      </c>
      <c r="AE35" s="76">
        <f t="shared" si="15"/>
        <v>0</v>
      </c>
      <c r="AF35" s="76">
        <f t="shared" si="15"/>
        <v>0</v>
      </c>
      <c r="AG35" s="76">
        <f t="shared" si="15"/>
        <v>0.32534372207043238</v>
      </c>
      <c r="AH35" s="76">
        <f t="shared" si="15"/>
        <v>2.7299711083548762E-2</v>
      </c>
      <c r="AI35" s="76">
        <f t="shared" si="15"/>
        <v>6.8656818953190283E-3</v>
      </c>
      <c r="AJ35" s="76">
        <f t="shared" si="15"/>
        <v>1.5601531486933792E-4</v>
      </c>
      <c r="AK35" s="76">
        <f t="shared" si="15"/>
        <v>1.1056250226147308E-5</v>
      </c>
      <c r="AL35" s="76">
        <f t="shared" si="15"/>
        <v>1.192808456567363E-4</v>
      </c>
      <c r="AM35" s="76">
        <f t="shared" si="15"/>
        <v>1.063599938343392E-4</v>
      </c>
      <c r="AN35" s="76">
        <f t="shared" si="15"/>
        <v>1.2697713936836033E-3</v>
      </c>
      <c r="AO35" s="76">
        <f t="shared" si="15"/>
        <v>1.2872092237234888E-4</v>
      </c>
      <c r="AP35" s="76">
        <f t="shared" si="15"/>
        <v>3.2667902280250102E-3</v>
      </c>
      <c r="AQ35" s="76">
        <f t="shared" si="15"/>
        <v>6.5483951385434637E-7</v>
      </c>
      <c r="AR35" s="76">
        <f t="shared" si="15"/>
        <v>1.4392705344680318E-4</v>
      </c>
      <c r="AS35" s="77">
        <f t="shared" si="10"/>
        <v>0.99999999999999989</v>
      </c>
      <c r="AX35" s="4"/>
      <c r="AZ35" s="2"/>
      <c r="BA35" s="2"/>
      <c r="BB35" s="2"/>
      <c r="BC35" s="2"/>
      <c r="BD35" s="2"/>
    </row>
    <row r="36" spans="1:56" hidden="1" x14ac:dyDescent="0.2">
      <c r="A36" s="4"/>
      <c r="B36">
        <v>68</v>
      </c>
      <c r="C36" s="76">
        <f>+C27/$AS$27</f>
        <v>3.8036851375059848E-2</v>
      </c>
      <c r="D36" s="76">
        <f t="shared" ref="D36:AR36" si="16">+D27/$AS$27</f>
        <v>1.9112400727678907E-4</v>
      </c>
      <c r="E36" s="76">
        <f t="shared" si="16"/>
        <v>1.3269314227026415E-7</v>
      </c>
      <c r="F36" s="76">
        <f t="shared" si="16"/>
        <v>9.4704296050114503E-4</v>
      </c>
      <c r="G36" s="76">
        <f t="shared" si="16"/>
        <v>0</v>
      </c>
      <c r="H36" s="76">
        <f t="shared" si="16"/>
        <v>0</v>
      </c>
      <c r="I36" s="76">
        <f t="shared" si="16"/>
        <v>5.4147168802376827E-2</v>
      </c>
      <c r="J36" s="76">
        <f t="shared" si="16"/>
        <v>4.395157769137973E-2</v>
      </c>
      <c r="K36" s="76">
        <f t="shared" si="16"/>
        <v>4.3972518094480845E-3</v>
      </c>
      <c r="L36" s="76">
        <f t="shared" si="16"/>
        <v>2.412435256598619E-5</v>
      </c>
      <c r="M36" s="76">
        <f t="shared" si="16"/>
        <v>7.0890161911199692E-2</v>
      </c>
      <c r="N36" s="76">
        <f t="shared" si="16"/>
        <v>6.9662277344831602E-2</v>
      </c>
      <c r="O36" s="76">
        <f t="shared" si="16"/>
        <v>0.1375440070727873</v>
      </c>
      <c r="P36" s="76">
        <f t="shared" si="16"/>
        <v>6.695649695466801E-3</v>
      </c>
      <c r="Q36" s="76">
        <f t="shared" si="16"/>
        <v>1.1382285127017612E-2</v>
      </c>
      <c r="R36" s="76">
        <f t="shared" si="16"/>
        <v>2.6476238325974458E-2</v>
      </c>
      <c r="S36" s="76">
        <f t="shared" si="16"/>
        <v>0.16442731430960747</v>
      </c>
      <c r="T36" s="76">
        <f t="shared" si="16"/>
        <v>6.0297146798249327E-3</v>
      </c>
      <c r="U36" s="76">
        <f t="shared" si="16"/>
        <v>4.8538595061107907E-4</v>
      </c>
      <c r="V36" s="76">
        <f t="shared" si="16"/>
        <v>0</v>
      </c>
      <c r="W36" s="76">
        <f t="shared" si="16"/>
        <v>0</v>
      </c>
      <c r="X36" s="76">
        <f t="shared" si="16"/>
        <v>0</v>
      </c>
      <c r="Y36" s="76">
        <f t="shared" si="16"/>
        <v>0</v>
      </c>
      <c r="Z36" s="76">
        <f t="shared" si="16"/>
        <v>0</v>
      </c>
      <c r="AA36" s="76">
        <f t="shared" si="16"/>
        <v>0</v>
      </c>
      <c r="AB36" s="76">
        <f t="shared" si="16"/>
        <v>0</v>
      </c>
      <c r="AC36" s="76">
        <f t="shared" si="16"/>
        <v>0</v>
      </c>
      <c r="AD36" s="76">
        <f t="shared" si="16"/>
        <v>0</v>
      </c>
      <c r="AE36" s="76">
        <f t="shared" si="16"/>
        <v>0</v>
      </c>
      <c r="AF36" s="76">
        <f t="shared" si="16"/>
        <v>0</v>
      </c>
      <c r="AG36" s="76">
        <f t="shared" si="16"/>
        <v>0.32534372207043238</v>
      </c>
      <c r="AH36" s="76">
        <f t="shared" si="16"/>
        <v>2.7299711083548762E-2</v>
      </c>
      <c r="AI36" s="76">
        <f t="shared" si="16"/>
        <v>6.8656818953190283E-3</v>
      </c>
      <c r="AJ36" s="76">
        <f t="shared" si="16"/>
        <v>1.5601531486933792E-4</v>
      </c>
      <c r="AK36" s="76">
        <f t="shared" si="16"/>
        <v>1.1056250226147308E-5</v>
      </c>
      <c r="AL36" s="76">
        <f t="shared" si="16"/>
        <v>1.192808456567363E-4</v>
      </c>
      <c r="AM36" s="76">
        <f t="shared" si="16"/>
        <v>1.063599938343392E-4</v>
      </c>
      <c r="AN36" s="76">
        <f t="shared" si="16"/>
        <v>1.2697713936836033E-3</v>
      </c>
      <c r="AO36" s="76">
        <f t="shared" si="16"/>
        <v>1.2872092237234888E-4</v>
      </c>
      <c r="AP36" s="76">
        <f t="shared" si="16"/>
        <v>3.2667902280250102E-3</v>
      </c>
      <c r="AQ36" s="76">
        <f t="shared" si="16"/>
        <v>6.5483951385434637E-7</v>
      </c>
      <c r="AR36" s="76">
        <f t="shared" si="16"/>
        <v>1.4392705344680318E-4</v>
      </c>
      <c r="AS36" s="77">
        <f t="shared" si="10"/>
        <v>0.99999999999999989</v>
      </c>
      <c r="AX36" s="4"/>
      <c r="AY36" s="2"/>
      <c r="BB36" s="3">
        <v>14652754016.942955</v>
      </c>
      <c r="BD36" s="103">
        <v>0.5664763516574346</v>
      </c>
    </row>
    <row r="37" spans="1:56" hidden="1" x14ac:dyDescent="0.2">
      <c r="A37" s="4"/>
      <c r="B37">
        <v>70</v>
      </c>
      <c r="C37" s="76">
        <f>+C27/$AS$27</f>
        <v>3.8036851375059848E-2</v>
      </c>
      <c r="D37" s="76">
        <f t="shared" ref="D37:AR37" si="17">+D27/$AS$27</f>
        <v>1.9112400727678907E-4</v>
      </c>
      <c r="E37" s="76">
        <f t="shared" si="17"/>
        <v>1.3269314227026415E-7</v>
      </c>
      <c r="F37" s="76">
        <f t="shared" si="17"/>
        <v>9.4704296050114503E-4</v>
      </c>
      <c r="G37" s="76">
        <f t="shared" si="17"/>
        <v>0</v>
      </c>
      <c r="H37" s="76">
        <f t="shared" si="17"/>
        <v>0</v>
      </c>
      <c r="I37" s="76">
        <f t="shared" si="17"/>
        <v>5.4147168802376827E-2</v>
      </c>
      <c r="J37" s="76">
        <f t="shared" si="17"/>
        <v>4.395157769137973E-2</v>
      </c>
      <c r="K37" s="76">
        <f t="shared" si="17"/>
        <v>4.3972518094480845E-3</v>
      </c>
      <c r="L37" s="76">
        <f t="shared" si="17"/>
        <v>2.412435256598619E-5</v>
      </c>
      <c r="M37" s="76">
        <f t="shared" si="17"/>
        <v>7.0890161911199692E-2</v>
      </c>
      <c r="N37" s="76">
        <f t="shared" si="17"/>
        <v>6.9662277344831602E-2</v>
      </c>
      <c r="O37" s="76">
        <f t="shared" si="17"/>
        <v>0.1375440070727873</v>
      </c>
      <c r="P37" s="76">
        <f t="shared" si="17"/>
        <v>6.695649695466801E-3</v>
      </c>
      <c r="Q37" s="76">
        <f t="shared" si="17"/>
        <v>1.1382285127017612E-2</v>
      </c>
      <c r="R37" s="76">
        <f t="shared" si="17"/>
        <v>2.6476238325974458E-2</v>
      </c>
      <c r="S37" s="76">
        <f t="shared" si="17"/>
        <v>0.16442731430960747</v>
      </c>
      <c r="T37" s="76">
        <f t="shared" si="17"/>
        <v>6.0297146798249327E-3</v>
      </c>
      <c r="U37" s="76">
        <f t="shared" si="17"/>
        <v>4.8538595061107907E-4</v>
      </c>
      <c r="V37" s="76">
        <f t="shared" si="17"/>
        <v>0</v>
      </c>
      <c r="W37" s="76">
        <f t="shared" si="17"/>
        <v>0</v>
      </c>
      <c r="X37" s="76">
        <f t="shared" si="17"/>
        <v>0</v>
      </c>
      <c r="Y37" s="76">
        <f t="shared" si="17"/>
        <v>0</v>
      </c>
      <c r="Z37" s="76">
        <f t="shared" si="17"/>
        <v>0</v>
      </c>
      <c r="AA37" s="76">
        <f t="shared" si="17"/>
        <v>0</v>
      </c>
      <c r="AB37" s="76">
        <f t="shared" si="17"/>
        <v>0</v>
      </c>
      <c r="AC37" s="76">
        <f t="shared" si="17"/>
        <v>0</v>
      </c>
      <c r="AD37" s="76">
        <f t="shared" si="17"/>
        <v>0</v>
      </c>
      <c r="AE37" s="76">
        <f t="shared" si="17"/>
        <v>0</v>
      </c>
      <c r="AF37" s="76">
        <f t="shared" si="17"/>
        <v>0</v>
      </c>
      <c r="AG37" s="76">
        <f t="shared" si="17"/>
        <v>0.32534372207043238</v>
      </c>
      <c r="AH37" s="76">
        <f t="shared" si="17"/>
        <v>2.7299711083548762E-2</v>
      </c>
      <c r="AI37" s="76">
        <f t="shared" si="17"/>
        <v>6.8656818953190283E-3</v>
      </c>
      <c r="AJ37" s="76">
        <f t="shared" si="17"/>
        <v>1.5601531486933792E-4</v>
      </c>
      <c r="AK37" s="76">
        <f t="shared" si="17"/>
        <v>1.1056250226147308E-5</v>
      </c>
      <c r="AL37" s="76">
        <f t="shared" si="17"/>
        <v>1.192808456567363E-4</v>
      </c>
      <c r="AM37" s="76">
        <f t="shared" si="17"/>
        <v>1.063599938343392E-4</v>
      </c>
      <c r="AN37" s="76">
        <f t="shared" si="17"/>
        <v>1.2697713936836033E-3</v>
      </c>
      <c r="AO37" s="76">
        <f t="shared" si="17"/>
        <v>1.2872092237234888E-4</v>
      </c>
      <c r="AP37" s="76">
        <f t="shared" si="17"/>
        <v>3.2667902280250102E-3</v>
      </c>
      <c r="AQ37" s="76">
        <f t="shared" si="17"/>
        <v>6.5483951385434637E-7</v>
      </c>
      <c r="AR37" s="76">
        <f t="shared" si="17"/>
        <v>1.4392705344680318E-4</v>
      </c>
      <c r="AS37" s="77">
        <f t="shared" si="10"/>
        <v>0.99999999999999989</v>
      </c>
    </row>
    <row r="38" spans="1:56" x14ac:dyDescent="0.2">
      <c r="A38" s="4"/>
      <c r="B38" s="2" t="s">
        <v>30</v>
      </c>
      <c r="C38" s="76">
        <f>C25/$AS$25</f>
        <v>3.4302753944476815E-2</v>
      </c>
      <c r="D38" s="76">
        <f t="shared" ref="D38:AR38" si="18">D25/$AS$25</f>
        <v>4.5784057382136737E-6</v>
      </c>
      <c r="E38" s="76">
        <f t="shared" si="18"/>
        <v>0</v>
      </c>
      <c r="F38" s="76">
        <f t="shared" si="18"/>
        <v>0</v>
      </c>
      <c r="G38" s="76">
        <f t="shared" si="18"/>
        <v>0</v>
      </c>
      <c r="H38" s="76">
        <f t="shared" si="18"/>
        <v>0</v>
      </c>
      <c r="I38" s="76">
        <f t="shared" si="18"/>
        <v>0</v>
      </c>
      <c r="J38" s="76">
        <f t="shared" si="18"/>
        <v>4.4913229526501425E-2</v>
      </c>
      <c r="K38" s="76">
        <f t="shared" si="18"/>
        <v>0</v>
      </c>
      <c r="L38" s="76">
        <f t="shared" si="18"/>
        <v>0</v>
      </c>
      <c r="M38" s="76">
        <f t="shared" si="18"/>
        <v>0</v>
      </c>
      <c r="N38" s="76">
        <f t="shared" si="18"/>
        <v>0.2034176773222599</v>
      </c>
      <c r="O38" s="76">
        <f t="shared" si="18"/>
        <v>0.14151575535518343</v>
      </c>
      <c r="P38" s="76">
        <f t="shared" si="18"/>
        <v>0</v>
      </c>
      <c r="Q38" s="76">
        <f t="shared" si="18"/>
        <v>0</v>
      </c>
      <c r="R38" s="76">
        <f t="shared" si="18"/>
        <v>3.2426598351268841E-2</v>
      </c>
      <c r="S38" s="76">
        <f t="shared" si="18"/>
        <v>0.44857701229845603</v>
      </c>
      <c r="T38" s="76">
        <f t="shared" si="18"/>
        <v>6.4727401105264745E-3</v>
      </c>
      <c r="U38" s="76">
        <f t="shared" si="18"/>
        <v>0</v>
      </c>
      <c r="V38" s="76">
        <f t="shared" si="18"/>
        <v>0</v>
      </c>
      <c r="W38" s="76">
        <f t="shared" si="18"/>
        <v>0</v>
      </c>
      <c r="X38" s="76">
        <f t="shared" si="18"/>
        <v>0</v>
      </c>
      <c r="Y38" s="76">
        <f t="shared" si="18"/>
        <v>0</v>
      </c>
      <c r="Z38" s="76">
        <f t="shared" si="18"/>
        <v>0</v>
      </c>
      <c r="AA38" s="76">
        <f t="shared" si="18"/>
        <v>0</v>
      </c>
      <c r="AB38" s="76">
        <f t="shared" si="18"/>
        <v>0</v>
      </c>
      <c r="AC38" s="76">
        <f t="shared" si="18"/>
        <v>0</v>
      </c>
      <c r="AD38" s="76">
        <f t="shared" si="18"/>
        <v>0</v>
      </c>
      <c r="AE38" s="76">
        <f t="shared" si="18"/>
        <v>0</v>
      </c>
      <c r="AF38" s="76">
        <f t="shared" si="18"/>
        <v>0</v>
      </c>
      <c r="AG38" s="76">
        <f t="shared" si="18"/>
        <v>0</v>
      </c>
      <c r="AH38" s="76">
        <f t="shared" si="18"/>
        <v>0</v>
      </c>
      <c r="AI38" s="76">
        <f t="shared" si="18"/>
        <v>8.2500960162476322E-2</v>
      </c>
      <c r="AJ38" s="76">
        <f t="shared" si="18"/>
        <v>0</v>
      </c>
      <c r="AK38" s="76">
        <f t="shared" si="18"/>
        <v>0</v>
      </c>
      <c r="AL38" s="76">
        <f t="shared" si="18"/>
        <v>8.3192369136359553E-4</v>
      </c>
      <c r="AM38" s="76">
        <f t="shared" si="18"/>
        <v>0</v>
      </c>
      <c r="AN38" s="76">
        <f t="shared" si="18"/>
        <v>0</v>
      </c>
      <c r="AO38" s="76">
        <f t="shared" si="18"/>
        <v>0</v>
      </c>
      <c r="AP38" s="76">
        <f t="shared" si="18"/>
        <v>4.919703516774409E-3</v>
      </c>
      <c r="AQ38" s="76">
        <f t="shared" si="18"/>
        <v>0</v>
      </c>
      <c r="AR38" s="76">
        <f t="shared" si="18"/>
        <v>1.1706731497455674E-4</v>
      </c>
      <c r="AS38" s="77">
        <f t="shared" si="10"/>
        <v>1</v>
      </c>
    </row>
    <row r="39" spans="1:56" hidden="1" x14ac:dyDescent="0.2">
      <c r="A39" s="4"/>
      <c r="B39" s="2" t="s">
        <v>193</v>
      </c>
      <c r="C39" s="76">
        <f>+C27/$AS$27</f>
        <v>3.8036851375059848E-2</v>
      </c>
      <c r="D39" s="76">
        <f t="shared" ref="D39:AR39" si="19">+D27/$AS$27</f>
        <v>1.9112400727678907E-4</v>
      </c>
      <c r="E39" s="76">
        <f t="shared" si="19"/>
        <v>1.3269314227026415E-7</v>
      </c>
      <c r="F39" s="76">
        <f t="shared" si="19"/>
        <v>9.4704296050114503E-4</v>
      </c>
      <c r="G39" s="76">
        <f t="shared" si="19"/>
        <v>0</v>
      </c>
      <c r="H39" s="76">
        <f t="shared" si="19"/>
        <v>0</v>
      </c>
      <c r="I39" s="76">
        <f t="shared" si="19"/>
        <v>5.4147168802376827E-2</v>
      </c>
      <c r="J39" s="76">
        <f t="shared" si="19"/>
        <v>4.395157769137973E-2</v>
      </c>
      <c r="K39" s="76">
        <f t="shared" si="19"/>
        <v>4.3972518094480845E-3</v>
      </c>
      <c r="L39" s="76">
        <f t="shared" si="19"/>
        <v>2.412435256598619E-5</v>
      </c>
      <c r="M39" s="76">
        <f t="shared" si="19"/>
        <v>7.0890161911199692E-2</v>
      </c>
      <c r="N39" s="76">
        <f t="shared" si="19"/>
        <v>6.9662277344831602E-2</v>
      </c>
      <c r="O39" s="76">
        <f t="shared" si="19"/>
        <v>0.1375440070727873</v>
      </c>
      <c r="P39" s="76">
        <f t="shared" si="19"/>
        <v>6.695649695466801E-3</v>
      </c>
      <c r="Q39" s="76">
        <f t="shared" si="19"/>
        <v>1.1382285127017612E-2</v>
      </c>
      <c r="R39" s="76">
        <f t="shared" si="19"/>
        <v>2.6476238325974458E-2</v>
      </c>
      <c r="S39" s="76">
        <f t="shared" si="19"/>
        <v>0.16442731430960747</v>
      </c>
      <c r="T39" s="76">
        <f t="shared" si="19"/>
        <v>6.0297146798249327E-3</v>
      </c>
      <c r="U39" s="76">
        <f t="shared" si="19"/>
        <v>4.8538595061107907E-4</v>
      </c>
      <c r="V39" s="76">
        <f t="shared" si="19"/>
        <v>0</v>
      </c>
      <c r="W39" s="76">
        <f t="shared" si="19"/>
        <v>0</v>
      </c>
      <c r="X39" s="76">
        <f t="shared" si="19"/>
        <v>0</v>
      </c>
      <c r="Y39" s="76">
        <f t="shared" si="19"/>
        <v>0</v>
      </c>
      <c r="Z39" s="76">
        <f t="shared" si="19"/>
        <v>0</v>
      </c>
      <c r="AA39" s="76">
        <f t="shared" si="19"/>
        <v>0</v>
      </c>
      <c r="AB39" s="76">
        <f t="shared" si="19"/>
        <v>0</v>
      </c>
      <c r="AC39" s="76">
        <f t="shared" si="19"/>
        <v>0</v>
      </c>
      <c r="AD39" s="76">
        <f t="shared" si="19"/>
        <v>0</v>
      </c>
      <c r="AE39" s="76">
        <f t="shared" si="19"/>
        <v>0</v>
      </c>
      <c r="AF39" s="76">
        <f t="shared" si="19"/>
        <v>0</v>
      </c>
      <c r="AG39" s="76">
        <f t="shared" si="19"/>
        <v>0.32534372207043238</v>
      </c>
      <c r="AH39" s="76">
        <f t="shared" si="19"/>
        <v>2.7299711083548762E-2</v>
      </c>
      <c r="AI39" s="76">
        <f t="shared" si="19"/>
        <v>6.8656818953190283E-3</v>
      </c>
      <c r="AJ39" s="76">
        <f t="shared" si="19"/>
        <v>1.5601531486933792E-4</v>
      </c>
      <c r="AK39" s="76">
        <f t="shared" si="19"/>
        <v>1.1056250226147308E-5</v>
      </c>
      <c r="AL39" s="76">
        <f t="shared" si="19"/>
        <v>1.192808456567363E-4</v>
      </c>
      <c r="AM39" s="76">
        <f t="shared" si="19"/>
        <v>1.063599938343392E-4</v>
      </c>
      <c r="AN39" s="76">
        <f t="shared" si="19"/>
        <v>1.2697713936836033E-3</v>
      </c>
      <c r="AO39" s="76">
        <f t="shared" si="19"/>
        <v>1.2872092237234888E-4</v>
      </c>
      <c r="AP39" s="76">
        <f t="shared" si="19"/>
        <v>3.2667902280250102E-3</v>
      </c>
      <c r="AQ39" s="76">
        <f t="shared" si="19"/>
        <v>6.5483951385434637E-7</v>
      </c>
      <c r="AR39" s="76">
        <f t="shared" si="19"/>
        <v>1.4392705344680318E-4</v>
      </c>
      <c r="AS39" s="77">
        <f t="shared" si="10"/>
        <v>0.99999999999999989</v>
      </c>
    </row>
    <row r="40" spans="1:56" x14ac:dyDescent="0.2">
      <c r="A40" s="4"/>
      <c r="B40" s="2" t="s">
        <v>31</v>
      </c>
      <c r="C40" s="76">
        <f t="shared" ref="C40:AR40" si="20">C26/$AS$26</f>
        <v>0</v>
      </c>
      <c r="D40" s="76">
        <f t="shared" si="20"/>
        <v>0</v>
      </c>
      <c r="E40" s="76">
        <f t="shared" si="20"/>
        <v>0</v>
      </c>
      <c r="F40" s="76">
        <f t="shared" si="20"/>
        <v>0</v>
      </c>
      <c r="G40" s="76">
        <f t="shared" si="20"/>
        <v>0</v>
      </c>
      <c r="H40" s="76">
        <f t="shared" si="20"/>
        <v>0</v>
      </c>
      <c r="I40" s="76">
        <f t="shared" si="20"/>
        <v>0</v>
      </c>
      <c r="J40" s="76">
        <f t="shared" si="20"/>
        <v>0</v>
      </c>
      <c r="K40" s="76">
        <f t="shared" si="20"/>
        <v>0</v>
      </c>
      <c r="L40" s="76">
        <f t="shared" si="20"/>
        <v>0</v>
      </c>
      <c r="M40" s="76">
        <f t="shared" si="20"/>
        <v>0</v>
      </c>
      <c r="N40" s="76">
        <f t="shared" si="20"/>
        <v>0</v>
      </c>
      <c r="O40" s="76">
        <f t="shared" si="20"/>
        <v>0</v>
      </c>
      <c r="P40" s="76">
        <f t="shared" si="20"/>
        <v>0</v>
      </c>
      <c r="Q40" s="76">
        <f t="shared" si="20"/>
        <v>0</v>
      </c>
      <c r="R40" s="76">
        <f t="shared" si="20"/>
        <v>0</v>
      </c>
      <c r="S40" s="76">
        <f t="shared" si="20"/>
        <v>0</v>
      </c>
      <c r="T40" s="76">
        <f t="shared" si="20"/>
        <v>0</v>
      </c>
      <c r="U40" s="76">
        <f t="shared" si="20"/>
        <v>0</v>
      </c>
      <c r="V40" s="76">
        <f t="shared" si="20"/>
        <v>0</v>
      </c>
      <c r="W40" s="76">
        <f t="shared" si="20"/>
        <v>0</v>
      </c>
      <c r="X40" s="76">
        <f t="shared" si="20"/>
        <v>0</v>
      </c>
      <c r="Y40" s="76">
        <f t="shared" si="20"/>
        <v>0</v>
      </c>
      <c r="Z40" s="76">
        <f t="shared" si="20"/>
        <v>0</v>
      </c>
      <c r="AA40" s="76">
        <f t="shared" si="20"/>
        <v>0</v>
      </c>
      <c r="AB40" s="76">
        <f t="shared" si="20"/>
        <v>0</v>
      </c>
      <c r="AC40" s="76">
        <f t="shared" si="20"/>
        <v>0</v>
      </c>
      <c r="AD40" s="76">
        <f t="shared" si="20"/>
        <v>0</v>
      </c>
      <c r="AE40" s="76">
        <f t="shared" si="20"/>
        <v>0</v>
      </c>
      <c r="AF40" s="76">
        <f t="shared" si="20"/>
        <v>0</v>
      </c>
      <c r="AG40" s="76">
        <f t="shared" si="20"/>
        <v>0</v>
      </c>
      <c r="AH40" s="76">
        <f t="shared" si="20"/>
        <v>0</v>
      </c>
      <c r="AI40" s="76">
        <f t="shared" si="20"/>
        <v>0</v>
      </c>
      <c r="AJ40" s="76">
        <f t="shared" si="20"/>
        <v>3.2427811604399961E-2</v>
      </c>
      <c r="AK40" s="76">
        <f t="shared" si="20"/>
        <v>2.2980436227358612E-3</v>
      </c>
      <c r="AL40" s="76">
        <f t="shared" si="20"/>
        <v>1.3259752970655939E-2</v>
      </c>
      <c r="AM40" s="76">
        <f t="shared" si="20"/>
        <v>2.2106944085544627E-2</v>
      </c>
      <c r="AN40" s="76">
        <f t="shared" si="20"/>
        <v>0.26392221538964228</v>
      </c>
      <c r="AO40" s="76">
        <f t="shared" si="20"/>
        <v>2.6754667153868462E-2</v>
      </c>
      <c r="AP40" s="76">
        <f t="shared" si="20"/>
        <v>0.61080207327680669</v>
      </c>
      <c r="AQ40" s="76">
        <f t="shared" si="20"/>
        <v>1.3610851219426646E-4</v>
      </c>
      <c r="AR40" s="76">
        <f t="shared" si="20"/>
        <v>2.8292383384151923E-2</v>
      </c>
      <c r="AS40" s="77">
        <f t="shared" si="10"/>
        <v>1</v>
      </c>
    </row>
    <row r="41" spans="1:56" x14ac:dyDescent="0.2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56" x14ac:dyDescent="0.2">
      <c r="A42" s="4"/>
      <c r="B42" s="2"/>
      <c r="C42" s="7" t="s">
        <v>169</v>
      </c>
      <c r="D42" s="7" t="s">
        <v>34</v>
      </c>
      <c r="E42" s="7" t="s">
        <v>36</v>
      </c>
      <c r="F42" s="7" t="s">
        <v>39</v>
      </c>
      <c r="G42" s="7" t="s">
        <v>41</v>
      </c>
      <c r="H42" s="7" t="s">
        <v>170</v>
      </c>
      <c r="I42" s="7" t="s">
        <v>171</v>
      </c>
      <c r="J42" s="7" t="s">
        <v>172</v>
      </c>
      <c r="K42" s="7" t="s">
        <v>59</v>
      </c>
      <c r="L42" s="7" t="str">
        <f>+L29</f>
        <v>HSN3</v>
      </c>
      <c r="M42" s="7" t="s">
        <v>173</v>
      </c>
      <c r="N42" s="7" t="s">
        <v>54</v>
      </c>
      <c r="O42" s="7" t="s">
        <v>174</v>
      </c>
      <c r="P42" s="7" t="s">
        <v>175</v>
      </c>
      <c r="Q42" s="7" t="s">
        <v>35</v>
      </c>
      <c r="R42" s="7" t="s">
        <v>176</v>
      </c>
      <c r="S42" s="7" t="s">
        <v>177</v>
      </c>
      <c r="T42" s="7" t="s">
        <v>42</v>
      </c>
      <c r="U42" s="7" t="s">
        <v>50</v>
      </c>
      <c r="V42" s="2"/>
      <c r="W42" s="2" t="s">
        <v>180</v>
      </c>
      <c r="X42" s="2"/>
      <c r="Y42" s="7" t="s">
        <v>182</v>
      </c>
      <c r="Z42" s="7" t="s">
        <v>183</v>
      </c>
      <c r="AA42" s="7" t="s">
        <v>184</v>
      </c>
      <c r="AB42" s="7" t="s">
        <v>185</v>
      </c>
      <c r="AC42" s="7" t="s">
        <v>186</v>
      </c>
      <c r="AD42" s="7" t="s">
        <v>187</v>
      </c>
      <c r="AE42" s="7" t="s">
        <v>188</v>
      </c>
      <c r="AF42" s="7" t="s">
        <v>189</v>
      </c>
      <c r="AG42" s="2" t="s">
        <v>190</v>
      </c>
      <c r="AH42" s="2" t="s">
        <v>28</v>
      </c>
      <c r="AI42" s="10" t="s">
        <v>191</v>
      </c>
      <c r="AJ42" s="10" t="s">
        <v>65</v>
      </c>
      <c r="AK42" s="12" t="str">
        <f t="shared" ref="AK42:AR42" si="21">+AK29</f>
        <v>FS</v>
      </c>
      <c r="AL42" s="12" t="str">
        <f t="shared" si="21"/>
        <v>MOLS</v>
      </c>
      <c r="AM42" s="12" t="str">
        <f t="shared" si="21"/>
        <v>MS</v>
      </c>
      <c r="AN42" s="12" t="str">
        <f t="shared" si="21"/>
        <v>SL</v>
      </c>
      <c r="AO42" s="12" t="str">
        <f t="shared" si="21"/>
        <v>TS</v>
      </c>
      <c r="AP42" s="12" t="str">
        <f t="shared" si="21"/>
        <v>UOLS</v>
      </c>
      <c r="AQ42" s="12" t="str">
        <f t="shared" si="21"/>
        <v>WHTL</v>
      </c>
      <c r="AR42" s="12" t="str">
        <f t="shared" si="21"/>
        <v>XLED</v>
      </c>
    </row>
    <row r="43" spans="1:56" x14ac:dyDescent="0.2">
      <c r="A43" s="78">
        <v>1176869000</v>
      </c>
      <c r="B43" s="2" t="s">
        <v>25</v>
      </c>
      <c r="C43" s="79">
        <f t="shared" ref="C43:AF43" si="22">ROUND($A43*C30,2)</f>
        <v>0</v>
      </c>
      <c r="D43" s="79">
        <f t="shared" si="22"/>
        <v>0</v>
      </c>
      <c r="E43" s="79">
        <f t="shared" si="22"/>
        <v>0</v>
      </c>
      <c r="F43" s="79">
        <f t="shared" si="22"/>
        <v>0</v>
      </c>
      <c r="G43" s="79">
        <f t="shared" si="22"/>
        <v>0</v>
      </c>
      <c r="H43" s="79">
        <f t="shared" si="22"/>
        <v>0</v>
      </c>
      <c r="I43" s="79">
        <f t="shared" si="22"/>
        <v>0</v>
      </c>
      <c r="J43" s="79">
        <f t="shared" si="22"/>
        <v>0</v>
      </c>
      <c r="K43" s="79">
        <f t="shared" si="22"/>
        <v>0</v>
      </c>
      <c r="L43" s="79">
        <f t="shared" si="22"/>
        <v>0</v>
      </c>
      <c r="M43" s="79">
        <f t="shared" si="22"/>
        <v>0</v>
      </c>
      <c r="N43" s="84">
        <f t="shared" si="22"/>
        <v>0</v>
      </c>
      <c r="O43" s="84">
        <f t="shared" si="22"/>
        <v>0</v>
      </c>
      <c r="P43" s="84">
        <f t="shared" si="22"/>
        <v>0</v>
      </c>
      <c r="Q43" s="84">
        <f t="shared" si="22"/>
        <v>0</v>
      </c>
      <c r="R43" s="84">
        <f t="shared" si="22"/>
        <v>0</v>
      </c>
      <c r="S43" s="79">
        <f t="shared" si="22"/>
        <v>0</v>
      </c>
      <c r="T43" s="84">
        <f t="shared" si="22"/>
        <v>0</v>
      </c>
      <c r="U43" s="84">
        <f t="shared" si="22"/>
        <v>0</v>
      </c>
      <c r="V43" s="79">
        <f t="shared" si="22"/>
        <v>0</v>
      </c>
      <c r="W43" s="79">
        <f t="shared" si="22"/>
        <v>0</v>
      </c>
      <c r="X43" s="79">
        <f t="shared" si="22"/>
        <v>0</v>
      </c>
      <c r="Y43" s="84">
        <f t="shared" si="22"/>
        <v>0</v>
      </c>
      <c r="Z43" s="84">
        <f t="shared" si="22"/>
        <v>0</v>
      </c>
      <c r="AA43" s="84">
        <f t="shared" si="22"/>
        <v>0</v>
      </c>
      <c r="AB43" s="84">
        <f t="shared" si="22"/>
        <v>0</v>
      </c>
      <c r="AC43" s="84">
        <f t="shared" si="22"/>
        <v>0</v>
      </c>
      <c r="AD43" s="84">
        <f t="shared" si="22"/>
        <v>0</v>
      </c>
      <c r="AE43" s="84">
        <f t="shared" si="22"/>
        <v>0</v>
      </c>
      <c r="AF43" s="84">
        <f t="shared" si="22"/>
        <v>0</v>
      </c>
      <c r="AG43" s="80">
        <f>A43-SUM(C43:AF43)-SUM(AH43:AR43)</f>
        <v>1085762288.0599999</v>
      </c>
      <c r="AH43" s="79">
        <f t="shared" ref="AH43:AR43" si="23">ROUND($A43*AH30,2)</f>
        <v>91106711.939999998</v>
      </c>
      <c r="AI43" s="79">
        <f t="shared" si="23"/>
        <v>0</v>
      </c>
      <c r="AJ43" s="79">
        <f t="shared" si="23"/>
        <v>0</v>
      </c>
      <c r="AK43" s="79">
        <f t="shared" si="23"/>
        <v>0</v>
      </c>
      <c r="AL43" s="79">
        <f t="shared" si="23"/>
        <v>0</v>
      </c>
      <c r="AM43" s="79">
        <f t="shared" si="23"/>
        <v>0</v>
      </c>
      <c r="AN43" s="79">
        <f t="shared" si="23"/>
        <v>0</v>
      </c>
      <c r="AO43" s="79">
        <f t="shared" si="23"/>
        <v>0</v>
      </c>
      <c r="AP43" s="79">
        <f t="shared" si="23"/>
        <v>0</v>
      </c>
      <c r="AQ43" s="79">
        <f t="shared" si="23"/>
        <v>0</v>
      </c>
      <c r="AR43" s="80">
        <f t="shared" si="23"/>
        <v>0</v>
      </c>
      <c r="AS43" s="79">
        <f t="shared" ref="AS43:AS54" si="24">SUM(C43:AR43)</f>
        <v>1176869000</v>
      </c>
      <c r="AU43" s="78">
        <f t="shared" ref="AU43:AU54" si="25">A43</f>
        <v>1176869000</v>
      </c>
      <c r="AV43" s="78"/>
    </row>
    <row r="44" spans="1:56" x14ac:dyDescent="0.2">
      <c r="A44" s="78">
        <v>596867000</v>
      </c>
      <c r="B44" s="2" t="s">
        <v>27</v>
      </c>
      <c r="C44" s="80">
        <f>A44-SUM(D44:AR44)</f>
        <v>94794201.469999909</v>
      </c>
      <c r="D44" s="79">
        <f t="shared" ref="D44:AG44" si="26">ROUND($A44*D31,2)</f>
        <v>506147.37</v>
      </c>
      <c r="E44" s="79">
        <f t="shared" si="26"/>
        <v>354.61</v>
      </c>
      <c r="F44" s="79">
        <f t="shared" si="26"/>
        <v>2530869.16</v>
      </c>
      <c r="G44" s="79">
        <f t="shared" si="26"/>
        <v>0</v>
      </c>
      <c r="H44" s="79">
        <f t="shared" si="26"/>
        <v>0</v>
      </c>
      <c r="I44" s="79">
        <f t="shared" si="26"/>
        <v>0</v>
      </c>
      <c r="J44" s="79">
        <f t="shared" si="26"/>
        <v>20965.560000000001</v>
      </c>
      <c r="K44" s="79">
        <f t="shared" si="26"/>
        <v>0</v>
      </c>
      <c r="L44" s="79">
        <f t="shared" si="26"/>
        <v>64469.7</v>
      </c>
      <c r="M44" s="79">
        <f t="shared" si="26"/>
        <v>920178.45</v>
      </c>
      <c r="N44" s="84">
        <f t="shared" si="26"/>
        <v>32795655.399999999</v>
      </c>
      <c r="O44" s="84">
        <f t="shared" si="26"/>
        <v>189277797.83000001</v>
      </c>
      <c r="P44" s="84">
        <f t="shared" si="26"/>
        <v>943978.02</v>
      </c>
      <c r="Q44" s="84">
        <f t="shared" si="26"/>
        <v>2682412.4300000002</v>
      </c>
      <c r="R44" s="84">
        <f t="shared" si="26"/>
        <v>4687094.99</v>
      </c>
      <c r="S44" s="79">
        <f t="shared" si="26"/>
        <v>250519492.06</v>
      </c>
      <c r="T44" s="84">
        <f t="shared" si="26"/>
        <v>14960066.68</v>
      </c>
      <c r="U44" s="84">
        <f t="shared" si="26"/>
        <v>713636.42</v>
      </c>
      <c r="V44" s="79">
        <f t="shared" si="26"/>
        <v>0</v>
      </c>
      <c r="W44" s="79">
        <f t="shared" si="26"/>
        <v>0</v>
      </c>
      <c r="X44" s="79">
        <f t="shared" si="26"/>
        <v>0</v>
      </c>
      <c r="Y44" s="84">
        <f t="shared" si="26"/>
        <v>0</v>
      </c>
      <c r="Z44" s="84">
        <f t="shared" si="26"/>
        <v>0</v>
      </c>
      <c r="AA44" s="84">
        <f t="shared" si="26"/>
        <v>0</v>
      </c>
      <c r="AB44" s="84">
        <f t="shared" si="26"/>
        <v>0</v>
      </c>
      <c r="AC44" s="84">
        <f t="shared" si="26"/>
        <v>0</v>
      </c>
      <c r="AD44" s="84">
        <f t="shared" si="26"/>
        <v>0</v>
      </c>
      <c r="AE44" s="84">
        <f t="shared" si="26"/>
        <v>0</v>
      </c>
      <c r="AF44" s="84">
        <f t="shared" si="26"/>
        <v>0</v>
      </c>
      <c r="AG44" s="79">
        <f t="shared" si="26"/>
        <v>0</v>
      </c>
      <c r="AH44" s="79">
        <f t="shared" ref="AH44:AR44" si="27">ROUND($A44*AH31,2)</f>
        <v>0</v>
      </c>
      <c r="AI44" s="79">
        <f t="shared" si="27"/>
        <v>1449679.85</v>
      </c>
      <c r="AJ44" s="79">
        <f t="shared" si="27"/>
        <v>0</v>
      </c>
      <c r="AK44" s="79">
        <f t="shared" si="27"/>
        <v>0</v>
      </c>
      <c r="AL44" s="79">
        <f t="shared" si="27"/>
        <v>0</v>
      </c>
      <c r="AM44" s="79">
        <f t="shared" si="27"/>
        <v>0</v>
      </c>
      <c r="AN44" s="79">
        <f t="shared" si="27"/>
        <v>0</v>
      </c>
      <c r="AO44" s="79">
        <f t="shared" si="27"/>
        <v>0</v>
      </c>
      <c r="AP44" s="79">
        <f t="shared" si="27"/>
        <v>0</v>
      </c>
      <c r="AQ44" s="79">
        <f t="shared" si="27"/>
        <v>0</v>
      </c>
      <c r="AR44" s="79">
        <f t="shared" si="27"/>
        <v>0</v>
      </c>
      <c r="AS44" s="79">
        <f t="shared" si="24"/>
        <v>596866999.99999988</v>
      </c>
      <c r="AU44" s="78">
        <f t="shared" si="25"/>
        <v>596867000</v>
      </c>
      <c r="AV44" s="78"/>
    </row>
    <row r="45" spans="1:56" x14ac:dyDescent="0.2">
      <c r="A45" s="78">
        <v>730216000</v>
      </c>
      <c r="B45" s="2" t="s">
        <v>47</v>
      </c>
      <c r="C45" s="79">
        <f t="shared" ref="C45:M45" si="28">ROUND($A45*C32,2)</f>
        <v>574452.67000000004</v>
      </c>
      <c r="D45" s="79">
        <f t="shared" si="28"/>
        <v>2941.45</v>
      </c>
      <c r="E45" s="79">
        <f t="shared" si="28"/>
        <v>0</v>
      </c>
      <c r="F45" s="79">
        <f t="shared" si="28"/>
        <v>0</v>
      </c>
      <c r="G45" s="79">
        <f t="shared" si="28"/>
        <v>0</v>
      </c>
      <c r="H45" s="79">
        <f t="shared" si="28"/>
        <v>0</v>
      </c>
      <c r="I45" s="79">
        <f t="shared" si="28"/>
        <v>112166593.54000001</v>
      </c>
      <c r="J45" s="79">
        <f t="shared" si="28"/>
        <v>84824738.989999995</v>
      </c>
      <c r="K45" s="79">
        <f t="shared" si="28"/>
        <v>9108966.6799999997</v>
      </c>
      <c r="L45" s="79">
        <f t="shared" si="28"/>
        <v>0</v>
      </c>
      <c r="M45" s="79">
        <f t="shared" si="28"/>
        <v>146136650.90000001</v>
      </c>
      <c r="N45" s="84">
        <f t="shared" ref="N45:AG45" si="29">ROUND($A45*N32,2)</f>
        <v>90780104.400000006</v>
      </c>
      <c r="O45" s="84">
        <f t="shared" si="29"/>
        <v>118652820.31</v>
      </c>
      <c r="P45" s="84">
        <f t="shared" si="29"/>
        <v>13138401.07</v>
      </c>
      <c r="Q45" s="84">
        <f t="shared" si="29"/>
        <v>21499276.170000002</v>
      </c>
      <c r="R45" s="84">
        <f t="shared" si="29"/>
        <v>46732546.729999997</v>
      </c>
      <c r="S45" s="79">
        <f t="shared" si="29"/>
        <v>84446063.769999996</v>
      </c>
      <c r="T45" s="84">
        <f t="shared" si="29"/>
        <v>0</v>
      </c>
      <c r="U45" s="84">
        <f t="shared" si="29"/>
        <v>452305.74</v>
      </c>
      <c r="V45" s="79">
        <f t="shared" si="29"/>
        <v>0</v>
      </c>
      <c r="W45" s="79">
        <f t="shared" si="29"/>
        <v>0</v>
      </c>
      <c r="X45" s="79">
        <f t="shared" si="29"/>
        <v>0</v>
      </c>
      <c r="Y45" s="84">
        <f t="shared" si="29"/>
        <v>0</v>
      </c>
      <c r="Z45" s="84">
        <f t="shared" si="29"/>
        <v>0</v>
      </c>
      <c r="AA45" s="84">
        <f t="shared" si="29"/>
        <v>0</v>
      </c>
      <c r="AB45" s="84">
        <f t="shared" si="29"/>
        <v>0</v>
      </c>
      <c r="AC45" s="84">
        <f t="shared" si="29"/>
        <v>0</v>
      </c>
      <c r="AD45" s="84">
        <f t="shared" si="29"/>
        <v>0</v>
      </c>
      <c r="AE45" s="84">
        <f t="shared" si="29"/>
        <v>0</v>
      </c>
      <c r="AF45" s="84">
        <f t="shared" si="29"/>
        <v>0</v>
      </c>
      <c r="AG45" s="79">
        <f t="shared" si="29"/>
        <v>0</v>
      </c>
      <c r="AH45" s="79">
        <f t="shared" ref="AH45:AR45" si="30">ROUND($A45*AH32,2)</f>
        <v>0</v>
      </c>
      <c r="AI45" s="79">
        <f t="shared" si="30"/>
        <v>1700137.58</v>
      </c>
      <c r="AJ45" s="79">
        <f t="shared" si="30"/>
        <v>0</v>
      </c>
      <c r="AK45" s="79">
        <f t="shared" si="30"/>
        <v>0</v>
      </c>
      <c r="AL45" s="79">
        <f t="shared" si="30"/>
        <v>0</v>
      </c>
      <c r="AM45" s="79">
        <f t="shared" si="30"/>
        <v>0</v>
      </c>
      <c r="AN45" s="79">
        <f t="shared" si="30"/>
        <v>0</v>
      </c>
      <c r="AO45" s="79">
        <f t="shared" si="30"/>
        <v>0</v>
      </c>
      <c r="AP45" s="79">
        <f t="shared" si="30"/>
        <v>0</v>
      </c>
      <c r="AQ45" s="79">
        <f t="shared" si="30"/>
        <v>0</v>
      </c>
      <c r="AR45" s="79">
        <f t="shared" si="30"/>
        <v>0</v>
      </c>
      <c r="AS45" s="79">
        <f t="shared" si="24"/>
        <v>730216000.00000012</v>
      </c>
      <c r="AU45" s="78">
        <f t="shared" si="25"/>
        <v>730216000</v>
      </c>
      <c r="AV45" s="78"/>
    </row>
    <row r="46" spans="1:56" hidden="1" x14ac:dyDescent="0.2">
      <c r="A46" s="83">
        <v>206126000</v>
      </c>
      <c r="B46">
        <v>60</v>
      </c>
      <c r="C46" s="79">
        <f t="shared" ref="C46:L46" si="31">ROUND($A46*C33,2)</f>
        <v>7840384.0300000003</v>
      </c>
      <c r="D46" s="79">
        <f t="shared" si="31"/>
        <v>39395.629999999997</v>
      </c>
      <c r="E46" s="79">
        <f t="shared" si="31"/>
        <v>27.35</v>
      </c>
      <c r="F46" s="79">
        <f t="shared" si="31"/>
        <v>195210.18</v>
      </c>
      <c r="G46" s="79">
        <f t="shared" si="31"/>
        <v>0</v>
      </c>
      <c r="H46" s="79">
        <f t="shared" si="31"/>
        <v>0</v>
      </c>
      <c r="I46" s="79">
        <f t="shared" si="31"/>
        <v>11161139.32</v>
      </c>
      <c r="J46" s="79">
        <f t="shared" si="31"/>
        <v>9059562.9000000004</v>
      </c>
      <c r="K46" s="79">
        <f t="shared" si="31"/>
        <v>906387.93</v>
      </c>
      <c r="L46" s="79">
        <f t="shared" si="31"/>
        <v>4972.66</v>
      </c>
      <c r="M46" s="80">
        <f t="shared" ref="M46:M50" si="32">A46-SUM(C46:L46)-SUM(N46:AR46)</f>
        <v>14612305.5</v>
      </c>
      <c r="N46" s="84">
        <f t="shared" ref="N46:AR46" si="33">ROUND($A46*N33,2)</f>
        <v>14359206.58</v>
      </c>
      <c r="O46" s="84">
        <f t="shared" si="33"/>
        <v>28351396</v>
      </c>
      <c r="P46" s="84">
        <f t="shared" si="33"/>
        <v>1380147.49</v>
      </c>
      <c r="Q46" s="84">
        <f t="shared" si="33"/>
        <v>2346184.9</v>
      </c>
      <c r="R46" s="84">
        <f t="shared" si="33"/>
        <v>5457441.0999999996</v>
      </c>
      <c r="S46" s="79">
        <f t="shared" si="33"/>
        <v>33892744.590000004</v>
      </c>
      <c r="T46" s="84">
        <f t="shared" si="33"/>
        <v>1242880.97</v>
      </c>
      <c r="U46" s="84">
        <f t="shared" si="33"/>
        <v>100050.66</v>
      </c>
      <c r="V46" s="79">
        <f t="shared" si="33"/>
        <v>0</v>
      </c>
      <c r="W46" s="79">
        <f t="shared" si="33"/>
        <v>0</v>
      </c>
      <c r="X46" s="79">
        <f t="shared" si="33"/>
        <v>0</v>
      </c>
      <c r="Y46" s="84">
        <f t="shared" si="33"/>
        <v>0</v>
      </c>
      <c r="Z46" s="84">
        <f t="shared" si="33"/>
        <v>0</v>
      </c>
      <c r="AA46" s="84">
        <f t="shared" si="33"/>
        <v>0</v>
      </c>
      <c r="AB46" s="84">
        <f t="shared" si="33"/>
        <v>0</v>
      </c>
      <c r="AC46" s="84">
        <f t="shared" si="33"/>
        <v>0</v>
      </c>
      <c r="AD46" s="84">
        <f t="shared" si="33"/>
        <v>0</v>
      </c>
      <c r="AE46" s="84">
        <f t="shared" si="33"/>
        <v>0</v>
      </c>
      <c r="AF46" s="84">
        <f t="shared" si="33"/>
        <v>0</v>
      </c>
      <c r="AG46" s="79">
        <f t="shared" si="33"/>
        <v>67061800.060000002</v>
      </c>
      <c r="AH46" s="79">
        <f t="shared" si="33"/>
        <v>5627180.25</v>
      </c>
      <c r="AI46" s="79">
        <f t="shared" si="33"/>
        <v>1415195.55</v>
      </c>
      <c r="AJ46" s="79">
        <f t="shared" si="33"/>
        <v>32158.81</v>
      </c>
      <c r="AK46" s="79">
        <f t="shared" si="33"/>
        <v>2278.98</v>
      </c>
      <c r="AL46" s="79">
        <f t="shared" si="33"/>
        <v>24586.880000000001</v>
      </c>
      <c r="AM46" s="79">
        <f t="shared" si="33"/>
        <v>21923.56</v>
      </c>
      <c r="AN46" s="79">
        <f t="shared" si="33"/>
        <v>261732.9</v>
      </c>
      <c r="AO46" s="79">
        <f t="shared" si="33"/>
        <v>26532.73</v>
      </c>
      <c r="AP46" s="79">
        <f t="shared" si="33"/>
        <v>673370.4</v>
      </c>
      <c r="AQ46" s="79">
        <f t="shared" si="33"/>
        <v>134.97999999999999</v>
      </c>
      <c r="AR46" s="79">
        <f t="shared" si="33"/>
        <v>29667.11</v>
      </c>
      <c r="AS46" s="79">
        <f t="shared" si="24"/>
        <v>206126000</v>
      </c>
      <c r="AU46" s="78">
        <f t="shared" si="25"/>
        <v>206126000</v>
      </c>
      <c r="AV46" s="78"/>
    </row>
    <row r="47" spans="1:56" hidden="1" x14ac:dyDescent="0.2">
      <c r="A47" s="83">
        <v>52616000</v>
      </c>
      <c r="B47">
        <v>62</v>
      </c>
      <c r="C47" s="79">
        <f t="shared" ref="C47:L47" si="34">ROUND($A47*C34,2)</f>
        <v>2001346.97</v>
      </c>
      <c r="D47" s="79">
        <f t="shared" si="34"/>
        <v>10056.18</v>
      </c>
      <c r="E47" s="79">
        <f t="shared" si="34"/>
        <v>6.98</v>
      </c>
      <c r="F47" s="79">
        <f t="shared" si="34"/>
        <v>49829.61</v>
      </c>
      <c r="G47" s="79">
        <f t="shared" si="34"/>
        <v>0</v>
      </c>
      <c r="H47" s="79">
        <f t="shared" si="34"/>
        <v>0</v>
      </c>
      <c r="I47" s="79">
        <f t="shared" si="34"/>
        <v>2849007.43</v>
      </c>
      <c r="J47" s="79">
        <f t="shared" si="34"/>
        <v>2312556.21</v>
      </c>
      <c r="K47" s="79">
        <f t="shared" si="34"/>
        <v>231365.8</v>
      </c>
      <c r="L47" s="79">
        <f t="shared" si="34"/>
        <v>1269.33</v>
      </c>
      <c r="M47" s="80">
        <f t="shared" si="32"/>
        <v>3729956.7599999979</v>
      </c>
      <c r="N47" s="84">
        <f t="shared" ref="N47:AR47" si="35">ROUND($A47*N34,2)</f>
        <v>3665350.38</v>
      </c>
      <c r="O47" s="84">
        <f t="shared" si="35"/>
        <v>7237015.4800000004</v>
      </c>
      <c r="P47" s="84">
        <f t="shared" si="35"/>
        <v>352298.3</v>
      </c>
      <c r="Q47" s="84">
        <f t="shared" si="35"/>
        <v>598890.31000000006</v>
      </c>
      <c r="R47" s="84">
        <f t="shared" si="35"/>
        <v>1393073.76</v>
      </c>
      <c r="S47" s="79">
        <f t="shared" si="35"/>
        <v>8651507.5700000003</v>
      </c>
      <c r="T47" s="84">
        <f t="shared" si="35"/>
        <v>317259.46999999997</v>
      </c>
      <c r="U47" s="84">
        <f t="shared" si="35"/>
        <v>25539.07</v>
      </c>
      <c r="V47" s="79">
        <f t="shared" si="35"/>
        <v>0</v>
      </c>
      <c r="W47" s="79">
        <f t="shared" si="35"/>
        <v>0</v>
      </c>
      <c r="X47" s="79">
        <f t="shared" si="35"/>
        <v>0</v>
      </c>
      <c r="Y47" s="84">
        <f t="shared" si="35"/>
        <v>0</v>
      </c>
      <c r="Z47" s="84">
        <f t="shared" si="35"/>
        <v>0</v>
      </c>
      <c r="AA47" s="84">
        <f t="shared" si="35"/>
        <v>0</v>
      </c>
      <c r="AB47" s="84">
        <f t="shared" si="35"/>
        <v>0</v>
      </c>
      <c r="AC47" s="84">
        <f t="shared" si="35"/>
        <v>0</v>
      </c>
      <c r="AD47" s="84">
        <f t="shared" si="35"/>
        <v>0</v>
      </c>
      <c r="AE47" s="84">
        <f t="shared" si="35"/>
        <v>0</v>
      </c>
      <c r="AF47" s="84">
        <f t="shared" si="35"/>
        <v>0</v>
      </c>
      <c r="AG47" s="79">
        <f t="shared" si="35"/>
        <v>17118285.280000001</v>
      </c>
      <c r="AH47" s="79">
        <f t="shared" si="35"/>
        <v>1436401.6</v>
      </c>
      <c r="AI47" s="79">
        <f t="shared" si="35"/>
        <v>361244.72</v>
      </c>
      <c r="AJ47" s="79">
        <f t="shared" si="35"/>
        <v>8208.9</v>
      </c>
      <c r="AK47" s="79">
        <f t="shared" si="35"/>
        <v>581.74</v>
      </c>
      <c r="AL47" s="79">
        <f t="shared" si="35"/>
        <v>6276.08</v>
      </c>
      <c r="AM47" s="79">
        <f t="shared" si="35"/>
        <v>5596.24</v>
      </c>
      <c r="AN47" s="79">
        <f t="shared" si="35"/>
        <v>66810.289999999994</v>
      </c>
      <c r="AO47" s="79">
        <f t="shared" si="35"/>
        <v>6772.78</v>
      </c>
      <c r="AP47" s="79">
        <f t="shared" si="35"/>
        <v>171885.43</v>
      </c>
      <c r="AQ47" s="79">
        <f t="shared" si="35"/>
        <v>34.46</v>
      </c>
      <c r="AR47" s="79">
        <f t="shared" si="35"/>
        <v>7572.87</v>
      </c>
      <c r="AS47" s="79">
        <f t="shared" si="24"/>
        <v>52616000</v>
      </c>
      <c r="AU47" s="78">
        <f t="shared" si="25"/>
        <v>52616000</v>
      </c>
      <c r="AV47" s="78"/>
      <c r="AW47" s="78">
        <f>+AU43+AU44+AU45+AU51+AU53</f>
        <v>2684012000</v>
      </c>
    </row>
    <row r="48" spans="1:56" hidden="1" x14ac:dyDescent="0.2">
      <c r="A48" s="83">
        <v>71191000</v>
      </c>
      <c r="B48">
        <v>66</v>
      </c>
      <c r="C48" s="79">
        <f t="shared" ref="C48:L48" si="36">ROUND($A48*C35,2)</f>
        <v>2707881.49</v>
      </c>
      <c r="D48" s="79">
        <f t="shared" si="36"/>
        <v>13606.31</v>
      </c>
      <c r="E48" s="79">
        <f t="shared" si="36"/>
        <v>9.4499999999999993</v>
      </c>
      <c r="F48" s="79">
        <f t="shared" si="36"/>
        <v>67420.94</v>
      </c>
      <c r="G48" s="79">
        <f t="shared" si="36"/>
        <v>0</v>
      </c>
      <c r="H48" s="79">
        <f t="shared" si="36"/>
        <v>0</v>
      </c>
      <c r="I48" s="79">
        <f t="shared" si="36"/>
        <v>3854791.09</v>
      </c>
      <c r="J48" s="79">
        <f t="shared" si="36"/>
        <v>3128956.77</v>
      </c>
      <c r="K48" s="79">
        <f t="shared" si="36"/>
        <v>313044.75</v>
      </c>
      <c r="L48" s="79">
        <f t="shared" si="36"/>
        <v>1717.44</v>
      </c>
      <c r="M48" s="80">
        <f t="shared" si="32"/>
        <v>5046741.5</v>
      </c>
      <c r="N48" s="84">
        <f t="shared" ref="N48:AR48" si="37">ROUND($A48*N35,2)</f>
        <v>4959327.1900000004</v>
      </c>
      <c r="O48" s="84">
        <f t="shared" si="37"/>
        <v>9791895.4100000001</v>
      </c>
      <c r="P48" s="84">
        <f t="shared" si="37"/>
        <v>476670</v>
      </c>
      <c r="Q48" s="84">
        <f t="shared" si="37"/>
        <v>810316.26</v>
      </c>
      <c r="R48" s="84">
        <f t="shared" si="37"/>
        <v>1884869.88</v>
      </c>
      <c r="S48" s="79">
        <f t="shared" si="37"/>
        <v>11705744.93</v>
      </c>
      <c r="T48" s="84">
        <f t="shared" si="37"/>
        <v>429261.42</v>
      </c>
      <c r="U48" s="84">
        <f t="shared" si="37"/>
        <v>34555.11</v>
      </c>
      <c r="V48" s="79">
        <f t="shared" si="37"/>
        <v>0</v>
      </c>
      <c r="W48" s="79">
        <f t="shared" si="37"/>
        <v>0</v>
      </c>
      <c r="X48" s="79">
        <f t="shared" si="37"/>
        <v>0</v>
      </c>
      <c r="Y48" s="84">
        <f t="shared" si="37"/>
        <v>0</v>
      </c>
      <c r="Z48" s="84">
        <f t="shared" si="37"/>
        <v>0</v>
      </c>
      <c r="AA48" s="84">
        <f t="shared" si="37"/>
        <v>0</v>
      </c>
      <c r="AB48" s="84">
        <f t="shared" si="37"/>
        <v>0</v>
      </c>
      <c r="AC48" s="84">
        <f t="shared" si="37"/>
        <v>0</v>
      </c>
      <c r="AD48" s="84">
        <f t="shared" si="37"/>
        <v>0</v>
      </c>
      <c r="AE48" s="84">
        <f t="shared" si="37"/>
        <v>0</v>
      </c>
      <c r="AF48" s="84">
        <f t="shared" si="37"/>
        <v>0</v>
      </c>
      <c r="AG48" s="79">
        <f t="shared" si="37"/>
        <v>23161544.920000002</v>
      </c>
      <c r="AH48" s="79">
        <f t="shared" si="37"/>
        <v>1943493.73</v>
      </c>
      <c r="AI48" s="79">
        <f t="shared" si="37"/>
        <v>488774.76</v>
      </c>
      <c r="AJ48" s="79">
        <f t="shared" si="37"/>
        <v>11106.89</v>
      </c>
      <c r="AK48" s="79">
        <f t="shared" si="37"/>
        <v>787.11</v>
      </c>
      <c r="AL48" s="79">
        <f t="shared" si="37"/>
        <v>8491.7199999999993</v>
      </c>
      <c r="AM48" s="79">
        <f t="shared" si="37"/>
        <v>7571.87</v>
      </c>
      <c r="AN48" s="79">
        <f t="shared" si="37"/>
        <v>90396.3</v>
      </c>
      <c r="AO48" s="79">
        <f t="shared" si="37"/>
        <v>9163.77</v>
      </c>
      <c r="AP48" s="79">
        <f t="shared" si="37"/>
        <v>232566.06</v>
      </c>
      <c r="AQ48" s="79">
        <f t="shared" si="37"/>
        <v>46.62</v>
      </c>
      <c r="AR48" s="79">
        <f t="shared" si="37"/>
        <v>10246.31</v>
      </c>
      <c r="AS48" s="79">
        <f t="shared" si="24"/>
        <v>71191000.000000015</v>
      </c>
      <c r="AU48" s="78">
        <f t="shared" si="25"/>
        <v>71191000</v>
      </c>
      <c r="AV48" s="78"/>
    </row>
    <row r="49" spans="1:48" hidden="1" x14ac:dyDescent="0.2">
      <c r="A49" s="83">
        <v>16531000</v>
      </c>
      <c r="B49">
        <v>68</v>
      </c>
      <c r="C49" s="79">
        <f t="shared" ref="C49:L49" si="38">ROUND($A49*C36,2)</f>
        <v>628787.18999999994</v>
      </c>
      <c r="D49" s="79">
        <f t="shared" si="38"/>
        <v>3159.47</v>
      </c>
      <c r="E49" s="79">
        <f t="shared" si="38"/>
        <v>2.19</v>
      </c>
      <c r="F49" s="79">
        <f t="shared" si="38"/>
        <v>15655.57</v>
      </c>
      <c r="G49" s="79">
        <f t="shared" si="38"/>
        <v>0</v>
      </c>
      <c r="H49" s="79">
        <f t="shared" si="38"/>
        <v>0</v>
      </c>
      <c r="I49" s="79">
        <f t="shared" si="38"/>
        <v>895106.85</v>
      </c>
      <c r="J49" s="79">
        <f t="shared" si="38"/>
        <v>726563.53</v>
      </c>
      <c r="K49" s="79">
        <f t="shared" si="38"/>
        <v>72690.97</v>
      </c>
      <c r="L49" s="79">
        <f t="shared" si="38"/>
        <v>398.8</v>
      </c>
      <c r="M49" s="80">
        <f t="shared" si="32"/>
        <v>1171885.2400000002</v>
      </c>
      <c r="N49" s="84">
        <f t="shared" ref="N49:AR49" si="39">ROUND($A49*N36,2)</f>
        <v>1151587.1100000001</v>
      </c>
      <c r="O49" s="84">
        <f t="shared" si="39"/>
        <v>2273739.98</v>
      </c>
      <c r="P49" s="84">
        <f t="shared" si="39"/>
        <v>110685.79</v>
      </c>
      <c r="Q49" s="84">
        <f t="shared" si="39"/>
        <v>188160.56</v>
      </c>
      <c r="R49" s="84">
        <f t="shared" si="39"/>
        <v>437678.7</v>
      </c>
      <c r="S49" s="79">
        <f t="shared" si="39"/>
        <v>2718147.93</v>
      </c>
      <c r="T49" s="84">
        <f t="shared" si="39"/>
        <v>99677.21</v>
      </c>
      <c r="U49" s="84">
        <f t="shared" si="39"/>
        <v>8023.92</v>
      </c>
      <c r="V49" s="79">
        <f t="shared" si="39"/>
        <v>0</v>
      </c>
      <c r="W49" s="79">
        <f t="shared" si="39"/>
        <v>0</v>
      </c>
      <c r="X49" s="79">
        <f t="shared" si="39"/>
        <v>0</v>
      </c>
      <c r="Y49" s="84">
        <f t="shared" si="39"/>
        <v>0</v>
      </c>
      <c r="Z49" s="84">
        <f t="shared" si="39"/>
        <v>0</v>
      </c>
      <c r="AA49" s="84">
        <f t="shared" si="39"/>
        <v>0</v>
      </c>
      <c r="AB49" s="84">
        <f t="shared" si="39"/>
        <v>0</v>
      </c>
      <c r="AC49" s="84">
        <f t="shared" si="39"/>
        <v>0</v>
      </c>
      <c r="AD49" s="84">
        <f t="shared" si="39"/>
        <v>0</v>
      </c>
      <c r="AE49" s="84">
        <f t="shared" si="39"/>
        <v>0</v>
      </c>
      <c r="AF49" s="84">
        <f t="shared" si="39"/>
        <v>0</v>
      </c>
      <c r="AG49" s="79">
        <f t="shared" si="39"/>
        <v>5378257.0700000003</v>
      </c>
      <c r="AH49" s="79">
        <f t="shared" si="39"/>
        <v>451291.52</v>
      </c>
      <c r="AI49" s="79">
        <f t="shared" si="39"/>
        <v>113496.59</v>
      </c>
      <c r="AJ49" s="79">
        <f t="shared" si="39"/>
        <v>2579.09</v>
      </c>
      <c r="AK49" s="79">
        <f t="shared" si="39"/>
        <v>182.77</v>
      </c>
      <c r="AL49" s="79">
        <f t="shared" si="39"/>
        <v>1971.83</v>
      </c>
      <c r="AM49" s="79">
        <f t="shared" si="39"/>
        <v>1758.24</v>
      </c>
      <c r="AN49" s="79">
        <f t="shared" si="39"/>
        <v>20990.59</v>
      </c>
      <c r="AO49" s="79">
        <f t="shared" si="39"/>
        <v>2127.89</v>
      </c>
      <c r="AP49" s="79">
        <f t="shared" si="39"/>
        <v>54003.31</v>
      </c>
      <c r="AQ49" s="79">
        <f t="shared" si="39"/>
        <v>10.83</v>
      </c>
      <c r="AR49" s="79">
        <f t="shared" si="39"/>
        <v>2379.2600000000002</v>
      </c>
      <c r="AS49" s="79">
        <f t="shared" si="24"/>
        <v>16531000.000000002</v>
      </c>
      <c r="AU49" s="78">
        <f t="shared" si="25"/>
        <v>16531000</v>
      </c>
      <c r="AV49" s="78"/>
    </row>
    <row r="50" spans="1:48" hidden="1" x14ac:dyDescent="0.2">
      <c r="A50" s="83">
        <v>5865000</v>
      </c>
      <c r="B50">
        <v>70</v>
      </c>
      <c r="C50" s="79">
        <f t="shared" ref="C50:L50" si="40">ROUND($A50*C37,2)</f>
        <v>223086.13</v>
      </c>
      <c r="D50" s="79">
        <f t="shared" si="40"/>
        <v>1120.94</v>
      </c>
      <c r="E50" s="79">
        <f t="shared" si="40"/>
        <v>0.78</v>
      </c>
      <c r="F50" s="79">
        <f t="shared" si="40"/>
        <v>5554.41</v>
      </c>
      <c r="G50" s="79">
        <f t="shared" si="40"/>
        <v>0</v>
      </c>
      <c r="H50" s="79">
        <f t="shared" si="40"/>
        <v>0</v>
      </c>
      <c r="I50" s="79">
        <f t="shared" si="40"/>
        <v>317573.15000000002</v>
      </c>
      <c r="J50" s="79">
        <f t="shared" si="40"/>
        <v>257776</v>
      </c>
      <c r="K50" s="79">
        <f t="shared" si="40"/>
        <v>25789.88</v>
      </c>
      <c r="L50" s="79">
        <f t="shared" si="40"/>
        <v>141.49</v>
      </c>
      <c r="M50" s="80">
        <f t="shared" si="32"/>
        <v>415770.80000000075</v>
      </c>
      <c r="N50" s="84">
        <f t="shared" ref="N50:AR50" si="41">ROUND($A50*N37,2)</f>
        <v>408569.26</v>
      </c>
      <c r="O50" s="84">
        <f t="shared" si="41"/>
        <v>806695.6</v>
      </c>
      <c r="P50" s="84">
        <f t="shared" si="41"/>
        <v>39269.99</v>
      </c>
      <c r="Q50" s="84">
        <f t="shared" si="41"/>
        <v>66757.100000000006</v>
      </c>
      <c r="R50" s="84">
        <f t="shared" si="41"/>
        <v>155283.14000000001</v>
      </c>
      <c r="S50" s="79">
        <f t="shared" si="41"/>
        <v>964366.2</v>
      </c>
      <c r="T50" s="84">
        <f t="shared" si="41"/>
        <v>35364.28</v>
      </c>
      <c r="U50" s="84">
        <f t="shared" si="41"/>
        <v>2846.79</v>
      </c>
      <c r="V50" s="79">
        <f t="shared" si="41"/>
        <v>0</v>
      </c>
      <c r="W50" s="79">
        <f t="shared" si="41"/>
        <v>0</v>
      </c>
      <c r="X50" s="79">
        <f t="shared" si="41"/>
        <v>0</v>
      </c>
      <c r="Y50" s="84">
        <f t="shared" si="41"/>
        <v>0</v>
      </c>
      <c r="Z50" s="84">
        <v>0</v>
      </c>
      <c r="AA50" s="84">
        <v>0</v>
      </c>
      <c r="AB50" s="84">
        <v>0</v>
      </c>
      <c r="AC50" s="84">
        <f t="shared" si="41"/>
        <v>0</v>
      </c>
      <c r="AD50" s="84">
        <f t="shared" si="41"/>
        <v>0</v>
      </c>
      <c r="AE50" s="84">
        <f t="shared" si="41"/>
        <v>0</v>
      </c>
      <c r="AF50" s="84">
        <f t="shared" si="41"/>
        <v>0</v>
      </c>
      <c r="AG50" s="79">
        <f t="shared" si="41"/>
        <v>1908140.93</v>
      </c>
      <c r="AH50" s="79">
        <f t="shared" si="41"/>
        <v>160112.81</v>
      </c>
      <c r="AI50" s="79">
        <f t="shared" si="41"/>
        <v>40267.22</v>
      </c>
      <c r="AJ50" s="79">
        <f t="shared" si="41"/>
        <v>915.03</v>
      </c>
      <c r="AK50" s="79">
        <f t="shared" si="41"/>
        <v>64.84</v>
      </c>
      <c r="AL50" s="79">
        <f t="shared" si="41"/>
        <v>699.58</v>
      </c>
      <c r="AM50" s="79">
        <f t="shared" si="41"/>
        <v>623.79999999999995</v>
      </c>
      <c r="AN50" s="79">
        <f t="shared" si="41"/>
        <v>7447.21</v>
      </c>
      <c r="AO50" s="79">
        <f t="shared" si="41"/>
        <v>754.95</v>
      </c>
      <c r="AP50" s="79">
        <f t="shared" si="41"/>
        <v>19159.72</v>
      </c>
      <c r="AQ50" s="79">
        <f t="shared" si="41"/>
        <v>3.84</v>
      </c>
      <c r="AR50" s="79">
        <f t="shared" si="41"/>
        <v>844.13</v>
      </c>
      <c r="AS50" s="79">
        <f t="shared" si="24"/>
        <v>5865000</v>
      </c>
      <c r="AU50" s="78">
        <f t="shared" si="25"/>
        <v>5865000</v>
      </c>
      <c r="AV50" s="78"/>
    </row>
    <row r="51" spans="1:48" x14ac:dyDescent="0.2">
      <c r="A51" s="78">
        <v>161959000</v>
      </c>
      <c r="B51" s="2" t="s">
        <v>30</v>
      </c>
      <c r="C51" s="79">
        <f t="shared" ref="C51:R51" si="42">ROUND($A51*C38,2)</f>
        <v>5555639.7300000004</v>
      </c>
      <c r="D51" s="79">
        <f t="shared" si="42"/>
        <v>741.51</v>
      </c>
      <c r="E51" s="79">
        <f t="shared" si="42"/>
        <v>0</v>
      </c>
      <c r="F51" s="79">
        <f t="shared" si="42"/>
        <v>0</v>
      </c>
      <c r="G51" s="79">
        <f t="shared" si="42"/>
        <v>0</v>
      </c>
      <c r="H51" s="79">
        <f t="shared" si="42"/>
        <v>0</v>
      </c>
      <c r="I51" s="79">
        <f t="shared" si="42"/>
        <v>0</v>
      </c>
      <c r="J51" s="79">
        <f t="shared" si="42"/>
        <v>7274101.7400000002</v>
      </c>
      <c r="K51" s="79">
        <f t="shared" si="42"/>
        <v>0</v>
      </c>
      <c r="L51" s="79">
        <f t="shared" si="42"/>
        <v>0</v>
      </c>
      <c r="M51" s="79">
        <f t="shared" si="42"/>
        <v>0</v>
      </c>
      <c r="N51" s="84">
        <f t="shared" si="42"/>
        <v>32945323.600000001</v>
      </c>
      <c r="O51" s="84">
        <f t="shared" si="42"/>
        <v>22919750.219999999</v>
      </c>
      <c r="P51" s="84">
        <f t="shared" si="42"/>
        <v>0</v>
      </c>
      <c r="Q51" s="84">
        <f t="shared" si="42"/>
        <v>0</v>
      </c>
      <c r="R51" s="84">
        <f t="shared" si="42"/>
        <v>5251779.4400000004</v>
      </c>
      <c r="S51" s="80">
        <f>A51-SUM(C51:R51)-SUM(T51:AR51)</f>
        <v>72651084.330000013</v>
      </c>
      <c r="T51" s="84">
        <f t="shared" ref="T51:AR51" si="43">ROUND($A51*T38,2)</f>
        <v>1048318.52</v>
      </c>
      <c r="U51" s="84">
        <f t="shared" si="43"/>
        <v>0</v>
      </c>
      <c r="V51" s="79">
        <f t="shared" si="43"/>
        <v>0</v>
      </c>
      <c r="W51" s="79">
        <f t="shared" si="43"/>
        <v>0</v>
      </c>
      <c r="X51" s="79">
        <f t="shared" si="43"/>
        <v>0</v>
      </c>
      <c r="Y51" s="84">
        <f t="shared" si="43"/>
        <v>0</v>
      </c>
      <c r="Z51" s="84">
        <f t="shared" si="43"/>
        <v>0</v>
      </c>
      <c r="AA51" s="84">
        <f t="shared" si="43"/>
        <v>0</v>
      </c>
      <c r="AB51" s="84">
        <f t="shared" si="43"/>
        <v>0</v>
      </c>
      <c r="AC51" s="84">
        <f t="shared" si="43"/>
        <v>0</v>
      </c>
      <c r="AD51" s="84">
        <f t="shared" si="43"/>
        <v>0</v>
      </c>
      <c r="AE51" s="84">
        <f t="shared" si="43"/>
        <v>0</v>
      </c>
      <c r="AF51" s="84">
        <f t="shared" si="43"/>
        <v>0</v>
      </c>
      <c r="AG51" s="79">
        <f t="shared" si="43"/>
        <v>0</v>
      </c>
      <c r="AH51" s="79">
        <f t="shared" si="43"/>
        <v>0</v>
      </c>
      <c r="AI51" s="79">
        <f t="shared" si="43"/>
        <v>13361773.01</v>
      </c>
      <c r="AJ51" s="79">
        <f t="shared" si="43"/>
        <v>0</v>
      </c>
      <c r="AK51" s="79">
        <f t="shared" si="43"/>
        <v>0</v>
      </c>
      <c r="AL51" s="79">
        <f t="shared" si="43"/>
        <v>134737.53</v>
      </c>
      <c r="AM51" s="79">
        <f t="shared" si="43"/>
        <v>0</v>
      </c>
      <c r="AN51" s="79">
        <f t="shared" si="43"/>
        <v>0</v>
      </c>
      <c r="AO51" s="79">
        <f t="shared" si="43"/>
        <v>0</v>
      </c>
      <c r="AP51" s="79">
        <f t="shared" si="43"/>
        <v>796790.26</v>
      </c>
      <c r="AQ51" s="79">
        <f t="shared" si="43"/>
        <v>0</v>
      </c>
      <c r="AR51" s="79">
        <f t="shared" si="43"/>
        <v>18960.11</v>
      </c>
      <c r="AS51" s="79">
        <f t="shared" si="24"/>
        <v>161959000</v>
      </c>
      <c r="AU51" s="78">
        <f t="shared" si="25"/>
        <v>161959000</v>
      </c>
      <c r="AV51" s="78"/>
    </row>
    <row r="52" spans="1:48" hidden="1" x14ac:dyDescent="0.2">
      <c r="A52" s="78">
        <f>2687000-119609000+81470000+6471000+5151000+56000</f>
        <v>-23774000</v>
      </c>
      <c r="B52" s="2" t="s">
        <v>194</v>
      </c>
      <c r="C52" s="79">
        <f t="shared" ref="C52:R52" si="44">ROUND($A52*C$39,2)</f>
        <v>-904288.1</v>
      </c>
      <c r="D52" s="79">
        <f t="shared" si="44"/>
        <v>-4543.78</v>
      </c>
      <c r="E52" s="79">
        <f t="shared" si="44"/>
        <v>-3.15</v>
      </c>
      <c r="F52" s="79">
        <f t="shared" si="44"/>
        <v>-22515</v>
      </c>
      <c r="G52" s="79">
        <f t="shared" si="44"/>
        <v>0</v>
      </c>
      <c r="H52" s="79">
        <f t="shared" si="44"/>
        <v>0</v>
      </c>
      <c r="I52" s="79">
        <f t="shared" si="44"/>
        <v>-1287294.79</v>
      </c>
      <c r="J52" s="79">
        <f t="shared" si="44"/>
        <v>-1044904.81</v>
      </c>
      <c r="K52" s="79">
        <f t="shared" si="44"/>
        <v>-104540.26</v>
      </c>
      <c r="L52" s="79">
        <f t="shared" si="44"/>
        <v>-573.53</v>
      </c>
      <c r="M52" s="79">
        <f t="shared" si="44"/>
        <v>-1685342.71</v>
      </c>
      <c r="N52" s="84">
        <f t="shared" si="44"/>
        <v>-1656150.98</v>
      </c>
      <c r="O52" s="84">
        <f t="shared" si="44"/>
        <v>-3269971.22</v>
      </c>
      <c r="P52" s="84">
        <f t="shared" si="44"/>
        <v>-159182.38</v>
      </c>
      <c r="Q52" s="84">
        <f t="shared" si="44"/>
        <v>-270602.45</v>
      </c>
      <c r="R52" s="84">
        <f t="shared" si="44"/>
        <v>-629446.09</v>
      </c>
      <c r="S52" s="80">
        <f>A52-SUM(C52:R52)-SUM(T52:AR52)</f>
        <v>-3909094.9799999986</v>
      </c>
      <c r="T52" s="84">
        <f t="shared" ref="T52:AR52" si="45">ROUND($A52*T$39,2)</f>
        <v>-143350.44</v>
      </c>
      <c r="U52" s="84">
        <f t="shared" si="45"/>
        <v>-11539.57</v>
      </c>
      <c r="V52" s="79">
        <f t="shared" si="45"/>
        <v>0</v>
      </c>
      <c r="W52" s="79">
        <f t="shared" si="45"/>
        <v>0</v>
      </c>
      <c r="X52" s="79">
        <f t="shared" si="45"/>
        <v>0</v>
      </c>
      <c r="Y52" s="84">
        <f t="shared" si="45"/>
        <v>0</v>
      </c>
      <c r="Z52" s="84">
        <f t="shared" si="45"/>
        <v>0</v>
      </c>
      <c r="AA52" s="84">
        <f t="shared" si="45"/>
        <v>0</v>
      </c>
      <c r="AB52" s="84">
        <f t="shared" si="45"/>
        <v>0</v>
      </c>
      <c r="AC52" s="84">
        <f t="shared" si="45"/>
        <v>0</v>
      </c>
      <c r="AD52" s="84">
        <f t="shared" si="45"/>
        <v>0</v>
      </c>
      <c r="AE52" s="84">
        <f t="shared" si="45"/>
        <v>0</v>
      </c>
      <c r="AF52" s="84">
        <f t="shared" si="45"/>
        <v>0</v>
      </c>
      <c r="AG52" s="79">
        <f t="shared" si="45"/>
        <v>-7734721.6500000004</v>
      </c>
      <c r="AH52" s="79">
        <f t="shared" si="45"/>
        <v>-649023.32999999996</v>
      </c>
      <c r="AI52" s="79">
        <f t="shared" si="45"/>
        <v>-163224.72</v>
      </c>
      <c r="AJ52" s="79">
        <f t="shared" si="45"/>
        <v>-3709.11</v>
      </c>
      <c r="AK52" s="79">
        <f t="shared" si="45"/>
        <v>-262.85000000000002</v>
      </c>
      <c r="AL52" s="79">
        <f t="shared" si="45"/>
        <v>-2835.78</v>
      </c>
      <c r="AM52" s="79">
        <f t="shared" si="45"/>
        <v>-2528.6</v>
      </c>
      <c r="AN52" s="79">
        <f t="shared" si="45"/>
        <v>-30187.55</v>
      </c>
      <c r="AO52" s="79">
        <f t="shared" si="45"/>
        <v>-3060.21</v>
      </c>
      <c r="AP52" s="79">
        <f t="shared" si="45"/>
        <v>-77664.67</v>
      </c>
      <c r="AQ52" s="79">
        <f t="shared" si="45"/>
        <v>-15.57</v>
      </c>
      <c r="AR52" s="79">
        <f t="shared" si="45"/>
        <v>-3421.72</v>
      </c>
      <c r="AS52" s="79">
        <f t="shared" si="24"/>
        <v>-23774000.000000004</v>
      </c>
      <c r="AU52" s="78">
        <f t="shared" si="25"/>
        <v>-23774000</v>
      </c>
      <c r="AV52" s="78"/>
    </row>
    <row r="53" spans="1:48" x14ac:dyDescent="0.2">
      <c r="A53" s="78">
        <v>18101000</v>
      </c>
      <c r="B53" s="2" t="s">
        <v>31</v>
      </c>
      <c r="C53" s="79">
        <f t="shared" ref="C53:X53" si="46">ROUND($A53*C40,2)</f>
        <v>0</v>
      </c>
      <c r="D53" s="79">
        <f t="shared" si="46"/>
        <v>0</v>
      </c>
      <c r="E53" s="79">
        <f t="shared" si="46"/>
        <v>0</v>
      </c>
      <c r="F53" s="79">
        <f t="shared" si="46"/>
        <v>0</v>
      </c>
      <c r="G53" s="79">
        <f t="shared" si="46"/>
        <v>0</v>
      </c>
      <c r="H53" s="79">
        <f t="shared" si="46"/>
        <v>0</v>
      </c>
      <c r="I53" s="79">
        <f t="shared" si="46"/>
        <v>0</v>
      </c>
      <c r="J53" s="79">
        <f t="shared" si="46"/>
        <v>0</v>
      </c>
      <c r="K53" s="79">
        <f t="shared" si="46"/>
        <v>0</v>
      </c>
      <c r="L53" s="79">
        <f t="shared" si="46"/>
        <v>0</v>
      </c>
      <c r="M53" s="79">
        <f t="shared" si="46"/>
        <v>0</v>
      </c>
      <c r="N53" s="84">
        <f t="shared" si="46"/>
        <v>0</v>
      </c>
      <c r="O53" s="84">
        <f t="shared" si="46"/>
        <v>0</v>
      </c>
      <c r="P53" s="84">
        <f t="shared" si="46"/>
        <v>0</v>
      </c>
      <c r="Q53" s="84">
        <f t="shared" si="46"/>
        <v>0</v>
      </c>
      <c r="R53" s="84">
        <f t="shared" si="46"/>
        <v>0</v>
      </c>
      <c r="S53" s="79">
        <f t="shared" si="46"/>
        <v>0</v>
      </c>
      <c r="T53" s="84">
        <f t="shared" si="46"/>
        <v>0</v>
      </c>
      <c r="U53" s="84">
        <f t="shared" si="46"/>
        <v>0</v>
      </c>
      <c r="V53" s="79">
        <f t="shared" si="46"/>
        <v>0</v>
      </c>
      <c r="W53" s="79">
        <f t="shared" si="46"/>
        <v>0</v>
      </c>
      <c r="X53" s="79">
        <f t="shared" si="46"/>
        <v>0</v>
      </c>
      <c r="Y53" s="84">
        <f t="shared" ref="Y53:AP53" si="47">ROUND($A53*Y40,2)</f>
        <v>0</v>
      </c>
      <c r="Z53" s="84">
        <f t="shared" si="47"/>
        <v>0</v>
      </c>
      <c r="AA53" s="84">
        <f t="shared" si="47"/>
        <v>0</v>
      </c>
      <c r="AB53" s="84">
        <f t="shared" si="47"/>
        <v>0</v>
      </c>
      <c r="AC53" s="84">
        <f t="shared" si="47"/>
        <v>0</v>
      </c>
      <c r="AD53" s="84">
        <f t="shared" si="47"/>
        <v>0</v>
      </c>
      <c r="AE53" s="84">
        <f t="shared" si="47"/>
        <v>0</v>
      </c>
      <c r="AF53" s="84">
        <f t="shared" si="47"/>
        <v>0</v>
      </c>
      <c r="AG53" s="79">
        <f t="shared" si="47"/>
        <v>0</v>
      </c>
      <c r="AH53" s="79">
        <f t="shared" si="47"/>
        <v>0</v>
      </c>
      <c r="AI53" s="79">
        <f t="shared" si="47"/>
        <v>0</v>
      </c>
      <c r="AJ53" s="79">
        <f t="shared" si="47"/>
        <v>586975.81999999995</v>
      </c>
      <c r="AK53" s="79">
        <f t="shared" si="47"/>
        <v>41596.89</v>
      </c>
      <c r="AL53" s="79">
        <f t="shared" si="47"/>
        <v>240014.79</v>
      </c>
      <c r="AM53" s="79">
        <f t="shared" si="47"/>
        <v>400157.79</v>
      </c>
      <c r="AN53" s="79">
        <f t="shared" si="47"/>
        <v>4777256.0199999996</v>
      </c>
      <c r="AO53" s="79">
        <f t="shared" si="47"/>
        <v>484286.23</v>
      </c>
      <c r="AP53" s="79">
        <f t="shared" si="47"/>
        <v>11056128.33</v>
      </c>
      <c r="AQ53" s="80">
        <f>A53-SUM(C53:AP53)-SUM(AR53:AR53)</f>
        <v>2463.7000000026892</v>
      </c>
      <c r="AR53" s="79">
        <f>ROUND($A53*AR40,2)</f>
        <v>512120.43</v>
      </c>
      <c r="AS53" s="79">
        <f t="shared" si="24"/>
        <v>18101000</v>
      </c>
      <c r="AU53" s="78">
        <f t="shared" si="25"/>
        <v>18101000</v>
      </c>
      <c r="AV53" s="78"/>
    </row>
    <row r="54" spans="1:48" x14ac:dyDescent="0.2">
      <c r="A54" s="78">
        <f>SUM(A43:A53)</f>
        <v>3012567000</v>
      </c>
      <c r="B54" s="2"/>
      <c r="C54" s="84">
        <f>+C43+C44+C45+C51+C53</f>
        <v>100924293.86999992</v>
      </c>
      <c r="D54" s="84">
        <f t="shared" ref="D54:AR54" si="48">+D43+D44+D45+D51+D53</f>
        <v>509830.33</v>
      </c>
      <c r="E54" s="84">
        <f t="shared" si="48"/>
        <v>354.61</v>
      </c>
      <c r="F54" s="84">
        <f t="shared" si="48"/>
        <v>2530869.16</v>
      </c>
      <c r="G54" s="84">
        <f t="shared" si="48"/>
        <v>0</v>
      </c>
      <c r="H54" s="84">
        <f t="shared" si="48"/>
        <v>0</v>
      </c>
      <c r="I54" s="84">
        <f t="shared" si="48"/>
        <v>112166593.54000001</v>
      </c>
      <c r="J54" s="84">
        <f t="shared" si="48"/>
        <v>92119806.289999992</v>
      </c>
      <c r="K54" s="84">
        <f t="shared" si="48"/>
        <v>9108966.6799999997</v>
      </c>
      <c r="L54" s="84">
        <f t="shared" si="48"/>
        <v>64469.7</v>
      </c>
      <c r="M54" s="84">
        <f t="shared" si="48"/>
        <v>147056829.34999999</v>
      </c>
      <c r="N54" s="84">
        <f t="shared" si="48"/>
        <v>156521083.40000001</v>
      </c>
      <c r="O54" s="84">
        <f t="shared" si="48"/>
        <v>330850368.36000001</v>
      </c>
      <c r="P54" s="84">
        <f t="shared" si="48"/>
        <v>14082379.09</v>
      </c>
      <c r="Q54" s="84">
        <f t="shared" si="48"/>
        <v>24181688.600000001</v>
      </c>
      <c r="R54" s="84">
        <f t="shared" si="48"/>
        <v>56671421.159999996</v>
      </c>
      <c r="S54" s="84">
        <f t="shared" si="48"/>
        <v>407616640.15999997</v>
      </c>
      <c r="T54" s="84">
        <f t="shared" si="48"/>
        <v>16008385.199999999</v>
      </c>
      <c r="U54" s="84">
        <f t="shared" si="48"/>
        <v>1165942.1600000001</v>
      </c>
      <c r="V54" s="84">
        <f t="shared" si="48"/>
        <v>0</v>
      </c>
      <c r="W54" s="84">
        <f t="shared" si="48"/>
        <v>0</v>
      </c>
      <c r="X54" s="84">
        <f t="shared" si="48"/>
        <v>0</v>
      </c>
      <c r="Y54" s="84">
        <f t="shared" si="48"/>
        <v>0</v>
      </c>
      <c r="Z54" s="84">
        <f t="shared" si="48"/>
        <v>0</v>
      </c>
      <c r="AA54" s="84">
        <f t="shared" si="48"/>
        <v>0</v>
      </c>
      <c r="AB54" s="84">
        <f t="shared" si="48"/>
        <v>0</v>
      </c>
      <c r="AC54" s="84">
        <f t="shared" si="48"/>
        <v>0</v>
      </c>
      <c r="AD54" s="84">
        <f t="shared" si="48"/>
        <v>0</v>
      </c>
      <c r="AE54" s="84">
        <f>+AE43+AE44+AE45+AE51+AE53</f>
        <v>0</v>
      </c>
      <c r="AF54" s="84">
        <f t="shared" si="48"/>
        <v>0</v>
      </c>
      <c r="AG54" s="84">
        <f>+AG43+AG44+AG45+AG51+AG53</f>
        <v>1085762288.0599999</v>
      </c>
      <c r="AH54" s="84">
        <f t="shared" si="48"/>
        <v>91106711.939999998</v>
      </c>
      <c r="AI54" s="84">
        <f t="shared" si="48"/>
        <v>16511590.439999999</v>
      </c>
      <c r="AJ54" s="84">
        <f t="shared" si="48"/>
        <v>586975.81999999995</v>
      </c>
      <c r="AK54" s="84">
        <f t="shared" si="48"/>
        <v>41596.89</v>
      </c>
      <c r="AL54" s="84">
        <f t="shared" si="48"/>
        <v>374752.32</v>
      </c>
      <c r="AM54" s="84">
        <f t="shared" si="48"/>
        <v>400157.79</v>
      </c>
      <c r="AN54" s="84">
        <f t="shared" si="48"/>
        <v>4777256.0199999996</v>
      </c>
      <c r="AO54" s="84">
        <f t="shared" si="48"/>
        <v>484286.23</v>
      </c>
      <c r="AP54" s="84">
        <f t="shared" si="48"/>
        <v>11852918.59</v>
      </c>
      <c r="AQ54" s="84">
        <f t="shared" si="48"/>
        <v>2463.7000000026892</v>
      </c>
      <c r="AR54" s="84">
        <f t="shared" si="48"/>
        <v>531080.54</v>
      </c>
      <c r="AS54" s="79">
        <f t="shared" si="24"/>
        <v>2684012000.0000005</v>
      </c>
      <c r="AU54" s="78">
        <f t="shared" si="25"/>
        <v>3012567000</v>
      </c>
    </row>
    <row r="55" spans="1:48" x14ac:dyDescent="0.2">
      <c r="A55" s="78">
        <f>+A53+A51+A45+A44+A43</f>
        <v>2684012000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S55" s="79">
        <f>A55</f>
        <v>2684012000</v>
      </c>
    </row>
    <row r="56" spans="1:48" x14ac:dyDescent="0.2">
      <c r="B56" s="2" t="s">
        <v>6</v>
      </c>
      <c r="C56" s="78">
        <f>+C46+C47+C48+C49+C50+C52</f>
        <v>12497197.710000001</v>
      </c>
      <c r="D56" s="78">
        <f t="shared" ref="D56:AR56" si="49">+D46+D47+D48+D49+D50+D52</f>
        <v>62794.75</v>
      </c>
      <c r="E56" s="78">
        <f t="shared" si="49"/>
        <v>43.6</v>
      </c>
      <c r="F56" s="78">
        <f t="shared" si="49"/>
        <v>311155.70999999996</v>
      </c>
      <c r="G56" s="78">
        <f t="shared" si="49"/>
        <v>0</v>
      </c>
      <c r="H56" s="78">
        <f t="shared" si="49"/>
        <v>0</v>
      </c>
      <c r="I56" s="78">
        <f t="shared" si="49"/>
        <v>17790323.050000001</v>
      </c>
      <c r="J56" s="78">
        <f t="shared" si="49"/>
        <v>14440510.599999998</v>
      </c>
      <c r="K56" s="78">
        <f t="shared" si="49"/>
        <v>1444739.0699999998</v>
      </c>
      <c r="L56" s="78">
        <f t="shared" si="49"/>
        <v>7926.19</v>
      </c>
      <c r="M56" s="78">
        <f t="shared" si="49"/>
        <v>23291317.09</v>
      </c>
      <c r="N56" s="78">
        <f t="shared" si="49"/>
        <v>22887889.540000003</v>
      </c>
      <c r="O56" s="78">
        <f t="shared" si="49"/>
        <v>45190771.25</v>
      </c>
      <c r="P56" s="78">
        <f t="shared" si="49"/>
        <v>2199889.1900000004</v>
      </c>
      <c r="Q56" s="78">
        <f t="shared" si="49"/>
        <v>3739706.6799999997</v>
      </c>
      <c r="R56" s="78">
        <f t="shared" si="49"/>
        <v>8698900.4899999984</v>
      </c>
      <c r="S56" s="78">
        <f t="shared" si="49"/>
        <v>54023416.24000001</v>
      </c>
      <c r="T56" s="78">
        <f t="shared" si="49"/>
        <v>1981092.9099999997</v>
      </c>
      <c r="U56" s="78">
        <f t="shared" si="49"/>
        <v>159475.98000000004</v>
      </c>
      <c r="V56" s="78">
        <f t="shared" si="49"/>
        <v>0</v>
      </c>
      <c r="W56" s="78">
        <f t="shared" si="49"/>
        <v>0</v>
      </c>
      <c r="X56" s="78">
        <f t="shared" si="49"/>
        <v>0</v>
      </c>
      <c r="Y56" s="78">
        <f t="shared" si="49"/>
        <v>0</v>
      </c>
      <c r="Z56" s="78">
        <f t="shared" si="49"/>
        <v>0</v>
      </c>
      <c r="AA56" s="78">
        <f t="shared" si="49"/>
        <v>0</v>
      </c>
      <c r="AB56" s="78">
        <f t="shared" si="49"/>
        <v>0</v>
      </c>
      <c r="AC56" s="78">
        <f t="shared" si="49"/>
        <v>0</v>
      </c>
      <c r="AD56" s="78">
        <f t="shared" si="49"/>
        <v>0</v>
      </c>
      <c r="AE56" s="78">
        <f t="shared" si="49"/>
        <v>0</v>
      </c>
      <c r="AF56" s="78">
        <f t="shared" si="49"/>
        <v>0</v>
      </c>
      <c r="AG56" s="78">
        <f t="shared" si="49"/>
        <v>106893306.61000001</v>
      </c>
      <c r="AH56" s="78">
        <f t="shared" si="49"/>
        <v>8969456.5800000001</v>
      </c>
      <c r="AI56" s="78">
        <f t="shared" si="49"/>
        <v>2255754.12</v>
      </c>
      <c r="AJ56" s="78">
        <f t="shared" si="49"/>
        <v>51259.61</v>
      </c>
      <c r="AK56" s="78">
        <f t="shared" si="49"/>
        <v>3632.5900000000006</v>
      </c>
      <c r="AL56" s="78">
        <f t="shared" si="49"/>
        <v>39190.310000000005</v>
      </c>
      <c r="AM56" s="78">
        <f t="shared" si="49"/>
        <v>34945.110000000008</v>
      </c>
      <c r="AN56" s="78">
        <f t="shared" si="49"/>
        <v>417189.74000000005</v>
      </c>
      <c r="AO56" s="78">
        <f t="shared" si="49"/>
        <v>42291.909999999996</v>
      </c>
      <c r="AP56" s="78">
        <f t="shared" si="49"/>
        <v>1073320.2500000002</v>
      </c>
      <c r="AQ56" s="78">
        <f t="shared" si="49"/>
        <v>215.16000000000003</v>
      </c>
      <c r="AR56" s="78">
        <f t="shared" si="49"/>
        <v>47287.96</v>
      </c>
      <c r="AS56" s="78">
        <f>SUM(C56:AR56)</f>
        <v>328555000.00000006</v>
      </c>
    </row>
    <row r="58" spans="1:48" x14ac:dyDescent="0.2">
      <c r="AN58" t="s">
        <v>195</v>
      </c>
      <c r="AP58" s="98">
        <v>-5569562.569104</v>
      </c>
    </row>
    <row r="60" spans="1:48" x14ac:dyDescent="0.2">
      <c r="AN60" t="s">
        <v>196</v>
      </c>
      <c r="AP60" s="98">
        <f>+AP54+AP58</f>
        <v>6283356.0208959999</v>
      </c>
    </row>
  </sheetData>
  <mergeCells count="4">
    <mergeCell ref="W1:X1"/>
    <mergeCell ref="Y1:AB1"/>
    <mergeCell ref="AC1:AD1"/>
    <mergeCell ref="AE1:AF1"/>
  </mergeCells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G65"/>
  <sheetViews>
    <sheetView workbookViewId="0">
      <selection activeCell="G16" sqref="G16"/>
    </sheetView>
  </sheetViews>
  <sheetFormatPr defaultRowHeight="12.75" x14ac:dyDescent="0.2"/>
  <cols>
    <col min="1" max="1" width="9.5703125" customWidth="1"/>
    <col min="2" max="2" width="9.42578125" bestFit="1" customWidth="1"/>
    <col min="3" max="3" width="18.42578125" customWidth="1"/>
    <col min="4" max="4" width="16.28515625" customWidth="1"/>
    <col min="5" max="5" width="17.5703125" customWidth="1"/>
    <col min="6" max="6" width="15.140625" bestFit="1" customWidth="1"/>
    <col min="7" max="7" width="17" customWidth="1"/>
    <col min="8" max="8" width="15.42578125" bestFit="1" customWidth="1"/>
    <col min="9" max="9" width="12.5703125" bestFit="1" customWidth="1"/>
    <col min="10" max="10" width="15" bestFit="1" customWidth="1"/>
    <col min="11" max="11" width="11.42578125" bestFit="1" customWidth="1"/>
    <col min="12" max="12" width="10.42578125" bestFit="1" customWidth="1"/>
    <col min="13" max="13" width="6.42578125" customWidth="1"/>
    <col min="14" max="15" width="8.5703125" customWidth="1"/>
    <col min="16" max="16" width="10.42578125" bestFit="1" customWidth="1"/>
    <col min="17" max="17" width="7.5703125" customWidth="1"/>
    <col min="18" max="18" width="14" bestFit="1" customWidth="1"/>
    <col min="19" max="19" width="8.5703125" customWidth="1"/>
    <col min="20" max="20" width="10.42578125" bestFit="1" customWidth="1"/>
    <col min="21" max="21" width="11.42578125" bestFit="1" customWidth="1"/>
    <col min="22" max="22" width="7.5703125" customWidth="1"/>
    <col min="23" max="23" width="8.5703125" customWidth="1"/>
    <col min="24" max="24" width="6.5703125" customWidth="1"/>
    <col min="25" max="25" width="7.5703125" customWidth="1"/>
    <col min="26" max="26" width="10.42578125" bestFit="1" customWidth="1"/>
    <col min="27" max="27" width="12.42578125" bestFit="1" customWidth="1"/>
    <col min="28" max="28" width="11.42578125" bestFit="1" customWidth="1"/>
    <col min="29" max="29" width="7.5703125" customWidth="1"/>
    <col min="30" max="32" width="8.5703125" customWidth="1"/>
    <col min="33" max="33" width="12.42578125" customWidth="1"/>
  </cols>
  <sheetData>
    <row r="1" spans="1:33" x14ac:dyDescent="0.2">
      <c r="B1" s="1"/>
    </row>
    <row r="2" spans="1:33" x14ac:dyDescent="0.2">
      <c r="A2" s="6" t="str">
        <f>'Rate Calc Sheet'!A2</f>
        <v>Year</v>
      </c>
      <c r="B2" s="2" t="str">
        <f>'Rate Calc Sheet'!B2</f>
        <v>Month</v>
      </c>
      <c r="C2" t="str">
        <f>'Rate Calc Sheet'!C2</f>
        <v>Residential</v>
      </c>
      <c r="D2" t="str">
        <f>'Rate Calc Sheet'!D2</f>
        <v>Commercial</v>
      </c>
      <c r="E2" t="str">
        <f>'Rate Calc Sheet'!E2</f>
        <v xml:space="preserve">Industrial </v>
      </c>
      <c r="F2" t="str">
        <f>'Rate Calc Sheet'!F2</f>
        <v>OPA</v>
      </c>
      <c r="G2" t="str">
        <f>'Rate Calc Sheet'!G2</f>
        <v>Street Light</v>
      </c>
      <c r="I2" s="313" t="s">
        <v>197</v>
      </c>
      <c r="J2" s="313" t="s">
        <v>198</v>
      </c>
      <c r="K2" s="313"/>
      <c r="L2" s="313"/>
      <c r="M2" s="313"/>
      <c r="N2" s="313"/>
      <c r="O2" s="313"/>
      <c r="P2" s="313"/>
      <c r="Q2" s="313"/>
      <c r="R2" s="313"/>
      <c r="S2" s="313"/>
    </row>
    <row r="3" spans="1:33" x14ac:dyDescent="0.2">
      <c r="A3" s="4">
        <v>2025</v>
      </c>
      <c r="B3" s="2">
        <f>'Rate Calc Sheet'!B3</f>
        <v>1</v>
      </c>
      <c r="C3" s="2">
        <v>1152172709.819</v>
      </c>
      <c r="D3" s="2">
        <v>539284554.20099998</v>
      </c>
      <c r="E3" s="2">
        <v>783377912.09499991</v>
      </c>
      <c r="F3" s="2">
        <v>145731628</v>
      </c>
      <c r="G3" s="2">
        <v>10553266.385000002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">
      <c r="A4" s="4"/>
      <c r="B4" s="2">
        <f>'Rate Calc Sheet'!B4</f>
        <v>2</v>
      </c>
      <c r="C4" s="2">
        <v>967958390.96599996</v>
      </c>
      <c r="D4" s="2">
        <v>463339561.82499999</v>
      </c>
      <c r="E4" s="2">
        <v>770628889.31299996</v>
      </c>
      <c r="F4" s="2">
        <v>139599913</v>
      </c>
      <c r="G4" s="2">
        <v>10522092.395999998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">
      <c r="A5" s="4"/>
      <c r="B5" s="2">
        <f>'Rate Calc Sheet'!B5</f>
        <v>3</v>
      </c>
      <c r="C5" s="2">
        <v>791076791.36300004</v>
      </c>
      <c r="D5" s="2">
        <v>430020745.03500003</v>
      </c>
      <c r="E5" s="2">
        <v>736199808.04700017</v>
      </c>
      <c r="F5" s="2">
        <v>127887242</v>
      </c>
      <c r="G5" s="2">
        <v>10469957.055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">
      <c r="A6" s="4"/>
      <c r="B6" s="2">
        <f>'Rate Calc Sheet'!B6</f>
        <v>4</v>
      </c>
      <c r="C6" s="2">
        <v>609081205.29799998</v>
      </c>
      <c r="D6" s="2">
        <v>401577100.51899999</v>
      </c>
      <c r="E6" s="2">
        <v>636008793.27999997</v>
      </c>
      <c r="F6" s="2">
        <v>114880679</v>
      </c>
      <c r="G6" s="2">
        <v>10447180.403000001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">
      <c r="A7" s="4"/>
      <c r="B7" s="2">
        <f>'Rate Calc Sheet'!B7</f>
        <v>5</v>
      </c>
      <c r="C7" s="2">
        <v>566562044.19200003</v>
      </c>
      <c r="D7" s="2">
        <v>444327068.20899999</v>
      </c>
      <c r="E7" s="2">
        <v>777556086.5</v>
      </c>
      <c r="F7" s="2">
        <v>132581164</v>
      </c>
      <c r="G7" s="2">
        <v>10416170.598999999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">
      <c r="A8" s="4"/>
      <c r="B8" s="2">
        <f>'Rate Calc Sheet'!B8</f>
        <v>6</v>
      </c>
      <c r="C8" s="2">
        <v>681083350.40799999</v>
      </c>
      <c r="D8" s="2">
        <v>550874177.66700006</v>
      </c>
      <c r="E8" s="2">
        <v>826592471.73300004</v>
      </c>
      <c r="F8" s="2">
        <v>152692623</v>
      </c>
      <c r="G8" s="2">
        <v>10412961.192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">
      <c r="A9" s="4"/>
      <c r="B9" s="2">
        <f>'Rate Calc Sheet'!B9</f>
        <v>7</v>
      </c>
      <c r="C9" s="2">
        <v>856413533.68700004</v>
      </c>
      <c r="D9" s="2">
        <v>548247058.44000006</v>
      </c>
      <c r="E9" s="2">
        <v>739550621.86699998</v>
      </c>
      <c r="F9" s="2">
        <v>170736987</v>
      </c>
      <c r="G9" s="2">
        <v>10409352.014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">
      <c r="A10" s="4"/>
      <c r="B10" s="2">
        <f>'Rate Calc Sheet'!B10</f>
        <v>8</v>
      </c>
      <c r="C10" s="2">
        <v>833557253.92299998</v>
      </c>
      <c r="D10" s="2">
        <v>555888180.699</v>
      </c>
      <c r="E10" s="2">
        <v>793954584.79999995</v>
      </c>
      <c r="F10" s="2">
        <v>158876699</v>
      </c>
      <c r="G10" s="2">
        <v>10441292.794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">
      <c r="A11" s="4"/>
      <c r="B11" s="2">
        <f>'Rate Calc Sheet'!B11</f>
        <v>9</v>
      </c>
      <c r="C11" s="2">
        <v>759056856.75800002</v>
      </c>
      <c r="D11" s="2">
        <v>566995468.81899989</v>
      </c>
      <c r="E11" s="2">
        <v>951820104.51999998</v>
      </c>
      <c r="F11" s="2">
        <v>183538695</v>
      </c>
      <c r="G11" s="2">
        <v>10640855.585000001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">
      <c r="A12" s="4"/>
      <c r="B12" s="2">
        <f>'Rate Calc Sheet'!B12</f>
        <v>10</v>
      </c>
      <c r="C12" s="2">
        <v>553770762.77499998</v>
      </c>
      <c r="D12" s="2">
        <v>449089723.85500002</v>
      </c>
      <c r="E12" s="2">
        <v>766515641.83000016</v>
      </c>
      <c r="F12" s="2">
        <v>154003974</v>
      </c>
      <c r="G12" s="2">
        <v>10656425.911999999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">
      <c r="A13" s="4"/>
      <c r="B13" s="2">
        <f>'Rate Calc Sheet'!B13</f>
        <v>11</v>
      </c>
      <c r="C13" s="2">
        <v>603054043.74100006</v>
      </c>
      <c r="D13" s="2">
        <v>413708738.48604</v>
      </c>
      <c r="E13" s="2">
        <v>749292369.12699997</v>
      </c>
      <c r="F13" s="2">
        <v>130280904</v>
      </c>
      <c r="G13" s="2">
        <v>10629950.089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A14" s="4"/>
      <c r="B14" s="2">
        <f>'Rate Calc Sheet'!B14</f>
        <v>12</v>
      </c>
      <c r="C14" s="2">
        <v>879927396.44700003</v>
      </c>
      <c r="D14" s="2">
        <v>497460332.65595984</v>
      </c>
      <c r="E14" s="2">
        <v>718547932.59200013</v>
      </c>
      <c r="F14" s="2">
        <v>139361976</v>
      </c>
      <c r="G14" s="2">
        <v>10650057.216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">
      <c r="A15" s="4"/>
      <c r="B15" s="2" t="s">
        <v>192</v>
      </c>
      <c r="C15" s="2">
        <f>SUM(C3:C14)</f>
        <v>9253714339.3770008</v>
      </c>
      <c r="D15" s="2">
        <f>SUM(D3:D14)</f>
        <v>5860812710.4110012</v>
      </c>
      <c r="E15" s="2">
        <f>SUM(E3:E14)</f>
        <v>9250045215.7039986</v>
      </c>
      <c r="F15" s="2">
        <f>SUM(F3:F14)</f>
        <v>1750172484</v>
      </c>
      <c r="G15" s="2">
        <f>SUM(G3:G14)</f>
        <v>126249561.64000002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">
      <c r="A16" s="4"/>
      <c r="B16" s="2"/>
      <c r="C16" s="2"/>
      <c r="D16" s="2"/>
      <c r="E16" s="2"/>
      <c r="F16" s="2"/>
      <c r="G16" s="2">
        <f>SUM(C15:G15)</f>
        <v>26240994311.132</v>
      </c>
      <c r="J16" s="2">
        <v>26240994311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">
      <c r="A17" s="4"/>
      <c r="C17" s="2"/>
      <c r="D17" s="2"/>
      <c r="E17" s="2"/>
      <c r="F17" s="2"/>
      <c r="G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">
      <c r="A18" s="4"/>
      <c r="B18" s="2"/>
      <c r="E18" s="3">
        <f>+E15+D15</f>
        <v>15110857926.115</v>
      </c>
      <c r="G18" s="103">
        <f>+E18/G16</f>
        <v>0.57584928935808832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">
      <c r="A19" s="4"/>
      <c r="B19" s="8"/>
      <c r="G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">
      <c r="A20" s="4"/>
      <c r="B20" s="2"/>
      <c r="G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A21" s="4"/>
      <c r="B21" s="2"/>
      <c r="G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">
      <c r="A22" s="4"/>
      <c r="B22" s="2"/>
      <c r="G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">
      <c r="A23" s="4"/>
      <c r="B23" s="2"/>
      <c r="G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">
      <c r="A24" s="4"/>
      <c r="B24" s="2"/>
      <c r="C24">
        <f>+'DEI Sales by Rate'!A43</f>
        <v>1176869000</v>
      </c>
      <c r="D24" s="2">
        <v>602431000</v>
      </c>
      <c r="E24" s="2">
        <f>+'DEI Sales by Rate'!A45</f>
        <v>730216000</v>
      </c>
      <c r="F24" s="28">
        <f>+'DEI Sales by Rate'!A51</f>
        <v>161959000</v>
      </c>
      <c r="G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">
      <c r="A25" s="4"/>
      <c r="B25" s="2"/>
      <c r="G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A26" s="4"/>
      <c r="B26" s="2"/>
      <c r="C26" s="98">
        <f>+C24/C15</f>
        <v>0.12717801272426482</v>
      </c>
      <c r="D26" s="114">
        <f>+D24/D15</f>
        <v>0.10278966924328714</v>
      </c>
      <c r="E26" s="114">
        <f>+E24/E15</f>
        <v>7.8941884387797021E-2</v>
      </c>
      <c r="F26" s="114">
        <f>+F24/F15</f>
        <v>9.2538879156552886E-2</v>
      </c>
      <c r="G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">
      <c r="A27" s="4"/>
      <c r="B27" s="2"/>
      <c r="G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">
      <c r="A28" s="4"/>
      <c r="B28" s="2"/>
      <c r="G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A29" s="4"/>
      <c r="B29" s="2"/>
      <c r="G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">
      <c r="A30" s="4"/>
      <c r="B30" s="2"/>
      <c r="C30" s="2">
        <v>102713</v>
      </c>
      <c r="D30" s="2">
        <v>19877</v>
      </c>
      <c r="E30" s="2">
        <v>76075</v>
      </c>
      <c r="G30" s="2">
        <v>82837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">
      <c r="A31" s="4"/>
      <c r="B31" s="2"/>
      <c r="G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3" x14ac:dyDescent="0.2">
      <c r="A32" s="4"/>
      <c r="G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3" x14ac:dyDescent="0.2">
      <c r="A33" s="4"/>
      <c r="B33" s="2"/>
      <c r="G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">
      <c r="A34" s="4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">
      <c r="A35" s="4"/>
      <c r="B35" s="2"/>
      <c r="C35" s="2"/>
      <c r="D35" s="2"/>
      <c r="E35" s="2"/>
      <c r="F35" s="2"/>
      <c r="G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">
      <c r="A36" s="4"/>
      <c r="B36" s="2"/>
      <c r="C36" s="2"/>
      <c r="D36" s="2"/>
      <c r="E36" s="2"/>
      <c r="F36" s="2"/>
      <c r="G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">
      <c r="A37" s="4"/>
      <c r="B37" s="2"/>
      <c r="C37" s="2"/>
      <c r="D37" s="2"/>
      <c r="E37" s="2"/>
      <c r="F37" s="2"/>
      <c r="G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">
      <c r="A38" s="4"/>
      <c r="B38" s="2"/>
      <c r="C38" s="2"/>
      <c r="D38" s="2"/>
      <c r="E38" s="2"/>
      <c r="F38" s="2"/>
      <c r="G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">
      <c r="A39" s="4"/>
      <c r="B39" s="2"/>
      <c r="C39" s="2"/>
      <c r="D39" s="2"/>
      <c r="E39" s="2"/>
      <c r="F39" s="2"/>
      <c r="G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4"/>
      <c r="B40" s="2"/>
      <c r="C40" s="2"/>
      <c r="D40" s="2"/>
      <c r="E40" s="2"/>
      <c r="F40" s="2"/>
      <c r="G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">
      <c r="A41" s="4"/>
      <c r="B41" s="2"/>
      <c r="C41" s="2"/>
      <c r="D41" s="2"/>
      <c r="E41" s="2"/>
      <c r="F41" s="2"/>
      <c r="G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">
      <c r="A42" s="4"/>
      <c r="B42" s="2"/>
      <c r="C42" s="2"/>
      <c r="D42" s="2"/>
      <c r="E42" s="2"/>
      <c r="F42" s="2"/>
      <c r="G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">
      <c r="A43" s="4"/>
      <c r="B43" s="2"/>
      <c r="C43" s="2"/>
      <c r="D43" s="2"/>
      <c r="E43" s="2"/>
      <c r="F43" s="2"/>
      <c r="G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A44" s="4"/>
      <c r="B44" s="2"/>
      <c r="C44" s="2"/>
      <c r="D44" s="2"/>
      <c r="E44" s="2"/>
      <c r="F44" s="2"/>
      <c r="G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">
      <c r="A45" s="4"/>
      <c r="B45" s="2"/>
      <c r="C45" s="2"/>
      <c r="D45" s="2"/>
      <c r="E45" s="2"/>
      <c r="F45" s="2"/>
      <c r="G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">
      <c r="A46" s="4"/>
      <c r="B46" s="2"/>
      <c r="C46" s="2"/>
      <c r="D46" s="2"/>
      <c r="E46" s="2"/>
      <c r="F46" s="2"/>
      <c r="G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3" x14ac:dyDescent="0.2">
      <c r="A47" s="4"/>
      <c r="C47" s="2"/>
      <c r="D47" s="2"/>
      <c r="E47" s="2"/>
      <c r="F47" s="2"/>
      <c r="G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3" x14ac:dyDescent="0.2">
      <c r="A48" s="4"/>
      <c r="B48" s="2"/>
      <c r="C48" s="2"/>
      <c r="D48" s="2"/>
      <c r="E48" s="2"/>
      <c r="F48" s="2"/>
      <c r="G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">
      <c r="A49" s="4"/>
      <c r="B49" s="2"/>
      <c r="C49" s="2"/>
      <c r="D49" s="2"/>
      <c r="E49" s="2"/>
      <c r="F49" s="2"/>
      <c r="G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">
      <c r="A50" s="4"/>
      <c r="B50" s="2"/>
      <c r="C50" s="2"/>
      <c r="D50" s="2"/>
      <c r="E50" s="2"/>
      <c r="F50" s="2"/>
      <c r="G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">
      <c r="A51" s="4"/>
      <c r="B51" s="2"/>
      <c r="C51" s="2"/>
      <c r="D51" s="2"/>
      <c r="E51" s="2"/>
      <c r="F51" s="2"/>
      <c r="G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">
      <c r="A52" s="4"/>
      <c r="B52" s="2"/>
      <c r="C52" s="2"/>
      <c r="D52" s="2"/>
      <c r="E52" s="2"/>
      <c r="F52" s="2"/>
      <c r="G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">
      <c r="A53" s="4"/>
      <c r="B53" s="2"/>
      <c r="C53" s="2"/>
      <c r="D53" s="2"/>
      <c r="E53" s="2"/>
      <c r="F53" s="2"/>
      <c r="G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">
      <c r="A54" s="4"/>
      <c r="B54" s="2"/>
      <c r="C54" s="2"/>
      <c r="D54" s="2"/>
      <c r="E54" s="2"/>
      <c r="F54" s="2"/>
      <c r="G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">
      <c r="A55" s="4"/>
      <c r="B55" s="2"/>
      <c r="C55" s="2"/>
      <c r="D55" s="2"/>
      <c r="E55" s="2"/>
      <c r="F55" s="2"/>
      <c r="G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">
      <c r="A56" s="4"/>
      <c r="B56" s="2"/>
      <c r="C56" s="2"/>
      <c r="D56" s="2"/>
      <c r="E56" s="2"/>
      <c r="F56" s="2"/>
      <c r="G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">
      <c r="A57" s="4"/>
      <c r="B57" s="2"/>
      <c r="C57" s="2"/>
      <c r="D57" s="2"/>
      <c r="E57" s="2"/>
      <c r="F57" s="2"/>
      <c r="G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">
      <c r="A58" s="4"/>
      <c r="B58" s="2"/>
      <c r="C58" s="2"/>
      <c r="D58" s="2"/>
      <c r="E58" s="2"/>
      <c r="F58" s="2"/>
      <c r="G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">
      <c r="A59" s="4"/>
      <c r="B59" s="2"/>
      <c r="C59" s="2"/>
      <c r="D59" s="2"/>
      <c r="E59" s="2"/>
      <c r="F59" s="2"/>
      <c r="G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">
      <c r="A60" s="4"/>
      <c r="B60" s="2"/>
      <c r="C60" s="2"/>
      <c r="D60" s="2"/>
      <c r="E60" s="2"/>
      <c r="F60" s="2"/>
      <c r="G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">
      <c r="A61" s="4"/>
      <c r="B61" s="2"/>
      <c r="C61" s="2"/>
      <c r="D61" s="2"/>
      <c r="E61" s="2"/>
      <c r="F61" s="2"/>
      <c r="G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3" x14ac:dyDescent="0.2">
      <c r="A62" s="4"/>
      <c r="B62" s="2"/>
      <c r="C62" s="2"/>
      <c r="D62" s="2"/>
      <c r="E62" s="2"/>
      <c r="F62" s="2"/>
      <c r="G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3" x14ac:dyDescent="0.2">
      <c r="A63" s="4"/>
      <c r="B63" s="2"/>
      <c r="C63" s="2"/>
      <c r="D63" s="2"/>
      <c r="E63" s="2"/>
      <c r="F63" s="2"/>
      <c r="G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x14ac:dyDescent="0.2">
      <c r="A64" s="4"/>
      <c r="B64" s="2"/>
      <c r="C64" s="2"/>
      <c r="D64" s="2"/>
      <c r="E64" s="2"/>
      <c r="F64" s="2"/>
      <c r="G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4"/>
      <c r="B65" s="2"/>
      <c r="C65" s="2"/>
      <c r="D65" s="2"/>
      <c r="E65" s="2"/>
      <c r="F65" s="2"/>
      <c r="G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</sheetData>
  <pageMargins left="0" right="0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B89"/>
  <sheetViews>
    <sheetView zoomScaleNormal="100" workbookViewId="0">
      <selection activeCell="E3" sqref="E3"/>
    </sheetView>
  </sheetViews>
  <sheetFormatPr defaultColWidth="9.140625" defaultRowHeight="12.75" x14ac:dyDescent="0.2"/>
  <cols>
    <col min="1" max="1" width="9.42578125" bestFit="1" customWidth="1"/>
    <col min="2" max="2" width="14.42578125" bestFit="1" customWidth="1"/>
    <col min="3" max="23" width="15" customWidth="1"/>
    <col min="24" max="24" width="4.85546875" customWidth="1"/>
    <col min="25" max="34" width="15" customWidth="1"/>
    <col min="35" max="35" width="4.85546875" customWidth="1"/>
    <col min="36" max="119" width="15" customWidth="1"/>
    <col min="120" max="120" width="4.85546875" customWidth="1"/>
    <col min="121" max="121" width="14.140625" customWidth="1"/>
    <col min="122" max="122" width="11.85546875" customWidth="1"/>
    <col min="123" max="123" width="10.140625" customWidth="1"/>
    <col min="124" max="124" width="11.140625" customWidth="1"/>
    <col min="125" max="125" width="10.140625" customWidth="1"/>
    <col min="126" max="126" width="9.140625" customWidth="1"/>
    <col min="127" max="127" width="10.140625" customWidth="1"/>
    <col min="128" max="128" width="9.140625" customWidth="1"/>
    <col min="129" max="130" width="10.140625" customWidth="1"/>
    <col min="131" max="131" width="4.85546875" customWidth="1"/>
    <col min="132" max="140" width="15" customWidth="1"/>
    <col min="141" max="141" width="4.85546875" customWidth="1"/>
    <col min="142" max="145" width="15" customWidth="1"/>
    <col min="146" max="146" width="4.85546875" customWidth="1"/>
    <col min="147" max="156" width="15" customWidth="1"/>
    <col min="157" max="157" width="4.85546875" customWidth="1"/>
    <col min="158" max="158" width="15" customWidth="1"/>
  </cols>
  <sheetData>
    <row r="1" spans="1:158" x14ac:dyDescent="0.2">
      <c r="B1" t="s">
        <v>25</v>
      </c>
      <c r="C1" s="344" t="s">
        <v>169</v>
      </c>
      <c r="D1" s="344"/>
      <c r="E1" s="344"/>
      <c r="F1" s="345"/>
      <c r="G1" s="15" t="s">
        <v>34</v>
      </c>
      <c r="H1" s="344" t="s">
        <v>36</v>
      </c>
      <c r="I1" s="344"/>
      <c r="J1" s="344"/>
      <c r="K1" s="344"/>
      <c r="L1" s="343" t="s">
        <v>39</v>
      </c>
      <c r="M1" s="344"/>
      <c r="N1" s="344"/>
      <c r="O1" s="344"/>
      <c r="P1" s="343" t="s">
        <v>41</v>
      </c>
      <c r="Q1" s="344"/>
      <c r="R1" s="344"/>
      <c r="S1" s="344"/>
      <c r="T1" s="343" t="s">
        <v>170</v>
      </c>
      <c r="U1" s="344"/>
      <c r="V1" s="344"/>
      <c r="W1" s="344"/>
      <c r="X1" s="11"/>
      <c r="Y1" t="s">
        <v>199</v>
      </c>
      <c r="Z1" t="s">
        <v>171</v>
      </c>
      <c r="AA1" t="s">
        <v>200</v>
      </c>
      <c r="AB1" t="s">
        <v>172</v>
      </c>
      <c r="AC1" s="25" t="s">
        <v>59</v>
      </c>
      <c r="AD1" s="13" t="s">
        <v>59</v>
      </c>
      <c r="AE1" t="s">
        <v>173</v>
      </c>
      <c r="AF1" t="s">
        <v>54</v>
      </c>
      <c r="AG1" t="s">
        <v>174</v>
      </c>
      <c r="AH1" t="s">
        <v>201</v>
      </c>
      <c r="AI1" s="11"/>
      <c r="AJ1" s="344" t="s">
        <v>202</v>
      </c>
      <c r="AK1" s="344"/>
      <c r="AL1" s="344"/>
      <c r="AM1" s="344"/>
      <c r="AN1" s="344"/>
      <c r="AO1" s="345"/>
      <c r="AP1" s="344" t="s">
        <v>203</v>
      </c>
      <c r="AQ1" s="344"/>
      <c r="AR1" s="344"/>
      <c r="AS1" s="344"/>
      <c r="AT1" s="344"/>
      <c r="AU1" s="344"/>
      <c r="AV1" s="343" t="s">
        <v>175</v>
      </c>
      <c r="AW1" s="344"/>
      <c r="AX1" s="344"/>
      <c r="AY1" s="344"/>
      <c r="AZ1" s="344"/>
      <c r="BA1" s="345"/>
      <c r="BB1" s="343" t="s">
        <v>204</v>
      </c>
      <c r="BC1" s="344"/>
      <c r="BD1" s="344"/>
      <c r="BE1" s="344"/>
      <c r="BF1" s="344"/>
      <c r="BG1" s="345"/>
      <c r="BH1" s="344" t="s">
        <v>205</v>
      </c>
      <c r="BI1" s="344"/>
      <c r="BJ1" s="344"/>
      <c r="BK1" s="344"/>
      <c r="BL1" s="344"/>
      <c r="BM1" s="344"/>
      <c r="BN1" s="343" t="s">
        <v>35</v>
      </c>
      <c r="BO1" s="344"/>
      <c r="BP1" s="344"/>
      <c r="BQ1" s="344"/>
      <c r="BR1" s="344"/>
      <c r="BS1" s="344"/>
      <c r="BT1" s="343" t="s">
        <v>176</v>
      </c>
      <c r="BU1" s="344"/>
      <c r="BV1" s="344"/>
      <c r="BW1" s="344"/>
      <c r="BX1" s="344"/>
      <c r="BY1" s="345"/>
      <c r="BZ1" s="343" t="s">
        <v>206</v>
      </c>
      <c r="CA1" s="344"/>
      <c r="CB1" s="344"/>
      <c r="CC1" s="344"/>
      <c r="CD1" s="344"/>
      <c r="CE1" s="345"/>
      <c r="CF1" s="343" t="s">
        <v>177</v>
      </c>
      <c r="CG1" s="344"/>
      <c r="CH1" s="344"/>
      <c r="CI1" s="344"/>
      <c r="CJ1" s="344"/>
      <c r="CK1" s="345"/>
      <c r="CL1" s="344" t="s">
        <v>207</v>
      </c>
      <c r="CM1" s="344"/>
      <c r="CN1" s="344"/>
      <c r="CO1" s="344"/>
      <c r="CP1" s="344"/>
      <c r="CQ1" s="344"/>
      <c r="CR1" s="343" t="s">
        <v>208</v>
      </c>
      <c r="CS1" s="344"/>
      <c r="CT1" s="344"/>
      <c r="CU1" s="344"/>
      <c r="CV1" s="344"/>
      <c r="CW1" s="345"/>
      <c r="CX1" s="344" t="s">
        <v>42</v>
      </c>
      <c r="CY1" s="344"/>
      <c r="CZ1" s="344"/>
      <c r="DA1" s="344"/>
      <c r="DB1" s="344"/>
      <c r="DC1" s="344"/>
      <c r="DD1" s="343" t="s">
        <v>178</v>
      </c>
      <c r="DE1" s="344"/>
      <c r="DF1" s="344"/>
      <c r="DG1" s="344"/>
      <c r="DH1" s="344"/>
      <c r="DI1" s="344"/>
      <c r="DJ1" s="343" t="s">
        <v>209</v>
      </c>
      <c r="DK1" s="344"/>
      <c r="DL1" s="344"/>
      <c r="DM1" s="344"/>
      <c r="DN1" s="344"/>
      <c r="DO1" s="344"/>
      <c r="DP1" s="11"/>
      <c r="DQ1" s="9" t="s">
        <v>182</v>
      </c>
      <c r="DR1" s="9" t="s">
        <v>183</v>
      </c>
      <c r="DS1" s="9" t="s">
        <v>184</v>
      </c>
      <c r="DT1" s="9" t="s">
        <v>185</v>
      </c>
      <c r="DU1" t="s">
        <v>180</v>
      </c>
      <c r="DV1" t="s">
        <v>181</v>
      </c>
      <c r="DW1" t="s">
        <v>186</v>
      </c>
      <c r="DX1" t="s">
        <v>187</v>
      </c>
      <c r="DY1" s="9" t="s">
        <v>188</v>
      </c>
      <c r="DZ1" s="9" t="s">
        <v>189</v>
      </c>
      <c r="EA1" s="11"/>
      <c r="EB1" s="344" t="s">
        <v>190</v>
      </c>
      <c r="EC1" s="344"/>
      <c r="ED1" s="344"/>
      <c r="EE1" s="343" t="s">
        <v>28</v>
      </c>
      <c r="EF1" s="344"/>
      <c r="EG1" s="345"/>
      <c r="EH1" s="344" t="s">
        <v>210</v>
      </c>
      <c r="EI1" s="344"/>
      <c r="EJ1" s="344"/>
      <c r="EK1" s="11"/>
      <c r="EL1" s="344" t="s">
        <v>191</v>
      </c>
      <c r="EM1" s="344"/>
      <c r="EN1" s="344" t="s">
        <v>211</v>
      </c>
      <c r="EO1" s="344"/>
      <c r="EP1" s="11"/>
      <c r="EQ1" t="s">
        <v>65</v>
      </c>
      <c r="ER1" s="9" t="s">
        <v>74</v>
      </c>
      <c r="ES1" t="s">
        <v>212</v>
      </c>
      <c r="ET1" t="s">
        <v>213</v>
      </c>
      <c r="EU1" t="s">
        <v>214</v>
      </c>
      <c r="EV1" t="s">
        <v>70</v>
      </c>
      <c r="EW1" t="s">
        <v>215</v>
      </c>
      <c r="EX1" t="s">
        <v>216</v>
      </c>
      <c r="EY1" t="s">
        <v>72</v>
      </c>
      <c r="EZ1" t="s">
        <v>80</v>
      </c>
      <c r="FA1" s="11"/>
    </row>
    <row r="2" spans="1:158" x14ac:dyDescent="0.2">
      <c r="C2" t="s">
        <v>217</v>
      </c>
      <c r="D2" t="s">
        <v>218</v>
      </c>
      <c r="E2" t="s">
        <v>219</v>
      </c>
      <c r="F2" s="13" t="s">
        <v>220</v>
      </c>
      <c r="G2" s="15"/>
      <c r="H2" t="s">
        <v>217</v>
      </c>
      <c r="I2" t="s">
        <v>218</v>
      </c>
      <c r="J2" t="s">
        <v>219</v>
      </c>
      <c r="K2" s="13" t="s">
        <v>220</v>
      </c>
      <c r="L2" t="s">
        <v>217</v>
      </c>
      <c r="M2" t="s">
        <v>218</v>
      </c>
      <c r="N2" t="s">
        <v>219</v>
      </c>
      <c r="O2" s="13" t="s">
        <v>220</v>
      </c>
      <c r="P2" t="s">
        <v>217</v>
      </c>
      <c r="Q2" t="s">
        <v>218</v>
      </c>
      <c r="R2" t="s">
        <v>219</v>
      </c>
      <c r="S2" s="13" t="s">
        <v>220</v>
      </c>
      <c r="T2" t="s">
        <v>217</v>
      </c>
      <c r="U2" t="s">
        <v>218</v>
      </c>
      <c r="V2" t="s">
        <v>219</v>
      </c>
      <c r="W2" t="s">
        <v>220</v>
      </c>
      <c r="X2" s="11"/>
      <c r="AC2" s="25" t="s">
        <v>221</v>
      </c>
      <c r="AD2" s="13" t="s">
        <v>222</v>
      </c>
      <c r="AI2" s="11"/>
      <c r="AJ2" t="s">
        <v>223</v>
      </c>
      <c r="AK2" t="s">
        <v>224</v>
      </c>
      <c r="AL2" t="s">
        <v>225</v>
      </c>
      <c r="AM2" t="s">
        <v>226</v>
      </c>
      <c r="AN2" t="s">
        <v>227</v>
      </c>
      <c r="AO2" s="13" t="s">
        <v>228</v>
      </c>
      <c r="AP2" t="s">
        <v>223</v>
      </c>
      <c r="AQ2" t="s">
        <v>224</v>
      </c>
      <c r="AR2" t="s">
        <v>225</v>
      </c>
      <c r="AS2" t="s">
        <v>226</v>
      </c>
      <c r="AT2" t="s">
        <v>227</v>
      </c>
      <c r="AU2" s="13" t="s">
        <v>228</v>
      </c>
      <c r="AV2" t="s">
        <v>223</v>
      </c>
      <c r="AW2" t="s">
        <v>224</v>
      </c>
      <c r="AX2" t="s">
        <v>225</v>
      </c>
      <c r="AY2" t="s">
        <v>226</v>
      </c>
      <c r="AZ2" t="s">
        <v>227</v>
      </c>
      <c r="BA2" s="13" t="s">
        <v>228</v>
      </c>
      <c r="BB2" t="s">
        <v>223</v>
      </c>
      <c r="BC2" t="s">
        <v>224</v>
      </c>
      <c r="BD2" t="s">
        <v>225</v>
      </c>
      <c r="BE2" t="s">
        <v>226</v>
      </c>
      <c r="BF2" t="s">
        <v>227</v>
      </c>
      <c r="BG2" s="13" t="s">
        <v>228</v>
      </c>
      <c r="BH2" t="s">
        <v>223</v>
      </c>
      <c r="BI2" t="s">
        <v>224</v>
      </c>
      <c r="BJ2" t="s">
        <v>225</v>
      </c>
      <c r="BK2" t="s">
        <v>226</v>
      </c>
      <c r="BL2" t="s">
        <v>227</v>
      </c>
      <c r="BM2" s="13" t="s">
        <v>228</v>
      </c>
      <c r="BN2" t="s">
        <v>223</v>
      </c>
      <c r="BO2" t="s">
        <v>224</v>
      </c>
      <c r="BP2" t="s">
        <v>225</v>
      </c>
      <c r="BQ2" t="s">
        <v>226</v>
      </c>
      <c r="BR2" t="s">
        <v>227</v>
      </c>
      <c r="BS2" s="13" t="s">
        <v>228</v>
      </c>
      <c r="BT2" t="s">
        <v>223</v>
      </c>
      <c r="BU2" t="s">
        <v>224</v>
      </c>
      <c r="BV2" t="s">
        <v>225</v>
      </c>
      <c r="BW2" t="s">
        <v>226</v>
      </c>
      <c r="BX2" t="s">
        <v>227</v>
      </c>
      <c r="BY2" s="13" t="s">
        <v>228</v>
      </c>
      <c r="BZ2" t="s">
        <v>223</v>
      </c>
      <c r="CA2" t="s">
        <v>224</v>
      </c>
      <c r="CB2" t="s">
        <v>225</v>
      </c>
      <c r="CC2" t="s">
        <v>226</v>
      </c>
      <c r="CD2" t="s">
        <v>227</v>
      </c>
      <c r="CE2" s="13" t="s">
        <v>228</v>
      </c>
      <c r="CF2" t="s">
        <v>223</v>
      </c>
      <c r="CG2" t="s">
        <v>224</v>
      </c>
      <c r="CH2" t="s">
        <v>225</v>
      </c>
      <c r="CI2" t="s">
        <v>226</v>
      </c>
      <c r="CJ2" t="s">
        <v>227</v>
      </c>
      <c r="CK2" s="13" t="s">
        <v>228</v>
      </c>
      <c r="CL2" t="s">
        <v>223</v>
      </c>
      <c r="CM2" t="s">
        <v>224</v>
      </c>
      <c r="CN2" t="s">
        <v>225</v>
      </c>
      <c r="CO2" t="s">
        <v>226</v>
      </c>
      <c r="CP2" t="s">
        <v>227</v>
      </c>
      <c r="CQ2" s="13" t="s">
        <v>228</v>
      </c>
      <c r="CR2" t="s">
        <v>223</v>
      </c>
      <c r="CS2" t="s">
        <v>224</v>
      </c>
      <c r="CT2" t="s">
        <v>225</v>
      </c>
      <c r="CU2" t="s">
        <v>226</v>
      </c>
      <c r="CV2" t="s">
        <v>227</v>
      </c>
      <c r="CW2" s="13" t="s">
        <v>228</v>
      </c>
      <c r="CX2" t="s">
        <v>223</v>
      </c>
      <c r="CY2" t="s">
        <v>224</v>
      </c>
      <c r="CZ2" t="s">
        <v>225</v>
      </c>
      <c r="DA2" t="s">
        <v>226</v>
      </c>
      <c r="DB2" t="s">
        <v>227</v>
      </c>
      <c r="DC2" s="13" t="s">
        <v>228</v>
      </c>
      <c r="DD2" t="s">
        <v>223</v>
      </c>
      <c r="DE2" t="s">
        <v>224</v>
      </c>
      <c r="DF2" t="s">
        <v>225</v>
      </c>
      <c r="DG2" t="s">
        <v>226</v>
      </c>
      <c r="DH2" t="s">
        <v>227</v>
      </c>
      <c r="DI2" s="13" t="s">
        <v>228</v>
      </c>
      <c r="DJ2" t="s">
        <v>223</v>
      </c>
      <c r="DK2" t="s">
        <v>224</v>
      </c>
      <c r="DL2" t="s">
        <v>225</v>
      </c>
      <c r="DM2" t="s">
        <v>226</v>
      </c>
      <c r="DN2" t="s">
        <v>227</v>
      </c>
      <c r="DO2" t="s">
        <v>228</v>
      </c>
      <c r="DP2" s="11"/>
      <c r="EA2" s="11"/>
      <c r="EB2" t="s">
        <v>223</v>
      </c>
      <c r="EC2" t="s">
        <v>224</v>
      </c>
      <c r="ED2" t="s">
        <v>229</v>
      </c>
      <c r="EE2" s="25" t="s">
        <v>223</v>
      </c>
      <c r="EF2" t="s">
        <v>224</v>
      </c>
      <c r="EG2" s="13" t="s">
        <v>229</v>
      </c>
      <c r="EH2" t="s">
        <v>223</v>
      </c>
      <c r="EI2" t="s">
        <v>224</v>
      </c>
      <c r="EJ2" t="s">
        <v>229</v>
      </c>
      <c r="EK2" s="11"/>
      <c r="EL2" s="126" t="s">
        <v>230</v>
      </c>
      <c r="EM2" s="126" t="s">
        <v>231</v>
      </c>
      <c r="EN2" s="126" t="s">
        <v>230</v>
      </c>
      <c r="EO2" s="126" t="s">
        <v>231</v>
      </c>
      <c r="EP2" s="11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1"/>
    </row>
    <row r="3" spans="1:158" x14ac:dyDescent="0.2">
      <c r="A3">
        <v>1</v>
      </c>
      <c r="B3" t="s">
        <v>232</v>
      </c>
      <c r="C3" s="4">
        <v>300</v>
      </c>
      <c r="D3" s="4">
        <v>700</v>
      </c>
      <c r="E3" s="4">
        <v>878</v>
      </c>
      <c r="F3" s="4">
        <v>0</v>
      </c>
      <c r="G3" s="17">
        <v>0</v>
      </c>
      <c r="H3" s="4">
        <v>0</v>
      </c>
      <c r="I3" s="4">
        <v>0</v>
      </c>
      <c r="J3" s="4">
        <v>0</v>
      </c>
      <c r="K3" s="18">
        <v>0</v>
      </c>
      <c r="L3" s="4">
        <v>0</v>
      </c>
      <c r="M3" s="4">
        <v>0</v>
      </c>
      <c r="N3" s="4">
        <v>0</v>
      </c>
      <c r="O3" s="18">
        <v>0</v>
      </c>
      <c r="P3" s="4">
        <v>0</v>
      </c>
      <c r="Q3" s="4">
        <v>0</v>
      </c>
      <c r="R3" s="4">
        <v>0</v>
      </c>
      <c r="S3" s="18">
        <v>0</v>
      </c>
      <c r="T3" s="4">
        <v>0</v>
      </c>
      <c r="U3" s="4">
        <v>0</v>
      </c>
      <c r="V3" s="4">
        <v>0</v>
      </c>
      <c r="W3" s="4">
        <v>0</v>
      </c>
      <c r="X3" s="19"/>
      <c r="Y3" s="4">
        <v>0</v>
      </c>
      <c r="Z3" s="4">
        <v>0</v>
      </c>
      <c r="AA3" s="4">
        <v>0</v>
      </c>
      <c r="AB3" s="4">
        <v>0</v>
      </c>
      <c r="AC3" s="72">
        <v>0</v>
      </c>
      <c r="AD3" s="74">
        <v>0</v>
      </c>
      <c r="AE3" s="4">
        <v>0</v>
      </c>
      <c r="AF3" s="4">
        <v>0</v>
      </c>
      <c r="AG3" s="4">
        <v>0</v>
      </c>
      <c r="AH3" s="4">
        <v>0</v>
      </c>
      <c r="AI3" s="19"/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18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18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18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18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18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18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18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18">
        <v>0</v>
      </c>
      <c r="CF3" s="4">
        <v>27755.1</v>
      </c>
      <c r="CG3" s="4">
        <v>54329.399999999994</v>
      </c>
      <c r="CH3" s="4">
        <v>75145.5</v>
      </c>
      <c r="CI3" s="4">
        <v>151558.1</v>
      </c>
      <c r="CJ3" s="4">
        <v>121399.89999999998</v>
      </c>
      <c r="CK3" s="18">
        <v>104230</v>
      </c>
      <c r="CL3" s="4">
        <v>0</v>
      </c>
      <c r="CM3" s="4">
        <v>0</v>
      </c>
      <c r="CN3" s="4">
        <v>0</v>
      </c>
      <c r="CO3" s="4">
        <v>0</v>
      </c>
      <c r="CP3" s="4">
        <v>0</v>
      </c>
      <c r="CQ3" s="18">
        <v>0</v>
      </c>
      <c r="CR3" s="4">
        <v>9578</v>
      </c>
      <c r="CS3" s="4">
        <v>18588.2</v>
      </c>
      <c r="CT3" s="4">
        <v>34392</v>
      </c>
      <c r="CU3" s="4">
        <v>143635.69999999998</v>
      </c>
      <c r="CV3" s="4">
        <v>55307.1</v>
      </c>
      <c r="CW3" s="18">
        <v>58390.000000000007</v>
      </c>
      <c r="CX3" s="4">
        <v>0</v>
      </c>
      <c r="CY3" s="4">
        <v>0</v>
      </c>
      <c r="CZ3" s="4">
        <v>0</v>
      </c>
      <c r="DA3" s="4">
        <v>0</v>
      </c>
      <c r="DB3" s="4">
        <v>0</v>
      </c>
      <c r="DC3" s="18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18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19"/>
      <c r="DQ3" s="33">
        <v>0</v>
      </c>
      <c r="DR3" s="33">
        <v>0</v>
      </c>
      <c r="DS3" s="33">
        <v>0</v>
      </c>
      <c r="DT3" s="33">
        <v>0</v>
      </c>
      <c r="DU3" s="33">
        <v>0</v>
      </c>
      <c r="DV3" s="33">
        <v>0</v>
      </c>
      <c r="DW3" s="33">
        <v>0</v>
      </c>
      <c r="DX3" s="33">
        <v>0</v>
      </c>
      <c r="DY3" s="33">
        <v>0</v>
      </c>
      <c r="DZ3" s="33">
        <v>0</v>
      </c>
      <c r="EA3" s="19"/>
      <c r="EB3" s="4">
        <v>193280847</v>
      </c>
      <c r="EC3" s="4">
        <v>341654512</v>
      </c>
      <c r="ED3" s="4">
        <v>498644104</v>
      </c>
      <c r="EE3" s="26">
        <v>12400613</v>
      </c>
      <c r="EF3" s="4">
        <v>28352565</v>
      </c>
      <c r="EG3" s="18">
        <v>103098537</v>
      </c>
      <c r="EH3" s="4">
        <v>492501</v>
      </c>
      <c r="EI3" s="4">
        <v>747544.00000000012</v>
      </c>
      <c r="EJ3" s="4">
        <v>2607505</v>
      </c>
      <c r="EK3" s="19"/>
      <c r="EL3" s="4">
        <v>0</v>
      </c>
      <c r="EM3" s="4">
        <v>0</v>
      </c>
      <c r="EN3" s="4">
        <v>0</v>
      </c>
      <c r="EO3" s="4">
        <v>0</v>
      </c>
      <c r="EP3" s="11"/>
      <c r="EQ3" s="4">
        <v>0</v>
      </c>
      <c r="ER3" s="4">
        <v>0</v>
      </c>
      <c r="ES3" s="4">
        <v>209</v>
      </c>
      <c r="ET3" s="4">
        <v>1126</v>
      </c>
      <c r="EU3" s="75">
        <v>0</v>
      </c>
      <c r="EV3" s="4">
        <v>0</v>
      </c>
      <c r="EW3" s="4">
        <v>0</v>
      </c>
      <c r="EX3" s="4">
        <v>0</v>
      </c>
      <c r="EY3" s="4">
        <v>0</v>
      </c>
      <c r="EZ3" s="4">
        <v>1722937</v>
      </c>
      <c r="FA3" s="11"/>
      <c r="FB3" s="4">
        <f t="shared" ref="FB3:FB14" si="0">SUM(C3:EZ3)</f>
        <v>1183859187</v>
      </c>
    </row>
    <row r="4" spans="1:158" x14ac:dyDescent="0.2">
      <c r="A4">
        <v>2</v>
      </c>
      <c r="B4" t="s">
        <v>233</v>
      </c>
      <c r="C4" s="4">
        <v>-1521</v>
      </c>
      <c r="D4" s="4">
        <v>-2117</v>
      </c>
      <c r="E4" s="4">
        <v>-4361</v>
      </c>
      <c r="F4" s="4">
        <v>-3090</v>
      </c>
      <c r="G4" s="17">
        <v>0</v>
      </c>
      <c r="H4" s="4">
        <v>0</v>
      </c>
      <c r="I4" s="4">
        <v>0</v>
      </c>
      <c r="J4" s="4">
        <v>0</v>
      </c>
      <c r="K4" s="18">
        <v>0</v>
      </c>
      <c r="L4" s="4">
        <v>0</v>
      </c>
      <c r="M4" s="4">
        <v>0</v>
      </c>
      <c r="N4" s="4">
        <v>0</v>
      </c>
      <c r="O4" s="18">
        <v>0</v>
      </c>
      <c r="P4" s="4">
        <v>0</v>
      </c>
      <c r="Q4" s="4">
        <v>0</v>
      </c>
      <c r="R4" s="4">
        <v>0</v>
      </c>
      <c r="S4" s="18">
        <v>0</v>
      </c>
      <c r="T4" s="4">
        <v>0</v>
      </c>
      <c r="U4" s="4">
        <v>0</v>
      </c>
      <c r="V4" s="4">
        <v>0</v>
      </c>
      <c r="W4" s="4">
        <v>0</v>
      </c>
      <c r="X4" s="19"/>
      <c r="Y4" s="4">
        <v>0</v>
      </c>
      <c r="Z4" s="4">
        <v>0</v>
      </c>
      <c r="AA4" s="4">
        <v>0</v>
      </c>
      <c r="AB4" s="4">
        <v>0</v>
      </c>
      <c r="AC4" s="72">
        <v>0</v>
      </c>
      <c r="AD4" s="74">
        <v>0</v>
      </c>
      <c r="AE4" s="4">
        <v>0</v>
      </c>
      <c r="AF4" s="4">
        <v>0</v>
      </c>
      <c r="AG4" s="4">
        <v>0</v>
      </c>
      <c r="AH4" s="4">
        <v>0</v>
      </c>
      <c r="AI4" s="19"/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18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18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18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18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18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18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18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18">
        <v>0</v>
      </c>
      <c r="CF4" s="4">
        <v>27694.799999999999</v>
      </c>
      <c r="CG4" s="4">
        <v>53443.7</v>
      </c>
      <c r="CH4" s="4">
        <v>72448.5</v>
      </c>
      <c r="CI4" s="4">
        <v>134535.9</v>
      </c>
      <c r="CJ4" s="4">
        <v>89977.10000000002</v>
      </c>
      <c r="CK4" s="18">
        <v>70862</v>
      </c>
      <c r="CL4" s="4">
        <v>0</v>
      </c>
      <c r="CM4" s="4">
        <v>0</v>
      </c>
      <c r="CN4" s="4">
        <v>0</v>
      </c>
      <c r="CO4" s="4">
        <v>0</v>
      </c>
      <c r="CP4" s="4">
        <v>0</v>
      </c>
      <c r="CQ4" s="18">
        <v>0</v>
      </c>
      <c r="CR4" s="4">
        <v>9373.1</v>
      </c>
      <c r="CS4" s="4">
        <v>15684</v>
      </c>
      <c r="CT4" s="4">
        <v>25208</v>
      </c>
      <c r="CU4" s="4">
        <v>84586</v>
      </c>
      <c r="CV4" s="4">
        <v>33993.9</v>
      </c>
      <c r="CW4" s="18">
        <v>23008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18">
        <v>0</v>
      </c>
      <c r="DD4" s="4">
        <v>0</v>
      </c>
      <c r="DE4" s="4">
        <v>0</v>
      </c>
      <c r="DF4" s="4">
        <v>0</v>
      </c>
      <c r="DG4" s="4">
        <v>0</v>
      </c>
      <c r="DH4" s="4">
        <v>0</v>
      </c>
      <c r="DI4" s="18">
        <v>0</v>
      </c>
      <c r="DJ4" s="4">
        <v>0</v>
      </c>
      <c r="DK4" s="4">
        <v>0</v>
      </c>
      <c r="DL4" s="4">
        <v>0</v>
      </c>
      <c r="DM4" s="4">
        <v>0</v>
      </c>
      <c r="DN4" s="4">
        <v>0</v>
      </c>
      <c r="DO4" s="4">
        <v>0</v>
      </c>
      <c r="DP4" s="19"/>
      <c r="DQ4" s="33">
        <v>0</v>
      </c>
      <c r="DR4" s="33">
        <v>0</v>
      </c>
      <c r="DS4" s="33">
        <v>0</v>
      </c>
      <c r="DT4" s="33">
        <v>0</v>
      </c>
      <c r="DU4" s="33">
        <v>0</v>
      </c>
      <c r="DV4" s="33">
        <v>0</v>
      </c>
      <c r="DW4" s="33">
        <v>0</v>
      </c>
      <c r="DX4" s="33">
        <v>0</v>
      </c>
      <c r="DY4" s="33">
        <v>0</v>
      </c>
      <c r="DZ4" s="33">
        <v>0</v>
      </c>
      <c r="EA4" s="19"/>
      <c r="EB4" s="4">
        <v>191515613</v>
      </c>
      <c r="EC4" s="4">
        <v>299818613.00000006</v>
      </c>
      <c r="ED4" s="4">
        <v>317014152.99999994</v>
      </c>
      <c r="EE4" s="26">
        <v>12427881</v>
      </c>
      <c r="EF4" s="4">
        <v>27816313</v>
      </c>
      <c r="EG4" s="18">
        <v>64258358</v>
      </c>
      <c r="EH4" s="4">
        <v>463887</v>
      </c>
      <c r="EI4" s="4">
        <v>625593</v>
      </c>
      <c r="EJ4" s="4">
        <v>1606989</v>
      </c>
      <c r="EK4" s="19"/>
      <c r="EL4" s="4">
        <v>0</v>
      </c>
      <c r="EM4" s="4">
        <v>0</v>
      </c>
      <c r="EN4" s="4">
        <v>0</v>
      </c>
      <c r="EO4" s="4">
        <v>0</v>
      </c>
      <c r="EP4" s="11"/>
      <c r="EQ4" s="4">
        <v>0</v>
      </c>
      <c r="ER4" s="4">
        <v>0</v>
      </c>
      <c r="ES4" s="4">
        <v>128</v>
      </c>
      <c r="ET4" s="4">
        <v>669</v>
      </c>
      <c r="EU4" s="75">
        <v>0</v>
      </c>
      <c r="EV4" s="4">
        <v>0</v>
      </c>
      <c r="EW4" s="4">
        <v>0</v>
      </c>
      <c r="EX4" s="4">
        <v>0</v>
      </c>
      <c r="EY4" s="4">
        <v>0</v>
      </c>
      <c r="EZ4" s="4">
        <v>1719253</v>
      </c>
      <c r="FA4" s="11"/>
      <c r="FB4" s="4">
        <f t="shared" si="0"/>
        <v>917897176</v>
      </c>
    </row>
    <row r="5" spans="1:158" x14ac:dyDescent="0.2">
      <c r="A5">
        <v>3</v>
      </c>
      <c r="B5" t="s">
        <v>234</v>
      </c>
      <c r="C5" s="4">
        <v>0</v>
      </c>
      <c r="D5" s="4">
        <v>0</v>
      </c>
      <c r="E5" s="4">
        <v>0</v>
      </c>
      <c r="F5" s="4">
        <v>0</v>
      </c>
      <c r="G5" s="17">
        <v>0</v>
      </c>
      <c r="H5" s="4">
        <v>0</v>
      </c>
      <c r="I5" s="4">
        <v>0</v>
      </c>
      <c r="J5" s="4">
        <v>0</v>
      </c>
      <c r="K5" s="18">
        <v>0</v>
      </c>
      <c r="L5" s="4">
        <v>0</v>
      </c>
      <c r="M5" s="4">
        <v>0</v>
      </c>
      <c r="N5" s="4">
        <v>0</v>
      </c>
      <c r="O5" s="18">
        <v>0</v>
      </c>
      <c r="P5" s="4">
        <v>0</v>
      </c>
      <c r="Q5" s="4">
        <v>0</v>
      </c>
      <c r="R5" s="4">
        <v>0</v>
      </c>
      <c r="S5" s="18">
        <v>0</v>
      </c>
      <c r="T5" s="4">
        <v>0</v>
      </c>
      <c r="U5" s="4">
        <v>0</v>
      </c>
      <c r="V5" s="4">
        <v>0</v>
      </c>
      <c r="W5" s="4">
        <v>0</v>
      </c>
      <c r="X5" s="19"/>
      <c r="Y5" s="4">
        <v>0</v>
      </c>
      <c r="Z5" s="4">
        <v>0</v>
      </c>
      <c r="AA5" s="4">
        <v>0</v>
      </c>
      <c r="AB5" s="4">
        <v>0</v>
      </c>
      <c r="AC5" s="72">
        <v>0</v>
      </c>
      <c r="AD5" s="74">
        <v>0</v>
      </c>
      <c r="AE5" s="4">
        <v>0</v>
      </c>
      <c r="AF5" s="4">
        <v>0</v>
      </c>
      <c r="AG5" s="4">
        <v>0</v>
      </c>
      <c r="AH5" s="4">
        <v>0</v>
      </c>
      <c r="AI5" s="19"/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18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18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18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18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18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18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18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18">
        <v>0</v>
      </c>
      <c r="CF5" s="4">
        <v>26382.400000000001</v>
      </c>
      <c r="CG5" s="4">
        <v>50514.5</v>
      </c>
      <c r="CH5" s="4">
        <v>63207.5</v>
      </c>
      <c r="CI5" s="4">
        <v>120593.70000000001</v>
      </c>
      <c r="CJ5" s="4">
        <v>82622.900000000009</v>
      </c>
      <c r="CK5" s="18">
        <v>51932.000000000007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18">
        <v>0</v>
      </c>
      <c r="CR5" s="4">
        <v>9075</v>
      </c>
      <c r="CS5" s="4">
        <v>15176</v>
      </c>
      <c r="CT5" s="4">
        <v>23861</v>
      </c>
      <c r="CU5" s="4">
        <v>90696.6</v>
      </c>
      <c r="CV5" s="4">
        <v>31857.4</v>
      </c>
      <c r="CW5" s="18">
        <v>56792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18">
        <v>0</v>
      </c>
      <c r="DD5" s="4">
        <v>0</v>
      </c>
      <c r="DE5" s="4">
        <v>0</v>
      </c>
      <c r="DF5" s="4">
        <v>0</v>
      </c>
      <c r="DG5" s="4">
        <v>0</v>
      </c>
      <c r="DH5" s="4">
        <v>0</v>
      </c>
      <c r="DI5" s="18">
        <v>0</v>
      </c>
      <c r="DJ5" s="4">
        <v>0</v>
      </c>
      <c r="DK5" s="4">
        <v>0</v>
      </c>
      <c r="DL5" s="4">
        <v>0</v>
      </c>
      <c r="DM5" s="4">
        <v>0</v>
      </c>
      <c r="DN5" s="4">
        <v>0</v>
      </c>
      <c r="DO5" s="4">
        <v>0</v>
      </c>
      <c r="DP5" s="19"/>
      <c r="DQ5" s="33">
        <v>0</v>
      </c>
      <c r="DR5" s="33">
        <v>0</v>
      </c>
      <c r="DS5" s="33">
        <v>0</v>
      </c>
      <c r="DT5" s="33">
        <v>0</v>
      </c>
      <c r="DU5" s="33">
        <v>0</v>
      </c>
      <c r="DV5" s="33">
        <v>0</v>
      </c>
      <c r="DW5" s="33">
        <v>0</v>
      </c>
      <c r="DX5" s="33">
        <v>0</v>
      </c>
      <c r="DY5" s="33">
        <v>0</v>
      </c>
      <c r="DZ5" s="33">
        <v>0</v>
      </c>
      <c r="EA5" s="19"/>
      <c r="EB5" s="4">
        <v>188903162.99999997</v>
      </c>
      <c r="EC5" s="4">
        <v>274482665</v>
      </c>
      <c r="ED5" s="4">
        <v>193921188</v>
      </c>
      <c r="EE5" s="26">
        <v>12355211</v>
      </c>
      <c r="EF5" s="4">
        <v>26882138.000000004</v>
      </c>
      <c r="EG5" s="18">
        <v>36615378</v>
      </c>
      <c r="EH5" s="4">
        <v>415019</v>
      </c>
      <c r="EI5" s="4">
        <v>527657</v>
      </c>
      <c r="EJ5" s="4">
        <v>1289936</v>
      </c>
      <c r="EK5" s="19"/>
      <c r="EL5" s="4">
        <v>0</v>
      </c>
      <c r="EM5" s="4">
        <v>0</v>
      </c>
      <c r="EN5" s="4">
        <v>0</v>
      </c>
      <c r="EO5" s="4">
        <v>0</v>
      </c>
      <c r="EP5" s="11"/>
      <c r="EQ5" s="4">
        <v>0</v>
      </c>
      <c r="ER5" s="4">
        <v>0</v>
      </c>
      <c r="ES5" s="4">
        <v>135</v>
      </c>
      <c r="ET5" s="4">
        <v>562</v>
      </c>
      <c r="EU5" s="75">
        <v>0</v>
      </c>
      <c r="EV5" s="4">
        <v>0</v>
      </c>
      <c r="EW5" s="4">
        <v>0</v>
      </c>
      <c r="EX5" s="4">
        <v>0</v>
      </c>
      <c r="EY5" s="4">
        <v>0</v>
      </c>
      <c r="EZ5" s="4">
        <v>1713718</v>
      </c>
      <c r="FA5" s="11"/>
      <c r="FB5" s="4">
        <f t="shared" si="0"/>
        <v>737729481</v>
      </c>
    </row>
    <row r="6" spans="1:158" x14ac:dyDescent="0.2">
      <c r="A6">
        <v>4</v>
      </c>
      <c r="B6" t="s">
        <v>235</v>
      </c>
      <c r="C6" s="4">
        <v>0</v>
      </c>
      <c r="D6" s="4">
        <v>0</v>
      </c>
      <c r="E6" s="4">
        <v>0</v>
      </c>
      <c r="F6" s="4">
        <v>0</v>
      </c>
      <c r="G6" s="17">
        <v>0</v>
      </c>
      <c r="H6" s="4">
        <v>0</v>
      </c>
      <c r="I6" s="4">
        <v>0</v>
      </c>
      <c r="J6" s="4">
        <v>0</v>
      </c>
      <c r="K6" s="18">
        <v>0</v>
      </c>
      <c r="L6" s="4">
        <v>0</v>
      </c>
      <c r="M6" s="4">
        <v>0</v>
      </c>
      <c r="N6" s="4">
        <v>0</v>
      </c>
      <c r="O6" s="18">
        <v>0</v>
      </c>
      <c r="P6" s="4">
        <v>0</v>
      </c>
      <c r="Q6" s="4">
        <v>0</v>
      </c>
      <c r="R6" s="4">
        <v>0</v>
      </c>
      <c r="S6" s="18">
        <v>0</v>
      </c>
      <c r="T6" s="4">
        <v>0</v>
      </c>
      <c r="U6" s="4">
        <v>0</v>
      </c>
      <c r="V6" s="4">
        <v>0</v>
      </c>
      <c r="W6" s="4">
        <v>0</v>
      </c>
      <c r="X6" s="19"/>
      <c r="Y6" s="4">
        <v>0</v>
      </c>
      <c r="Z6" s="4">
        <v>0</v>
      </c>
      <c r="AA6" s="4">
        <v>0</v>
      </c>
      <c r="AB6" s="4">
        <v>0</v>
      </c>
      <c r="AC6" s="72">
        <v>0</v>
      </c>
      <c r="AD6" s="74">
        <v>0</v>
      </c>
      <c r="AE6" s="4">
        <v>0</v>
      </c>
      <c r="AF6" s="4">
        <v>0</v>
      </c>
      <c r="AG6" s="4">
        <v>0</v>
      </c>
      <c r="AH6" s="4">
        <v>0</v>
      </c>
      <c r="AI6" s="19"/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18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18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18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18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18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18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18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18">
        <v>0</v>
      </c>
      <c r="CF6" s="4">
        <v>26823.200000000001</v>
      </c>
      <c r="CG6" s="4">
        <v>50327.399999999994</v>
      </c>
      <c r="CH6" s="4">
        <v>61345.3</v>
      </c>
      <c r="CI6" s="4">
        <v>111083.19999999998</v>
      </c>
      <c r="CJ6" s="4">
        <v>87372.900000000038</v>
      </c>
      <c r="CK6" s="18">
        <v>62056.000000000007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18">
        <v>0</v>
      </c>
      <c r="CR6" s="4">
        <v>9595.2999999999993</v>
      </c>
      <c r="CS6" s="4">
        <v>14655.7</v>
      </c>
      <c r="CT6" s="4">
        <v>17480</v>
      </c>
      <c r="CU6" s="4">
        <v>84959.1</v>
      </c>
      <c r="CV6" s="4">
        <v>35727.9</v>
      </c>
      <c r="CW6" s="18">
        <v>45913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18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18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19"/>
      <c r="DQ6" s="33">
        <v>0</v>
      </c>
      <c r="DR6" s="33">
        <v>0</v>
      </c>
      <c r="DS6" s="33">
        <v>0</v>
      </c>
      <c r="DT6" s="33">
        <v>0</v>
      </c>
      <c r="DU6" s="33">
        <v>0</v>
      </c>
      <c r="DV6" s="33">
        <v>0</v>
      </c>
      <c r="DW6" s="33">
        <v>0</v>
      </c>
      <c r="DX6" s="33">
        <v>0</v>
      </c>
      <c r="DY6" s="33">
        <v>0</v>
      </c>
      <c r="DZ6" s="33">
        <v>0</v>
      </c>
      <c r="EA6" s="19"/>
      <c r="EB6" s="4">
        <v>189345247</v>
      </c>
      <c r="EC6" s="4">
        <v>274640053</v>
      </c>
      <c r="ED6" s="4">
        <v>182308694</v>
      </c>
      <c r="EE6" s="26">
        <v>12351044</v>
      </c>
      <c r="EF6" s="4">
        <v>26708370.000000004</v>
      </c>
      <c r="EG6" s="18">
        <v>33786859</v>
      </c>
      <c r="EH6" s="4">
        <v>392181</v>
      </c>
      <c r="EI6" s="4">
        <v>482501</v>
      </c>
      <c r="EJ6" s="4">
        <v>1275860</v>
      </c>
      <c r="EK6" s="19"/>
      <c r="EL6" s="4">
        <v>0</v>
      </c>
      <c r="EM6" s="4">
        <v>0</v>
      </c>
      <c r="EN6" s="4">
        <v>0</v>
      </c>
      <c r="EO6" s="4">
        <v>0</v>
      </c>
      <c r="EP6" s="11"/>
      <c r="EQ6" s="4">
        <v>0</v>
      </c>
      <c r="ER6" s="4">
        <v>0</v>
      </c>
      <c r="ES6" s="4">
        <v>129</v>
      </c>
      <c r="ET6" s="4">
        <v>331</v>
      </c>
      <c r="EU6" s="75">
        <v>0</v>
      </c>
      <c r="EV6" s="4">
        <v>0</v>
      </c>
      <c r="EW6" s="4">
        <v>0</v>
      </c>
      <c r="EX6" s="4">
        <v>0</v>
      </c>
      <c r="EY6" s="4">
        <v>0</v>
      </c>
      <c r="EZ6" s="4">
        <v>1709888</v>
      </c>
      <c r="FA6" s="11"/>
      <c r="FB6" s="4">
        <f t="shared" si="0"/>
        <v>723608496</v>
      </c>
    </row>
    <row r="7" spans="1:158" x14ac:dyDescent="0.2">
      <c r="A7">
        <v>5</v>
      </c>
      <c r="B7" t="s">
        <v>236</v>
      </c>
      <c r="C7" s="4">
        <v>300</v>
      </c>
      <c r="D7" s="4">
        <v>700</v>
      </c>
      <c r="E7" s="4">
        <v>512</v>
      </c>
      <c r="F7" s="4">
        <v>0</v>
      </c>
      <c r="G7" s="17">
        <v>0</v>
      </c>
      <c r="H7" s="4">
        <v>0</v>
      </c>
      <c r="I7" s="4">
        <v>0</v>
      </c>
      <c r="J7" s="4">
        <v>0</v>
      </c>
      <c r="K7" s="18">
        <v>0</v>
      </c>
      <c r="L7" s="4">
        <v>0</v>
      </c>
      <c r="M7" s="4">
        <v>0</v>
      </c>
      <c r="N7" s="4">
        <v>0</v>
      </c>
      <c r="O7" s="18">
        <v>0</v>
      </c>
      <c r="P7" s="4">
        <v>0</v>
      </c>
      <c r="Q7" s="4">
        <v>0</v>
      </c>
      <c r="R7" s="4">
        <v>0</v>
      </c>
      <c r="S7" s="18">
        <v>0</v>
      </c>
      <c r="T7" s="4">
        <v>0</v>
      </c>
      <c r="U7" s="4">
        <v>0</v>
      </c>
      <c r="V7" s="4">
        <v>0</v>
      </c>
      <c r="W7" s="4">
        <v>0</v>
      </c>
      <c r="X7" s="19"/>
      <c r="Y7" s="4">
        <v>0</v>
      </c>
      <c r="Z7" s="4">
        <v>0</v>
      </c>
      <c r="AA7" s="4">
        <v>0</v>
      </c>
      <c r="AB7" s="4">
        <v>0</v>
      </c>
      <c r="AC7" s="72">
        <v>0</v>
      </c>
      <c r="AD7" s="74">
        <v>0</v>
      </c>
      <c r="AE7" s="4">
        <v>0</v>
      </c>
      <c r="AF7" s="4">
        <v>0</v>
      </c>
      <c r="AG7" s="4">
        <v>0</v>
      </c>
      <c r="AH7" s="4">
        <v>0</v>
      </c>
      <c r="AI7" s="19"/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18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18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18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18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18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18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18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18">
        <v>0</v>
      </c>
      <c r="CF7" s="4">
        <v>28286</v>
      </c>
      <c r="CG7" s="4">
        <v>51884.4</v>
      </c>
      <c r="CH7" s="4">
        <v>59858.899999999994</v>
      </c>
      <c r="CI7" s="4">
        <v>112779.30000000002</v>
      </c>
      <c r="CJ7" s="4">
        <v>81048.400000000009</v>
      </c>
      <c r="CK7" s="18">
        <v>50592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18">
        <v>0</v>
      </c>
      <c r="CR7" s="4">
        <v>9350</v>
      </c>
      <c r="CS7" s="4">
        <v>13281.5</v>
      </c>
      <c r="CT7" s="4">
        <v>17964</v>
      </c>
      <c r="CU7" s="4">
        <v>93297.9</v>
      </c>
      <c r="CV7" s="4">
        <v>39078.6</v>
      </c>
      <c r="CW7" s="18">
        <v>20876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18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18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4">
        <v>0</v>
      </c>
      <c r="DP7" s="19"/>
      <c r="DQ7" s="33">
        <v>0</v>
      </c>
      <c r="DR7" s="33">
        <v>0</v>
      </c>
      <c r="DS7" s="33">
        <v>0</v>
      </c>
      <c r="DT7" s="33">
        <v>0</v>
      </c>
      <c r="DU7" s="33">
        <v>0</v>
      </c>
      <c r="DV7" s="33">
        <v>0</v>
      </c>
      <c r="DW7" s="33">
        <v>0</v>
      </c>
      <c r="DX7" s="33">
        <v>0</v>
      </c>
      <c r="DY7" s="33">
        <v>0</v>
      </c>
      <c r="DZ7" s="33">
        <v>0</v>
      </c>
      <c r="EA7" s="19"/>
      <c r="EB7" s="4">
        <v>186493864</v>
      </c>
      <c r="EC7" s="4">
        <v>250721672.00000003</v>
      </c>
      <c r="ED7" s="4">
        <v>87385814</v>
      </c>
      <c r="EE7" s="26">
        <v>12243844.000000002</v>
      </c>
      <c r="EF7" s="4">
        <v>22967085</v>
      </c>
      <c r="EG7" s="18">
        <v>12330942</v>
      </c>
      <c r="EH7" s="4">
        <v>349321</v>
      </c>
      <c r="EI7" s="4">
        <v>404389</v>
      </c>
      <c r="EJ7" s="4">
        <v>1157289</v>
      </c>
      <c r="EK7" s="19"/>
      <c r="EL7" s="4">
        <v>0</v>
      </c>
      <c r="EM7" s="4">
        <v>0</v>
      </c>
      <c r="EN7" s="4">
        <v>0</v>
      </c>
      <c r="EO7" s="4">
        <v>0</v>
      </c>
      <c r="EP7" s="11"/>
      <c r="EQ7" s="4">
        <v>0</v>
      </c>
      <c r="ER7" s="4">
        <v>0</v>
      </c>
      <c r="ES7" s="4">
        <v>118</v>
      </c>
      <c r="ET7" s="4">
        <v>401</v>
      </c>
      <c r="EU7" s="75">
        <v>0</v>
      </c>
      <c r="EV7" s="4">
        <v>0</v>
      </c>
      <c r="EW7" s="4">
        <v>0</v>
      </c>
      <c r="EX7" s="4">
        <v>0</v>
      </c>
      <c r="EY7" s="4">
        <v>0</v>
      </c>
      <c r="EZ7" s="4">
        <v>1706676</v>
      </c>
      <c r="FA7" s="11"/>
      <c r="FB7" s="4">
        <f t="shared" si="0"/>
        <v>576341224</v>
      </c>
    </row>
    <row r="8" spans="1:158" x14ac:dyDescent="0.2">
      <c r="A8">
        <v>6</v>
      </c>
      <c r="B8" t="s">
        <v>237</v>
      </c>
      <c r="C8" s="4">
        <v>0</v>
      </c>
      <c r="D8" s="4">
        <v>0</v>
      </c>
      <c r="E8" s="4">
        <v>0</v>
      </c>
      <c r="F8" s="4">
        <v>0</v>
      </c>
      <c r="G8" s="17">
        <v>0</v>
      </c>
      <c r="H8" s="4">
        <v>0</v>
      </c>
      <c r="I8" s="4">
        <v>0</v>
      </c>
      <c r="J8" s="4">
        <v>0</v>
      </c>
      <c r="K8" s="18">
        <v>0</v>
      </c>
      <c r="L8" s="4">
        <v>0</v>
      </c>
      <c r="M8" s="4">
        <v>0</v>
      </c>
      <c r="N8" s="4">
        <v>0</v>
      </c>
      <c r="O8" s="18">
        <v>0</v>
      </c>
      <c r="P8" s="4">
        <v>0</v>
      </c>
      <c r="Q8" s="4">
        <v>0</v>
      </c>
      <c r="R8" s="4">
        <v>0</v>
      </c>
      <c r="S8" s="18">
        <v>0</v>
      </c>
      <c r="T8" s="4">
        <v>0</v>
      </c>
      <c r="U8" s="4">
        <v>0</v>
      </c>
      <c r="V8" s="4">
        <v>0</v>
      </c>
      <c r="W8" s="4">
        <v>0</v>
      </c>
      <c r="X8" s="19"/>
      <c r="Y8" s="4">
        <v>0</v>
      </c>
      <c r="Z8" s="4">
        <v>0</v>
      </c>
      <c r="AA8" s="4">
        <v>0</v>
      </c>
      <c r="AB8" s="4">
        <v>0</v>
      </c>
      <c r="AC8" s="72">
        <v>0</v>
      </c>
      <c r="AD8" s="74">
        <v>0</v>
      </c>
      <c r="AE8" s="4">
        <v>0</v>
      </c>
      <c r="AF8" s="4">
        <v>0</v>
      </c>
      <c r="AG8" s="4">
        <v>0</v>
      </c>
      <c r="AH8" s="4">
        <v>0</v>
      </c>
      <c r="AI8" s="19"/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18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18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18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18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18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18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18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18">
        <v>0</v>
      </c>
      <c r="CF8" s="4">
        <v>28327.3</v>
      </c>
      <c r="CG8" s="4">
        <v>53722.400000000001</v>
      </c>
      <c r="CH8" s="4">
        <v>59197.8</v>
      </c>
      <c r="CI8" s="4">
        <v>103155.79999999999</v>
      </c>
      <c r="CJ8" s="4">
        <v>89090.699999999983</v>
      </c>
      <c r="CK8" s="18">
        <v>103425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18">
        <v>0</v>
      </c>
      <c r="CR8" s="4">
        <v>10043</v>
      </c>
      <c r="CS8" s="4">
        <v>13138</v>
      </c>
      <c r="CT8" s="4">
        <v>18760</v>
      </c>
      <c r="CU8" s="4">
        <v>96050</v>
      </c>
      <c r="CV8" s="4">
        <v>33333.999999999993</v>
      </c>
      <c r="CW8" s="18">
        <v>33270.000000000007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18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18">
        <v>0</v>
      </c>
      <c r="DJ8" s="4">
        <v>0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19"/>
      <c r="DQ8" s="33">
        <v>0</v>
      </c>
      <c r="DR8" s="33">
        <v>0</v>
      </c>
      <c r="DS8" s="33">
        <v>0</v>
      </c>
      <c r="DT8" s="33">
        <v>0</v>
      </c>
      <c r="DU8" s="33">
        <v>0</v>
      </c>
      <c r="DV8" s="33">
        <v>0</v>
      </c>
      <c r="DW8" s="33">
        <v>0</v>
      </c>
      <c r="DX8" s="33">
        <v>0</v>
      </c>
      <c r="DY8" s="33">
        <v>0</v>
      </c>
      <c r="DZ8" s="33">
        <v>0</v>
      </c>
      <c r="EA8" s="19"/>
      <c r="EB8" s="4">
        <v>189831244</v>
      </c>
      <c r="EC8" s="4">
        <v>322052505</v>
      </c>
      <c r="ED8" s="4">
        <v>196843311</v>
      </c>
      <c r="EE8" s="26">
        <v>12224422</v>
      </c>
      <c r="EF8" s="4">
        <v>23444485</v>
      </c>
      <c r="EG8" s="18">
        <v>16723518</v>
      </c>
      <c r="EH8" s="4">
        <v>354372</v>
      </c>
      <c r="EI8" s="4">
        <v>411349.99999999994</v>
      </c>
      <c r="EJ8" s="4">
        <v>1509670</v>
      </c>
      <c r="EK8" s="19"/>
      <c r="EL8" s="4">
        <v>0</v>
      </c>
      <c r="EM8" s="4">
        <v>0</v>
      </c>
      <c r="EN8" s="4">
        <v>0</v>
      </c>
      <c r="EO8" s="4">
        <v>0</v>
      </c>
      <c r="EP8" s="11"/>
      <c r="EQ8" s="4">
        <v>0</v>
      </c>
      <c r="ER8" s="4">
        <v>0</v>
      </c>
      <c r="ES8" s="4">
        <v>127</v>
      </c>
      <c r="ET8" s="4">
        <v>665</v>
      </c>
      <c r="EU8" s="75">
        <v>0</v>
      </c>
      <c r="EV8" s="4">
        <v>0</v>
      </c>
      <c r="EW8" s="4">
        <v>0</v>
      </c>
      <c r="EX8" s="4">
        <v>0</v>
      </c>
      <c r="EY8" s="4">
        <v>0</v>
      </c>
      <c r="EZ8" s="4">
        <v>1703075</v>
      </c>
      <c r="FA8" s="11"/>
      <c r="FB8" s="4">
        <f t="shared" si="0"/>
        <v>765740258</v>
      </c>
    </row>
    <row r="9" spans="1:158" x14ac:dyDescent="0.2">
      <c r="A9">
        <v>7</v>
      </c>
      <c r="B9" t="s">
        <v>238</v>
      </c>
      <c r="C9" s="4">
        <v>102</v>
      </c>
      <c r="D9" s="4">
        <v>0</v>
      </c>
      <c r="E9" s="4">
        <v>0</v>
      </c>
      <c r="F9" s="4">
        <v>0</v>
      </c>
      <c r="G9" s="17">
        <v>0</v>
      </c>
      <c r="H9" s="4">
        <v>0</v>
      </c>
      <c r="I9" s="4">
        <v>0</v>
      </c>
      <c r="J9" s="4">
        <v>0</v>
      </c>
      <c r="K9" s="18">
        <v>0</v>
      </c>
      <c r="L9" s="4">
        <v>0</v>
      </c>
      <c r="M9" s="4">
        <v>0</v>
      </c>
      <c r="N9" s="4">
        <v>0</v>
      </c>
      <c r="O9" s="18">
        <v>0</v>
      </c>
      <c r="P9" s="4">
        <v>0</v>
      </c>
      <c r="Q9" s="4">
        <v>0</v>
      </c>
      <c r="R9" s="4">
        <v>0</v>
      </c>
      <c r="S9" s="18">
        <v>0</v>
      </c>
      <c r="T9" s="4">
        <v>0</v>
      </c>
      <c r="U9" s="4">
        <v>0</v>
      </c>
      <c r="V9" s="4">
        <v>0</v>
      </c>
      <c r="W9" s="4">
        <v>0</v>
      </c>
      <c r="X9" s="19"/>
      <c r="Y9" s="4">
        <v>0</v>
      </c>
      <c r="Z9" s="4">
        <v>0</v>
      </c>
      <c r="AA9" s="4">
        <v>0</v>
      </c>
      <c r="AB9" s="4">
        <v>0</v>
      </c>
      <c r="AC9" s="72">
        <v>0</v>
      </c>
      <c r="AD9" s="74">
        <v>0</v>
      </c>
      <c r="AE9" s="4">
        <v>0</v>
      </c>
      <c r="AF9" s="4">
        <v>0</v>
      </c>
      <c r="AG9" s="4">
        <v>0</v>
      </c>
      <c r="AH9" s="4">
        <v>0</v>
      </c>
      <c r="AI9" s="19"/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18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18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18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18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18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18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18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18">
        <v>0</v>
      </c>
      <c r="CF9" s="4">
        <v>26336.100000000002</v>
      </c>
      <c r="CG9" s="4">
        <v>50770.100000000006</v>
      </c>
      <c r="CH9" s="4">
        <v>58060.800000000003</v>
      </c>
      <c r="CI9" s="4">
        <v>81664.89999999998</v>
      </c>
      <c r="CJ9" s="4">
        <v>81945.099999999991</v>
      </c>
      <c r="CK9" s="18">
        <v>72417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18">
        <v>0</v>
      </c>
      <c r="CR9" s="4">
        <v>8704.5</v>
      </c>
      <c r="CS9" s="4">
        <v>10664</v>
      </c>
      <c r="CT9" s="4">
        <v>15000</v>
      </c>
      <c r="CU9" s="4">
        <v>96609.600000000006</v>
      </c>
      <c r="CV9" s="4">
        <v>36622.9</v>
      </c>
      <c r="CW9" s="18">
        <v>17446.000000000004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18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18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19"/>
      <c r="DQ9" s="33">
        <v>0</v>
      </c>
      <c r="DR9" s="33">
        <v>0</v>
      </c>
      <c r="DS9" s="33">
        <v>0</v>
      </c>
      <c r="DT9" s="33">
        <v>0</v>
      </c>
      <c r="DU9" s="33">
        <v>0</v>
      </c>
      <c r="DV9" s="33">
        <v>0</v>
      </c>
      <c r="DW9" s="33">
        <v>0</v>
      </c>
      <c r="DX9" s="33">
        <v>0</v>
      </c>
      <c r="DY9" s="33">
        <v>0</v>
      </c>
      <c r="DZ9" s="33">
        <v>0</v>
      </c>
      <c r="EA9" s="19"/>
      <c r="EB9" s="4">
        <v>188067454</v>
      </c>
      <c r="EC9" s="4">
        <v>330708051</v>
      </c>
      <c r="ED9" s="4">
        <v>226298717</v>
      </c>
      <c r="EE9" s="26">
        <v>12212239</v>
      </c>
      <c r="EF9" s="4">
        <v>24004528.999999996</v>
      </c>
      <c r="EG9" s="18">
        <v>18941804</v>
      </c>
      <c r="EH9" s="4">
        <v>361215.99999999994</v>
      </c>
      <c r="EI9" s="4">
        <v>432768</v>
      </c>
      <c r="EJ9" s="4">
        <v>1685566</v>
      </c>
      <c r="EK9" s="19"/>
      <c r="EL9" s="4">
        <v>0</v>
      </c>
      <c r="EM9" s="4">
        <v>0</v>
      </c>
      <c r="EN9" s="4">
        <v>0</v>
      </c>
      <c r="EO9" s="4">
        <v>0</v>
      </c>
      <c r="EP9" s="11"/>
      <c r="EQ9" s="4">
        <v>0</v>
      </c>
      <c r="ER9" s="4">
        <v>0</v>
      </c>
      <c r="ES9" s="4">
        <v>6</v>
      </c>
      <c r="ET9" s="4">
        <v>549</v>
      </c>
      <c r="EU9" s="75">
        <v>0</v>
      </c>
      <c r="EV9" s="4">
        <v>0</v>
      </c>
      <c r="EW9" s="4">
        <v>0</v>
      </c>
      <c r="EX9" s="4">
        <v>0</v>
      </c>
      <c r="EY9" s="4">
        <v>0</v>
      </c>
      <c r="EZ9" s="4">
        <v>1741016</v>
      </c>
      <c r="FA9" s="11"/>
      <c r="FB9" s="4">
        <f t="shared" si="0"/>
        <v>805010258</v>
      </c>
    </row>
    <row r="10" spans="1:158" x14ac:dyDescent="0.2">
      <c r="A10">
        <v>8</v>
      </c>
      <c r="B10" t="s">
        <v>239</v>
      </c>
      <c r="C10" s="4">
        <v>25</v>
      </c>
      <c r="D10" s="4">
        <v>0</v>
      </c>
      <c r="E10" s="4">
        <v>0</v>
      </c>
      <c r="F10" s="4">
        <v>0</v>
      </c>
      <c r="G10" s="17">
        <v>0</v>
      </c>
      <c r="H10" s="4">
        <v>0</v>
      </c>
      <c r="I10" s="4">
        <v>0</v>
      </c>
      <c r="J10" s="4">
        <v>0</v>
      </c>
      <c r="K10" s="18">
        <v>0</v>
      </c>
      <c r="L10" s="4">
        <v>0</v>
      </c>
      <c r="M10" s="4">
        <v>0</v>
      </c>
      <c r="N10" s="4">
        <v>0</v>
      </c>
      <c r="O10" s="18">
        <v>0</v>
      </c>
      <c r="P10" s="4">
        <v>0</v>
      </c>
      <c r="Q10" s="4">
        <v>0</v>
      </c>
      <c r="R10" s="4">
        <v>0</v>
      </c>
      <c r="S10" s="18">
        <v>0</v>
      </c>
      <c r="T10" s="4">
        <v>0</v>
      </c>
      <c r="U10" s="4">
        <v>0</v>
      </c>
      <c r="V10" s="4">
        <v>0</v>
      </c>
      <c r="W10" s="4">
        <v>0</v>
      </c>
      <c r="X10" s="19"/>
      <c r="Y10" s="4">
        <v>0</v>
      </c>
      <c r="Z10" s="4">
        <v>0</v>
      </c>
      <c r="AA10" s="4">
        <v>0</v>
      </c>
      <c r="AB10" s="4">
        <v>0</v>
      </c>
      <c r="AC10" s="72">
        <v>0</v>
      </c>
      <c r="AD10" s="74">
        <v>0</v>
      </c>
      <c r="AE10" s="4">
        <v>0</v>
      </c>
      <c r="AF10" s="4">
        <v>0</v>
      </c>
      <c r="AG10" s="4">
        <v>0</v>
      </c>
      <c r="AH10" s="4">
        <v>0</v>
      </c>
      <c r="AI10" s="19"/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18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18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18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18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18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18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18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18">
        <v>0</v>
      </c>
      <c r="CF10" s="4">
        <v>26563</v>
      </c>
      <c r="CG10" s="4">
        <v>50520.4</v>
      </c>
      <c r="CH10" s="4">
        <v>56523.19999999999</v>
      </c>
      <c r="CI10" s="4">
        <v>82148</v>
      </c>
      <c r="CJ10" s="4">
        <v>84096.400000000009</v>
      </c>
      <c r="CK10" s="18">
        <v>49959.000000000007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18">
        <v>0</v>
      </c>
      <c r="CR10" s="4">
        <v>10041</v>
      </c>
      <c r="CS10" s="4">
        <v>14940</v>
      </c>
      <c r="CT10" s="4">
        <v>17861</v>
      </c>
      <c r="CU10" s="4">
        <v>88911.9</v>
      </c>
      <c r="CV10" s="4">
        <v>29580.1</v>
      </c>
      <c r="CW10" s="18">
        <v>5146.0000000000009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18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18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19"/>
      <c r="DQ10" s="33">
        <v>0</v>
      </c>
      <c r="DR10" s="33">
        <v>0</v>
      </c>
      <c r="DS10" s="33">
        <v>0</v>
      </c>
      <c r="DT10" s="33">
        <v>0</v>
      </c>
      <c r="DU10" s="33">
        <v>0</v>
      </c>
      <c r="DV10" s="33">
        <v>0</v>
      </c>
      <c r="DW10" s="33">
        <v>0</v>
      </c>
      <c r="DX10" s="33">
        <v>0</v>
      </c>
      <c r="DY10" s="33">
        <v>0</v>
      </c>
      <c r="DZ10" s="33">
        <v>0</v>
      </c>
      <c r="EA10" s="19"/>
      <c r="EB10" s="4">
        <v>187858457.99999997</v>
      </c>
      <c r="EC10" s="4">
        <v>325645261</v>
      </c>
      <c r="ED10" s="4">
        <v>203514420</v>
      </c>
      <c r="EE10" s="26">
        <v>12178177</v>
      </c>
      <c r="EF10" s="4">
        <v>23556080</v>
      </c>
      <c r="EG10" s="18">
        <v>16913789</v>
      </c>
      <c r="EH10" s="4">
        <v>352543.00000000006</v>
      </c>
      <c r="EI10" s="4">
        <v>431717</v>
      </c>
      <c r="EJ10" s="4">
        <v>1554504</v>
      </c>
      <c r="EK10" s="19"/>
      <c r="EL10" s="4">
        <v>0</v>
      </c>
      <c r="EM10" s="4">
        <v>0</v>
      </c>
      <c r="EN10" s="4">
        <v>0</v>
      </c>
      <c r="EO10" s="4">
        <v>0</v>
      </c>
      <c r="EP10" s="11"/>
      <c r="EQ10" s="4">
        <v>0</v>
      </c>
      <c r="ER10" s="4">
        <v>0</v>
      </c>
      <c r="ES10" s="4">
        <v>10</v>
      </c>
      <c r="ET10" s="4">
        <v>615</v>
      </c>
      <c r="EU10" s="75">
        <v>0</v>
      </c>
      <c r="EV10" s="4">
        <v>0</v>
      </c>
      <c r="EW10" s="4">
        <v>0</v>
      </c>
      <c r="EX10" s="4">
        <v>0</v>
      </c>
      <c r="EY10" s="4">
        <v>0</v>
      </c>
      <c r="EZ10" s="4">
        <v>1740388</v>
      </c>
      <c r="FA10" s="11"/>
      <c r="FB10" s="4">
        <f t="shared" si="0"/>
        <v>774262277</v>
      </c>
    </row>
    <row r="11" spans="1:158" x14ac:dyDescent="0.2">
      <c r="A11">
        <v>9</v>
      </c>
      <c r="B11" t="s">
        <v>240</v>
      </c>
      <c r="C11" s="4">
        <v>0</v>
      </c>
      <c r="D11" s="4">
        <v>0</v>
      </c>
      <c r="E11" s="4">
        <v>0</v>
      </c>
      <c r="F11" s="4">
        <v>0</v>
      </c>
      <c r="G11" s="17">
        <v>0</v>
      </c>
      <c r="H11" s="4">
        <v>0</v>
      </c>
      <c r="I11" s="4">
        <v>0</v>
      </c>
      <c r="J11" s="4">
        <v>0</v>
      </c>
      <c r="K11" s="18">
        <v>0</v>
      </c>
      <c r="L11" s="4">
        <v>0</v>
      </c>
      <c r="M11" s="4">
        <v>0</v>
      </c>
      <c r="N11" s="4">
        <v>0</v>
      </c>
      <c r="O11" s="18">
        <v>0</v>
      </c>
      <c r="P11" s="4">
        <v>0</v>
      </c>
      <c r="Q11" s="4">
        <v>0</v>
      </c>
      <c r="R11" s="4">
        <v>0</v>
      </c>
      <c r="S11" s="18">
        <v>0</v>
      </c>
      <c r="T11" s="4">
        <v>0</v>
      </c>
      <c r="U11" s="4">
        <v>0</v>
      </c>
      <c r="V11" s="4">
        <v>0</v>
      </c>
      <c r="W11" s="4">
        <v>0</v>
      </c>
      <c r="X11" s="19"/>
      <c r="Y11" s="4">
        <v>0</v>
      </c>
      <c r="Z11" s="4">
        <v>0</v>
      </c>
      <c r="AA11" s="4">
        <v>0</v>
      </c>
      <c r="AB11" s="4">
        <v>0</v>
      </c>
      <c r="AC11" s="72">
        <v>0</v>
      </c>
      <c r="AD11" s="74">
        <v>0</v>
      </c>
      <c r="AE11" s="4">
        <v>0</v>
      </c>
      <c r="AF11" s="4">
        <v>0</v>
      </c>
      <c r="AG11" s="4">
        <v>0</v>
      </c>
      <c r="AH11" s="4">
        <v>0</v>
      </c>
      <c r="AI11" s="19"/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18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18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18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18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18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18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18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18">
        <v>0</v>
      </c>
      <c r="CF11" s="4">
        <v>26017.5</v>
      </c>
      <c r="CG11" s="4">
        <v>48560.299999999996</v>
      </c>
      <c r="CH11" s="4">
        <v>51435.199999999997</v>
      </c>
      <c r="CI11" s="4">
        <v>95585.200000000012</v>
      </c>
      <c r="CJ11" s="4">
        <v>75661.8</v>
      </c>
      <c r="CK11" s="18">
        <v>43253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18">
        <v>0</v>
      </c>
      <c r="CR11" s="4">
        <v>9463.2000000000007</v>
      </c>
      <c r="CS11" s="4">
        <v>15140</v>
      </c>
      <c r="CT11" s="4">
        <v>23970</v>
      </c>
      <c r="CU11" s="4">
        <v>86412.6</v>
      </c>
      <c r="CV11" s="4">
        <v>26931.199999999997</v>
      </c>
      <c r="CW11" s="18">
        <v>8296.0000000000073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18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18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19"/>
      <c r="DQ11" s="33">
        <v>0</v>
      </c>
      <c r="DR11" s="33">
        <v>0</v>
      </c>
      <c r="DS11" s="33">
        <v>0</v>
      </c>
      <c r="DT11" s="33">
        <v>0</v>
      </c>
      <c r="DU11" s="33">
        <v>0</v>
      </c>
      <c r="DV11" s="33">
        <v>0</v>
      </c>
      <c r="DW11" s="33">
        <v>0</v>
      </c>
      <c r="DX11" s="33">
        <v>0</v>
      </c>
      <c r="DY11" s="33">
        <v>0</v>
      </c>
      <c r="DZ11" s="33">
        <v>0</v>
      </c>
      <c r="EA11" s="19"/>
      <c r="EB11" s="4">
        <v>187970123</v>
      </c>
      <c r="EC11" s="4">
        <v>293931910</v>
      </c>
      <c r="ED11" s="18">
        <v>140825440</v>
      </c>
      <c r="EE11" s="26">
        <v>12266384</v>
      </c>
      <c r="EF11" s="4">
        <v>22370742.999999996</v>
      </c>
      <c r="EG11" s="18">
        <v>13431311</v>
      </c>
      <c r="EH11" s="4">
        <v>348511</v>
      </c>
      <c r="EI11" s="4">
        <v>405661.99999999994</v>
      </c>
      <c r="EJ11" s="4">
        <v>1408777</v>
      </c>
      <c r="EK11" s="19"/>
      <c r="EL11" s="4">
        <v>0</v>
      </c>
      <c r="EM11" s="4">
        <v>0</v>
      </c>
      <c r="EN11" s="4">
        <v>0</v>
      </c>
      <c r="EO11" s="4">
        <v>0</v>
      </c>
      <c r="EP11" s="11"/>
      <c r="EQ11" s="4">
        <v>0</v>
      </c>
      <c r="ER11" s="4">
        <v>0</v>
      </c>
      <c r="ES11" s="4">
        <v>8</v>
      </c>
      <c r="ET11" s="4">
        <v>494</v>
      </c>
      <c r="EU11" s="75">
        <v>0</v>
      </c>
      <c r="EV11" s="4">
        <v>0</v>
      </c>
      <c r="EW11" s="4">
        <v>0</v>
      </c>
      <c r="EX11" s="4">
        <v>0</v>
      </c>
      <c r="EY11" s="4">
        <v>0</v>
      </c>
      <c r="EZ11" s="4">
        <v>1740388</v>
      </c>
      <c r="FA11" s="11"/>
      <c r="FB11" s="4">
        <f t="shared" si="0"/>
        <v>675210477</v>
      </c>
    </row>
    <row r="12" spans="1:158" x14ac:dyDescent="0.2">
      <c r="A12">
        <v>10</v>
      </c>
      <c r="B12" t="s">
        <v>241</v>
      </c>
      <c r="C12" s="4">
        <v>63</v>
      </c>
      <c r="D12" s="4">
        <v>0</v>
      </c>
      <c r="E12" s="4">
        <v>0</v>
      </c>
      <c r="F12" s="4">
        <v>0</v>
      </c>
      <c r="G12" s="17">
        <v>0</v>
      </c>
      <c r="H12" s="4">
        <v>0</v>
      </c>
      <c r="I12" s="4">
        <v>0</v>
      </c>
      <c r="J12" s="4">
        <v>0</v>
      </c>
      <c r="K12" s="18">
        <v>0</v>
      </c>
      <c r="L12" s="4">
        <v>0</v>
      </c>
      <c r="M12" s="4">
        <v>0</v>
      </c>
      <c r="N12" s="4">
        <v>0</v>
      </c>
      <c r="O12" s="18">
        <v>0</v>
      </c>
      <c r="P12" s="4">
        <v>0</v>
      </c>
      <c r="Q12" s="4">
        <v>0</v>
      </c>
      <c r="R12" s="4">
        <v>0</v>
      </c>
      <c r="S12" s="18">
        <v>0</v>
      </c>
      <c r="T12" s="4">
        <v>0</v>
      </c>
      <c r="U12" s="4">
        <v>0</v>
      </c>
      <c r="V12" s="4">
        <v>0</v>
      </c>
      <c r="W12" s="4">
        <v>0</v>
      </c>
      <c r="X12" s="19"/>
      <c r="Y12" s="4">
        <v>0</v>
      </c>
      <c r="Z12" s="4">
        <v>0</v>
      </c>
      <c r="AA12" s="4">
        <v>0</v>
      </c>
      <c r="AB12" s="4">
        <v>0</v>
      </c>
      <c r="AC12" s="72">
        <v>0</v>
      </c>
      <c r="AD12" s="74">
        <v>0</v>
      </c>
      <c r="AE12" s="4">
        <v>0</v>
      </c>
      <c r="AF12" s="4">
        <v>0</v>
      </c>
      <c r="AG12" s="4">
        <v>0</v>
      </c>
      <c r="AH12" s="4">
        <v>0</v>
      </c>
      <c r="AI12" s="19"/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18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18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18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18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18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18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18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18">
        <v>0</v>
      </c>
      <c r="CF12" s="4">
        <v>27485.1</v>
      </c>
      <c r="CG12" s="4">
        <v>49740.7</v>
      </c>
      <c r="CH12" s="4">
        <v>53519.4</v>
      </c>
      <c r="CI12" s="4">
        <v>155098.09999999998</v>
      </c>
      <c r="CJ12" s="4">
        <v>104296.7</v>
      </c>
      <c r="CK12" s="18">
        <v>55224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18">
        <v>0</v>
      </c>
      <c r="CR12" s="4">
        <v>11387.8</v>
      </c>
      <c r="CS12" s="4">
        <v>21744</v>
      </c>
      <c r="CT12" s="4">
        <v>40878</v>
      </c>
      <c r="CU12" s="4">
        <v>193807.5</v>
      </c>
      <c r="CV12" s="4">
        <v>44025.7</v>
      </c>
      <c r="CW12" s="18">
        <v>25176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18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18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19"/>
      <c r="DQ12" s="33">
        <v>0</v>
      </c>
      <c r="DR12" s="33">
        <v>0</v>
      </c>
      <c r="DS12" s="33">
        <v>0</v>
      </c>
      <c r="DT12" s="33">
        <v>0</v>
      </c>
      <c r="DU12" s="33">
        <v>0</v>
      </c>
      <c r="DV12" s="33">
        <v>0</v>
      </c>
      <c r="DW12" s="33">
        <v>0</v>
      </c>
      <c r="DX12" s="33">
        <v>0</v>
      </c>
      <c r="DY12" s="33">
        <v>0</v>
      </c>
      <c r="DZ12" s="33">
        <v>0</v>
      </c>
      <c r="EA12" s="19"/>
      <c r="EB12" s="4">
        <v>186902758</v>
      </c>
      <c r="EC12" s="4">
        <v>263988196</v>
      </c>
      <c r="ED12" s="4">
        <v>96298602</v>
      </c>
      <c r="EE12" s="26">
        <v>12151799</v>
      </c>
      <c r="EF12" s="4">
        <v>20954325.999999996</v>
      </c>
      <c r="EG12" s="18">
        <v>9637487.0000000037</v>
      </c>
      <c r="EH12" s="4">
        <v>405023</v>
      </c>
      <c r="EI12" s="4">
        <v>541683</v>
      </c>
      <c r="EJ12" s="4">
        <v>2270208</v>
      </c>
      <c r="EK12" s="19"/>
      <c r="EL12" s="4">
        <v>0</v>
      </c>
      <c r="EM12" s="4">
        <v>0</v>
      </c>
      <c r="EN12" s="4">
        <v>0</v>
      </c>
      <c r="EO12" s="4">
        <v>0</v>
      </c>
      <c r="EP12" s="11"/>
      <c r="EQ12" s="4">
        <v>0</v>
      </c>
      <c r="ER12" s="4">
        <v>0</v>
      </c>
      <c r="ES12" s="4">
        <v>15</v>
      </c>
      <c r="ET12" s="4">
        <v>533</v>
      </c>
      <c r="EU12" s="75">
        <v>0</v>
      </c>
      <c r="EV12" s="4">
        <v>0</v>
      </c>
      <c r="EW12" s="4">
        <v>0</v>
      </c>
      <c r="EX12" s="4">
        <v>0</v>
      </c>
      <c r="EY12" s="4">
        <v>0</v>
      </c>
      <c r="EZ12" s="4">
        <v>1728862</v>
      </c>
      <c r="FA12" s="11"/>
      <c r="FB12" s="4">
        <f t="shared" si="0"/>
        <v>595661938</v>
      </c>
    </row>
    <row r="13" spans="1:158" x14ac:dyDescent="0.2">
      <c r="A13">
        <v>11</v>
      </c>
      <c r="B13" t="s">
        <v>242</v>
      </c>
      <c r="C13" s="4">
        <v>-81</v>
      </c>
      <c r="D13" s="4">
        <v>0</v>
      </c>
      <c r="E13" s="4">
        <v>0</v>
      </c>
      <c r="F13" s="18">
        <v>0</v>
      </c>
      <c r="G13" s="17">
        <v>0</v>
      </c>
      <c r="H13" s="4">
        <v>0</v>
      </c>
      <c r="I13" s="4">
        <v>0</v>
      </c>
      <c r="J13" s="4">
        <v>0</v>
      </c>
      <c r="K13" s="18">
        <v>0</v>
      </c>
      <c r="L13" s="4">
        <v>0</v>
      </c>
      <c r="M13" s="4">
        <v>0</v>
      </c>
      <c r="N13" s="4">
        <v>0</v>
      </c>
      <c r="O13" s="18">
        <v>0</v>
      </c>
      <c r="P13" s="4">
        <v>0</v>
      </c>
      <c r="Q13" s="4">
        <v>0</v>
      </c>
      <c r="R13" s="4">
        <v>0</v>
      </c>
      <c r="S13" s="18">
        <v>0</v>
      </c>
      <c r="T13" s="4">
        <v>0</v>
      </c>
      <c r="U13" s="4">
        <v>0</v>
      </c>
      <c r="V13" s="4">
        <v>0</v>
      </c>
      <c r="W13" s="4">
        <v>0</v>
      </c>
      <c r="X13" s="19"/>
      <c r="Y13" s="4">
        <v>0</v>
      </c>
      <c r="Z13" s="4">
        <v>0</v>
      </c>
      <c r="AA13" s="4">
        <v>0</v>
      </c>
      <c r="AB13" s="4">
        <v>0</v>
      </c>
      <c r="AC13" s="72">
        <v>0</v>
      </c>
      <c r="AD13" s="74">
        <v>0</v>
      </c>
      <c r="AE13" s="4">
        <v>0</v>
      </c>
      <c r="AF13" s="4">
        <v>0</v>
      </c>
      <c r="AG13" s="4">
        <v>0</v>
      </c>
      <c r="AH13" s="4">
        <v>0</v>
      </c>
      <c r="AI13" s="19"/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18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18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18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18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18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18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18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18">
        <v>0</v>
      </c>
      <c r="CF13" s="4">
        <v>26745.599999999999</v>
      </c>
      <c r="CG13" s="4">
        <v>47137.5</v>
      </c>
      <c r="CH13" s="4">
        <v>56530.9</v>
      </c>
      <c r="CI13" s="4">
        <v>138535.70000000001</v>
      </c>
      <c r="CJ13" s="4">
        <v>88798.300000000017</v>
      </c>
      <c r="CK13" s="18">
        <v>40668.000000000007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18">
        <v>0</v>
      </c>
      <c r="CR13" s="4">
        <v>10912.2</v>
      </c>
      <c r="CS13" s="4">
        <v>23560</v>
      </c>
      <c r="CT13" s="4">
        <v>46000</v>
      </c>
      <c r="CU13" s="4">
        <v>347000.3</v>
      </c>
      <c r="CV13" s="4">
        <v>126996.5</v>
      </c>
      <c r="CW13" s="18">
        <v>74639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18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18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19"/>
      <c r="DQ13" s="33">
        <v>0</v>
      </c>
      <c r="DR13" s="33">
        <v>0</v>
      </c>
      <c r="DS13" s="33">
        <v>0</v>
      </c>
      <c r="DT13" s="33">
        <v>0</v>
      </c>
      <c r="DU13" s="33">
        <v>0</v>
      </c>
      <c r="DV13" s="33">
        <v>0</v>
      </c>
      <c r="DW13" s="33">
        <v>0</v>
      </c>
      <c r="DX13" s="33">
        <v>0</v>
      </c>
      <c r="DY13" s="33">
        <v>0</v>
      </c>
      <c r="DZ13" s="33">
        <v>0</v>
      </c>
      <c r="EA13" s="19"/>
      <c r="EB13" s="4">
        <v>186572404</v>
      </c>
      <c r="EC13" s="4">
        <v>249914409</v>
      </c>
      <c r="ED13" s="4">
        <v>104932914</v>
      </c>
      <c r="EE13" s="26">
        <v>12291556</v>
      </c>
      <c r="EF13" s="4">
        <v>24205409</v>
      </c>
      <c r="EG13" s="18">
        <v>17002664</v>
      </c>
      <c r="EH13" s="4">
        <v>471543</v>
      </c>
      <c r="EI13" s="4">
        <v>711273.99999999988</v>
      </c>
      <c r="EJ13" s="4">
        <v>3903925</v>
      </c>
      <c r="EK13" s="19"/>
      <c r="EL13" s="4">
        <v>0</v>
      </c>
      <c r="EM13" s="4">
        <v>0</v>
      </c>
      <c r="EN13" s="4">
        <v>0</v>
      </c>
      <c r="EO13" s="4">
        <v>0</v>
      </c>
      <c r="EP13" s="11"/>
      <c r="EQ13" s="4">
        <v>0</v>
      </c>
      <c r="ER13" s="4">
        <v>0</v>
      </c>
      <c r="ES13" s="4">
        <v>84</v>
      </c>
      <c r="ET13" s="4">
        <v>330</v>
      </c>
      <c r="EU13" s="75">
        <v>0</v>
      </c>
      <c r="EV13" s="4">
        <v>0</v>
      </c>
      <c r="EW13" s="4">
        <v>0</v>
      </c>
      <c r="EX13" s="4">
        <v>0</v>
      </c>
      <c r="EY13" s="4">
        <v>0</v>
      </c>
      <c r="EZ13" s="4">
        <v>1725689</v>
      </c>
      <c r="FA13" s="11"/>
      <c r="FB13" s="4">
        <f t="shared" si="0"/>
        <v>602759644</v>
      </c>
    </row>
    <row r="14" spans="1:158" x14ac:dyDescent="0.2">
      <c r="A14">
        <v>12</v>
      </c>
      <c r="B14" t="s">
        <v>243</v>
      </c>
      <c r="C14" s="4">
        <v>0</v>
      </c>
      <c r="D14" s="4">
        <v>0</v>
      </c>
      <c r="E14" s="4">
        <v>0</v>
      </c>
      <c r="F14" s="18">
        <v>0</v>
      </c>
      <c r="G14" s="17">
        <v>0</v>
      </c>
      <c r="H14" s="4">
        <v>0</v>
      </c>
      <c r="I14" s="4">
        <v>0</v>
      </c>
      <c r="J14" s="4">
        <v>0</v>
      </c>
      <c r="K14" s="18">
        <v>0</v>
      </c>
      <c r="L14" s="4">
        <v>0</v>
      </c>
      <c r="M14" s="4">
        <v>0</v>
      </c>
      <c r="N14" s="4">
        <v>0</v>
      </c>
      <c r="O14" s="18">
        <v>0</v>
      </c>
      <c r="P14" s="4">
        <v>0</v>
      </c>
      <c r="Q14" s="4">
        <v>0</v>
      </c>
      <c r="R14" s="4">
        <v>0</v>
      </c>
      <c r="S14" s="18">
        <v>0</v>
      </c>
      <c r="T14" s="4">
        <v>0</v>
      </c>
      <c r="U14" s="4">
        <v>0</v>
      </c>
      <c r="V14" s="4">
        <v>0</v>
      </c>
      <c r="W14" s="4">
        <v>0</v>
      </c>
      <c r="X14" s="19"/>
      <c r="Y14" s="4">
        <v>0</v>
      </c>
      <c r="Z14" s="4">
        <v>0</v>
      </c>
      <c r="AA14" s="4">
        <v>0</v>
      </c>
      <c r="AB14" s="4">
        <v>0</v>
      </c>
      <c r="AC14" s="72">
        <v>0</v>
      </c>
      <c r="AD14" s="74">
        <v>0</v>
      </c>
      <c r="AE14" s="4">
        <v>0</v>
      </c>
      <c r="AF14" s="4">
        <v>0</v>
      </c>
      <c r="AG14" s="4">
        <v>0</v>
      </c>
      <c r="AH14" s="4">
        <v>0</v>
      </c>
      <c r="AI14" s="19"/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18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18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18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18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18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18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18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18">
        <v>0</v>
      </c>
      <c r="CF14" s="4">
        <v>26909.599999999995</v>
      </c>
      <c r="CG14" s="4">
        <v>50078.3</v>
      </c>
      <c r="CH14" s="4">
        <v>62348.200000000004</v>
      </c>
      <c r="CI14" s="4">
        <v>140945.5</v>
      </c>
      <c r="CJ14" s="4">
        <v>89917.399999999965</v>
      </c>
      <c r="CK14" s="18">
        <v>43809.000000000015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18">
        <v>0</v>
      </c>
      <c r="CR14" s="4">
        <v>10508</v>
      </c>
      <c r="CS14" s="4">
        <v>22740</v>
      </c>
      <c r="CT14" s="4">
        <v>43360</v>
      </c>
      <c r="CU14" s="4">
        <v>274151.90000000002</v>
      </c>
      <c r="CV14" s="4">
        <v>87492.1</v>
      </c>
      <c r="CW14" s="18">
        <v>58882.000000000007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18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18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19"/>
      <c r="DQ14" s="33">
        <v>0</v>
      </c>
      <c r="DR14" s="33">
        <v>0</v>
      </c>
      <c r="DS14" s="33">
        <v>0</v>
      </c>
      <c r="DT14" s="33">
        <v>0</v>
      </c>
      <c r="DU14" s="33">
        <v>0</v>
      </c>
      <c r="DV14" s="33">
        <v>0</v>
      </c>
      <c r="DW14" s="33">
        <v>0</v>
      </c>
      <c r="DX14" s="33">
        <v>0</v>
      </c>
      <c r="DY14" s="33">
        <v>0</v>
      </c>
      <c r="DZ14" s="33">
        <v>0</v>
      </c>
      <c r="EA14" s="19"/>
      <c r="EB14" s="4">
        <v>189941334</v>
      </c>
      <c r="EC14" s="4">
        <v>295157414</v>
      </c>
      <c r="ED14" s="4">
        <v>229131761</v>
      </c>
      <c r="EE14" s="26">
        <v>12313899</v>
      </c>
      <c r="EF14" s="4">
        <v>27005247</v>
      </c>
      <c r="EG14" s="18">
        <v>40694417</v>
      </c>
      <c r="EH14" s="4">
        <v>497680</v>
      </c>
      <c r="EI14" s="4">
        <v>772719</v>
      </c>
      <c r="EJ14" s="4">
        <v>3670141</v>
      </c>
      <c r="EK14" s="19"/>
      <c r="EL14" s="4">
        <v>0</v>
      </c>
      <c r="EM14" s="4">
        <v>0</v>
      </c>
      <c r="EN14" s="4">
        <v>0</v>
      </c>
      <c r="EO14" s="4">
        <v>0</v>
      </c>
      <c r="EP14" s="11"/>
      <c r="EQ14" s="4">
        <v>0</v>
      </c>
      <c r="ER14" s="4">
        <v>0</v>
      </c>
      <c r="ES14" s="4">
        <v>215</v>
      </c>
      <c r="ET14" s="4">
        <v>747</v>
      </c>
      <c r="EU14" s="75">
        <v>0</v>
      </c>
      <c r="EV14" s="4">
        <v>0</v>
      </c>
      <c r="EW14" s="4">
        <v>0</v>
      </c>
      <c r="EX14" s="4">
        <v>0</v>
      </c>
      <c r="EY14" s="4">
        <v>0</v>
      </c>
      <c r="EZ14" s="4">
        <v>1725574</v>
      </c>
      <c r="FA14" s="11"/>
      <c r="FB14" s="4">
        <f t="shared" si="0"/>
        <v>801822290</v>
      </c>
    </row>
    <row r="15" spans="1:158" x14ac:dyDescent="0.2">
      <c r="B15" s="11"/>
      <c r="C15" s="11"/>
      <c r="D15" s="11"/>
      <c r="E15" s="11"/>
      <c r="F15" s="14"/>
      <c r="G15" s="16"/>
      <c r="H15" s="11"/>
      <c r="I15" s="11"/>
      <c r="J15" s="11"/>
      <c r="K15" s="14"/>
      <c r="L15" s="11"/>
      <c r="M15" s="11"/>
      <c r="N15" s="11"/>
      <c r="O15" s="14"/>
      <c r="P15" s="11"/>
      <c r="Q15" s="11"/>
      <c r="R15" s="11"/>
      <c r="S15" s="14"/>
      <c r="T15" s="11"/>
      <c r="U15" s="11"/>
      <c r="V15" s="11"/>
      <c r="W15" s="11"/>
      <c r="X15" s="11"/>
      <c r="Y15" s="11"/>
      <c r="Z15" s="11"/>
      <c r="AA15" s="11"/>
      <c r="AB15" s="11"/>
      <c r="AC15" s="27"/>
      <c r="AD15" s="14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4"/>
      <c r="AP15" s="11"/>
      <c r="AQ15" s="11"/>
      <c r="AR15" s="11"/>
      <c r="AS15" s="11"/>
      <c r="AT15" s="11"/>
      <c r="AU15" s="14"/>
      <c r="AV15" s="11"/>
      <c r="AW15" s="11"/>
      <c r="AX15" s="11"/>
      <c r="AY15" s="11"/>
      <c r="AZ15" s="11"/>
      <c r="BA15" s="14"/>
      <c r="BB15" s="11"/>
      <c r="BC15" s="11"/>
      <c r="BD15" s="11"/>
      <c r="BE15" s="11"/>
      <c r="BF15" s="11"/>
      <c r="BG15" s="14"/>
      <c r="BH15" s="11"/>
      <c r="BI15" s="11"/>
      <c r="BJ15" s="11"/>
      <c r="BK15" s="11"/>
      <c r="BL15" s="11"/>
      <c r="BM15" s="14"/>
      <c r="BN15" s="11"/>
      <c r="BO15" s="11"/>
      <c r="BP15" s="11"/>
      <c r="BQ15" s="11"/>
      <c r="BR15" s="11"/>
      <c r="BS15" s="14"/>
      <c r="BT15" s="11"/>
      <c r="BU15" s="11"/>
      <c r="BV15" s="11"/>
      <c r="BW15" s="11"/>
      <c r="BX15" s="11"/>
      <c r="BY15" s="14"/>
      <c r="BZ15" s="11"/>
      <c r="CA15" s="11"/>
      <c r="CB15" s="11"/>
      <c r="CC15" s="11"/>
      <c r="CD15" s="11"/>
      <c r="CE15" s="14"/>
      <c r="CF15" s="11"/>
      <c r="CG15" s="11"/>
      <c r="CH15" s="11"/>
      <c r="CI15" s="11"/>
      <c r="CJ15" s="11"/>
      <c r="CK15" s="14"/>
      <c r="CL15" s="11"/>
      <c r="CM15" s="11"/>
      <c r="CN15" s="11"/>
      <c r="CO15" s="11"/>
      <c r="CP15" s="11"/>
      <c r="CQ15" s="14"/>
      <c r="CR15" s="11"/>
      <c r="CS15" s="11"/>
      <c r="CT15" s="11"/>
      <c r="CU15" s="11"/>
      <c r="CV15" s="11"/>
      <c r="CW15" s="14"/>
      <c r="CX15" s="11"/>
      <c r="CY15" s="11"/>
      <c r="CZ15" s="11"/>
      <c r="DA15" s="11"/>
      <c r="DB15" s="11"/>
      <c r="DC15" s="14"/>
      <c r="DD15" s="11"/>
      <c r="DE15" s="11"/>
      <c r="DF15" s="11"/>
      <c r="DG15" s="11"/>
      <c r="DH15" s="11"/>
      <c r="DI15" s="14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27"/>
      <c r="EF15" s="11"/>
      <c r="EG15" s="14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</row>
    <row r="16" spans="1:158" x14ac:dyDescent="0.2">
      <c r="B16" t="s">
        <v>27</v>
      </c>
      <c r="C16" s="344" t="str">
        <f>C1</f>
        <v>CSN0</v>
      </c>
      <c r="D16" s="344"/>
      <c r="E16" s="344"/>
      <c r="F16" s="345"/>
      <c r="G16" s="15" t="str">
        <f>G1</f>
        <v>CSN2</v>
      </c>
      <c r="H16" s="343" t="str">
        <f>H1</f>
        <v>CSN7</v>
      </c>
      <c r="I16" s="344"/>
      <c r="J16" s="344"/>
      <c r="K16" s="345"/>
      <c r="L16" s="343" t="str">
        <f>L1</f>
        <v>CSN8</v>
      </c>
      <c r="M16" s="344"/>
      <c r="N16" s="344"/>
      <c r="O16" s="345"/>
      <c r="P16" s="343" t="str">
        <f>P1</f>
        <v>CSN9</v>
      </c>
      <c r="Q16" s="344"/>
      <c r="R16" s="344"/>
      <c r="S16" s="345"/>
      <c r="T16" s="343" t="str">
        <f>T1</f>
        <v>SFOC</v>
      </c>
      <c r="U16" s="344"/>
      <c r="V16" s="344"/>
      <c r="W16" s="344"/>
      <c r="X16" s="11"/>
      <c r="Y16" t="str">
        <f t="shared" ref="Y16:AH16" si="1">Y1</f>
        <v>HBA0</v>
      </c>
      <c r="Z16" t="str">
        <f t="shared" si="1"/>
        <v>HBN0</v>
      </c>
      <c r="AA16" t="str">
        <f t="shared" si="1"/>
        <v>HCA0</v>
      </c>
      <c r="AB16" t="str">
        <f t="shared" si="1"/>
        <v>HCN0</v>
      </c>
      <c r="AC16" s="25" t="str">
        <f t="shared" si="1"/>
        <v>HCN3</v>
      </c>
      <c r="AD16" s="13" t="str">
        <f t="shared" si="1"/>
        <v>HCN3</v>
      </c>
      <c r="AE16" t="str">
        <f t="shared" si="1"/>
        <v>HDN0</v>
      </c>
      <c r="AF16" t="str">
        <f t="shared" si="1"/>
        <v>HPN0</v>
      </c>
      <c r="AG16" t="str">
        <f t="shared" si="1"/>
        <v>HSN0</v>
      </c>
      <c r="AH16" t="str">
        <f t="shared" si="1"/>
        <v>HSS0</v>
      </c>
      <c r="AI16" s="11"/>
      <c r="AJ16" s="344" t="str">
        <f>AJ1</f>
        <v>LBA0</v>
      </c>
      <c r="AK16" s="344"/>
      <c r="AL16" s="344"/>
      <c r="AM16" s="344"/>
      <c r="AN16" s="344"/>
      <c r="AO16" s="345"/>
      <c r="AP16" s="343" t="str">
        <f>AP1</f>
        <v>LBAM</v>
      </c>
      <c r="AQ16" s="344"/>
      <c r="AR16" s="344"/>
      <c r="AS16" s="344"/>
      <c r="AT16" s="344"/>
      <c r="AU16" s="345"/>
      <c r="AV16" s="343" t="str">
        <f>AV1</f>
        <v>LBN0</v>
      </c>
      <c r="AW16" s="344"/>
      <c r="AX16" s="344"/>
      <c r="AY16" s="344"/>
      <c r="AZ16" s="344"/>
      <c r="BA16" s="345"/>
      <c r="BB16" s="343" t="str">
        <f>BB1</f>
        <v>LCA0</v>
      </c>
      <c r="BC16" s="344"/>
      <c r="BD16" s="344"/>
      <c r="BE16" s="344"/>
      <c r="BF16" s="344"/>
      <c r="BG16" s="345"/>
      <c r="BH16" s="343" t="str">
        <f>BH1</f>
        <v>LCN0</v>
      </c>
      <c r="BI16" s="344"/>
      <c r="BJ16" s="344"/>
      <c r="BK16" s="344"/>
      <c r="BL16" s="344"/>
      <c r="BM16" s="345"/>
      <c r="BN16" s="343" t="str">
        <f>BN1</f>
        <v>LDN0</v>
      </c>
      <c r="BO16" s="344"/>
      <c r="BP16" s="344"/>
      <c r="BQ16" s="344"/>
      <c r="BR16" s="344"/>
      <c r="BS16" s="345"/>
      <c r="BT16" s="343" t="str">
        <f>BT1</f>
        <v>LPN0</v>
      </c>
      <c r="BU16" s="344"/>
      <c r="BV16" s="344"/>
      <c r="BW16" s="344"/>
      <c r="BX16" s="344"/>
      <c r="BY16" s="345"/>
      <c r="BZ16" s="343" t="str">
        <f>BZ1</f>
        <v>LPA0</v>
      </c>
      <c r="CA16" s="344"/>
      <c r="CB16" s="344"/>
      <c r="CC16" s="344"/>
      <c r="CD16" s="344"/>
      <c r="CE16" s="345"/>
      <c r="CF16" s="343" t="str">
        <f>CF1</f>
        <v>LSN0</v>
      </c>
      <c r="CG16" s="344"/>
      <c r="CH16" s="344"/>
      <c r="CI16" s="344"/>
      <c r="CJ16" s="344"/>
      <c r="CK16" s="345"/>
      <c r="CL16" s="343" t="str">
        <f>CL1</f>
        <v>LSS0</v>
      </c>
      <c r="CM16" s="344"/>
      <c r="CN16" s="344"/>
      <c r="CO16" s="344"/>
      <c r="CP16" s="344"/>
      <c r="CQ16" s="345"/>
      <c r="CR16" s="343" t="str">
        <f>CR1</f>
        <v>LSN4</v>
      </c>
      <c r="CS16" s="344"/>
      <c r="CT16" s="344"/>
      <c r="CU16" s="344"/>
      <c r="CV16" s="344"/>
      <c r="CW16" s="345"/>
      <c r="CX16" s="343" t="str">
        <f>CX1</f>
        <v>LSN2</v>
      </c>
      <c r="CY16" s="344"/>
      <c r="CZ16" s="344"/>
      <c r="DA16" s="344"/>
      <c r="DB16" s="344"/>
      <c r="DC16" s="345"/>
      <c r="DD16" s="343" t="str">
        <f>DD1</f>
        <v>LSN3 - Peak</v>
      </c>
      <c r="DE16" s="344"/>
      <c r="DF16" s="344"/>
      <c r="DG16" s="344"/>
      <c r="DH16" s="344"/>
      <c r="DI16" s="344"/>
      <c r="DJ16" s="343" t="str">
        <f>DJ1</f>
        <v>LSN3 - Off Peak</v>
      </c>
      <c r="DK16" s="344"/>
      <c r="DL16" s="344"/>
      <c r="DM16" s="344"/>
      <c r="DN16" s="344"/>
      <c r="DO16" s="344"/>
      <c r="DP16" s="11"/>
      <c r="DQ16" t="str">
        <f>DQ1</f>
        <v>NUCF</v>
      </c>
      <c r="DR16" t="str">
        <f t="shared" ref="DR16:DZ16" si="2">DR1</f>
        <v>NUIF</v>
      </c>
      <c r="DS16" t="str">
        <f t="shared" si="2"/>
        <v>NUID</v>
      </c>
      <c r="DT16" t="str">
        <f t="shared" si="2"/>
        <v>NUCS</v>
      </c>
      <c r="DU16" t="str">
        <f t="shared" si="2"/>
        <v>SAES</v>
      </c>
      <c r="DV16" t="str">
        <f t="shared" si="2"/>
        <v>SASN</v>
      </c>
      <c r="DW16" t="str">
        <f t="shared" si="2"/>
        <v>SPUF</v>
      </c>
      <c r="DX16" t="str">
        <f t="shared" si="2"/>
        <v>SPUR</v>
      </c>
      <c r="DY16" t="str">
        <f t="shared" si="2"/>
        <v>SDEH</v>
      </c>
      <c r="DZ16" t="str">
        <f t="shared" si="2"/>
        <v>SDED</v>
      </c>
      <c r="EA16" s="11"/>
      <c r="EB16" s="344" t="str">
        <f t="shared" ref="EB16:EJ17" si="3">EB1</f>
        <v>RSN0</v>
      </c>
      <c r="EC16" s="344"/>
      <c r="ED16" s="345"/>
      <c r="EE16" s="343" t="str">
        <f t="shared" si="3"/>
        <v>RSN2</v>
      </c>
      <c r="EF16" s="344"/>
      <c r="EG16" s="345"/>
      <c r="EH16" s="344" t="str">
        <f t="shared" si="3"/>
        <v>RSN4</v>
      </c>
      <c r="EI16" s="344"/>
      <c r="EJ16" s="344"/>
      <c r="EK16" s="11"/>
      <c r="EL16" t="str">
        <f>EL1</f>
        <v xml:space="preserve">SWP </v>
      </c>
      <c r="EO16" t="str">
        <f>EN1</f>
        <v>SWPM</v>
      </c>
      <c r="EP16" s="11"/>
      <c r="EQ16" t="str">
        <f t="shared" ref="EQ16:EZ16" si="4">EQ1</f>
        <v>MHLS</v>
      </c>
      <c r="ER16" t="str">
        <f>ER1</f>
        <v>SFS</v>
      </c>
      <c r="ES16" t="str">
        <f t="shared" si="4"/>
        <v>SMLC</v>
      </c>
      <c r="ET16" t="str">
        <f t="shared" si="4"/>
        <v>SMLP</v>
      </c>
      <c r="EU16" t="str">
        <f t="shared" si="4"/>
        <v>SMPC</v>
      </c>
      <c r="EV16" t="str">
        <f t="shared" si="4"/>
        <v>SMS</v>
      </c>
      <c r="EW16" t="str">
        <f t="shared" si="4"/>
        <v>SSLC</v>
      </c>
      <c r="EX16" t="str">
        <f t="shared" si="4"/>
        <v>SSLP</v>
      </c>
      <c r="EY16" t="str">
        <f t="shared" si="4"/>
        <v>STS</v>
      </c>
      <c r="EZ16" t="str">
        <f t="shared" si="4"/>
        <v>UOLS</v>
      </c>
      <c r="FA16" s="11"/>
    </row>
    <row r="17" spans="1:158" x14ac:dyDescent="0.2">
      <c r="C17" t="str">
        <f t="shared" ref="C17:W17" si="5">C2</f>
        <v>First 300</v>
      </c>
      <c r="D17" t="str">
        <f t="shared" si="5"/>
        <v>Next 700</v>
      </c>
      <c r="E17" t="str">
        <f t="shared" si="5"/>
        <v>Next 1500</v>
      </c>
      <c r="F17" s="13" t="str">
        <f t="shared" si="5"/>
        <v>Over 2500</v>
      </c>
      <c r="G17" s="15"/>
      <c r="H17" t="str">
        <f t="shared" si="5"/>
        <v>First 300</v>
      </c>
      <c r="I17" t="str">
        <f t="shared" si="5"/>
        <v>Next 700</v>
      </c>
      <c r="J17" t="str">
        <f t="shared" si="5"/>
        <v>Next 1500</v>
      </c>
      <c r="K17" s="13" t="str">
        <f t="shared" si="5"/>
        <v>Over 2500</v>
      </c>
      <c r="L17" t="str">
        <f t="shared" si="5"/>
        <v>First 300</v>
      </c>
      <c r="M17" t="str">
        <f t="shared" si="5"/>
        <v>Next 700</v>
      </c>
      <c r="N17" t="str">
        <f t="shared" si="5"/>
        <v>Next 1500</v>
      </c>
      <c r="O17" s="13" t="str">
        <f t="shared" si="5"/>
        <v>Over 2500</v>
      </c>
      <c r="P17" t="str">
        <f t="shared" si="5"/>
        <v>First 300</v>
      </c>
      <c r="Q17" t="str">
        <f t="shared" si="5"/>
        <v>Next 700</v>
      </c>
      <c r="R17" t="str">
        <f t="shared" si="5"/>
        <v>Next 1500</v>
      </c>
      <c r="S17" s="13" t="str">
        <f t="shared" si="5"/>
        <v>Over 2500</v>
      </c>
      <c r="T17" t="str">
        <f t="shared" si="5"/>
        <v>First 300</v>
      </c>
      <c r="U17" t="str">
        <f t="shared" si="5"/>
        <v>Next 700</v>
      </c>
      <c r="V17" t="str">
        <f t="shared" si="5"/>
        <v>Next 1500</v>
      </c>
      <c r="W17" t="str">
        <f t="shared" si="5"/>
        <v>Over 2500</v>
      </c>
      <c r="X17" s="11"/>
      <c r="AC17" s="25" t="str">
        <f>AC2</f>
        <v>On Peak</v>
      </c>
      <c r="AD17" s="13" t="str">
        <f>AD2</f>
        <v>Off Peak</v>
      </c>
      <c r="AI17" s="11"/>
      <c r="AJ17" t="str">
        <f>AJ2</f>
        <v>First 300 kWh</v>
      </c>
      <c r="AK17" t="str">
        <f>AK2</f>
        <v>Next 700 kWh</v>
      </c>
      <c r="AL17" t="str">
        <f>AL2</f>
        <v>Next 1500 kWh</v>
      </c>
      <c r="AM17" t="str">
        <f>AM2</f>
        <v>Over 2500 kWh</v>
      </c>
      <c r="AN17" t="str">
        <f>AN2</f>
        <v>KWH_NEXT110</v>
      </c>
      <c r="AO17" s="13" t="str">
        <f>AO2</f>
        <v>KWH_300+</v>
      </c>
      <c r="AP17" t="str">
        <f>AP2</f>
        <v>First 300 kWh</v>
      </c>
      <c r="AQ17" t="str">
        <f>AQ2</f>
        <v>Next 700 kWh</v>
      </c>
      <c r="AR17" t="str">
        <f>AR2</f>
        <v>Next 1500 kWh</v>
      </c>
      <c r="AS17" t="str">
        <f>AS2</f>
        <v>Over 2500 kWh</v>
      </c>
      <c r="AT17" t="str">
        <f>AT2</f>
        <v>KWH_NEXT110</v>
      </c>
      <c r="AU17" s="13" t="str">
        <f>AU2</f>
        <v>KWH_300+</v>
      </c>
      <c r="AV17" t="str">
        <f>AV2</f>
        <v>First 300 kWh</v>
      </c>
      <c r="AW17" t="str">
        <f>AW2</f>
        <v>Next 700 kWh</v>
      </c>
      <c r="AX17" t="str">
        <f>AX2</f>
        <v>Next 1500 kWh</v>
      </c>
      <c r="AY17" t="str">
        <f>AY2</f>
        <v>Over 2500 kWh</v>
      </c>
      <c r="AZ17" t="str">
        <f>AZ2</f>
        <v>KWH_NEXT110</v>
      </c>
      <c r="BA17" s="13" t="str">
        <f>BA2</f>
        <v>KWH_300+</v>
      </c>
      <c r="BB17" t="str">
        <f>BB2</f>
        <v>First 300 kWh</v>
      </c>
      <c r="BC17" t="str">
        <f>BC2</f>
        <v>Next 700 kWh</v>
      </c>
      <c r="BD17" t="str">
        <f>BD2</f>
        <v>Next 1500 kWh</v>
      </c>
      <c r="BE17" t="str">
        <f>BE2</f>
        <v>Over 2500 kWh</v>
      </c>
      <c r="BF17" t="str">
        <f>BF2</f>
        <v>KWH_NEXT110</v>
      </c>
      <c r="BG17" s="13" t="str">
        <f>BG2</f>
        <v>KWH_300+</v>
      </c>
      <c r="BH17" t="str">
        <f>BH2</f>
        <v>First 300 kWh</v>
      </c>
      <c r="BI17" t="str">
        <f>BI2</f>
        <v>Next 700 kWh</v>
      </c>
      <c r="BJ17" t="str">
        <f>BJ2</f>
        <v>Next 1500 kWh</v>
      </c>
      <c r="BK17" t="str">
        <f>BK2</f>
        <v>Over 2500 kWh</v>
      </c>
      <c r="BL17" t="str">
        <f>BL2</f>
        <v>KWH_NEXT110</v>
      </c>
      <c r="BM17" s="13" t="str">
        <f>BM2</f>
        <v>KWH_300+</v>
      </c>
      <c r="BN17" t="str">
        <f>BN2</f>
        <v>First 300 kWh</v>
      </c>
      <c r="BO17" t="str">
        <f>BO2</f>
        <v>Next 700 kWh</v>
      </c>
      <c r="BP17" t="str">
        <f>BP2</f>
        <v>Next 1500 kWh</v>
      </c>
      <c r="BQ17" t="str">
        <f>BQ2</f>
        <v>Over 2500 kWh</v>
      </c>
      <c r="BR17" t="str">
        <f>BR2</f>
        <v>KWH_NEXT110</v>
      </c>
      <c r="BS17" s="13" t="str">
        <f>BS2</f>
        <v>KWH_300+</v>
      </c>
      <c r="BT17" t="str">
        <f>BT2</f>
        <v>First 300 kWh</v>
      </c>
      <c r="BU17" t="str">
        <f>BU2</f>
        <v>Next 700 kWh</v>
      </c>
      <c r="BV17" t="str">
        <f>BV2</f>
        <v>Next 1500 kWh</v>
      </c>
      <c r="BW17" t="str">
        <f>BW2</f>
        <v>Over 2500 kWh</v>
      </c>
      <c r="BX17" t="str">
        <f>BX2</f>
        <v>KWH_NEXT110</v>
      </c>
      <c r="BY17" s="13" t="str">
        <f>BY2</f>
        <v>KWH_300+</v>
      </c>
      <c r="BZ17" t="str">
        <f>BZ2</f>
        <v>First 300 kWh</v>
      </c>
      <c r="CA17" t="str">
        <f>CA2</f>
        <v>Next 700 kWh</v>
      </c>
      <c r="CB17" t="str">
        <f>CB2</f>
        <v>Next 1500 kWh</v>
      </c>
      <c r="CC17" t="str">
        <f>CC2</f>
        <v>Over 2500 kWh</v>
      </c>
      <c r="CD17" t="str">
        <f>CD2</f>
        <v>KWH_NEXT110</v>
      </c>
      <c r="CE17" s="13" t="str">
        <f>CE2</f>
        <v>KWH_300+</v>
      </c>
      <c r="CF17" t="str">
        <f>CF2</f>
        <v>First 300 kWh</v>
      </c>
      <c r="CG17" t="str">
        <f>CG2</f>
        <v>Next 700 kWh</v>
      </c>
      <c r="CH17" t="str">
        <f>CH2</f>
        <v>Next 1500 kWh</v>
      </c>
      <c r="CI17" t="str">
        <f>CI2</f>
        <v>Over 2500 kWh</v>
      </c>
      <c r="CJ17" t="str">
        <f>CJ2</f>
        <v>KWH_NEXT110</v>
      </c>
      <c r="CK17" s="13" t="str">
        <f>CK2</f>
        <v>KWH_300+</v>
      </c>
      <c r="CL17" t="str">
        <f>CL2</f>
        <v>First 300 kWh</v>
      </c>
      <c r="CM17" t="str">
        <f>CM2</f>
        <v>Next 700 kWh</v>
      </c>
      <c r="CN17" t="str">
        <f>CN2</f>
        <v>Next 1500 kWh</v>
      </c>
      <c r="CO17" t="str">
        <f>CO2</f>
        <v>Over 2500 kWh</v>
      </c>
      <c r="CP17" t="str">
        <f>CP2</f>
        <v>KWH_NEXT110</v>
      </c>
      <c r="CQ17" s="13" t="str">
        <f>CQ2</f>
        <v>KWH_300+</v>
      </c>
      <c r="CR17" t="str">
        <f>CR2</f>
        <v>First 300 kWh</v>
      </c>
      <c r="CS17" t="str">
        <f>CS2</f>
        <v>Next 700 kWh</v>
      </c>
      <c r="CT17" t="str">
        <f>CT2</f>
        <v>Next 1500 kWh</v>
      </c>
      <c r="CU17" t="str">
        <f>CU2</f>
        <v>Over 2500 kWh</v>
      </c>
      <c r="CV17" t="str">
        <f>CV2</f>
        <v>KWH_NEXT110</v>
      </c>
      <c r="CW17" s="13" t="str">
        <f>CW2</f>
        <v>KWH_300+</v>
      </c>
      <c r="CX17" t="str">
        <f>CX2</f>
        <v>First 300 kWh</v>
      </c>
      <c r="CY17" t="str">
        <f>CY2</f>
        <v>Next 700 kWh</v>
      </c>
      <c r="CZ17" t="str">
        <f>CZ2</f>
        <v>Next 1500 kWh</v>
      </c>
      <c r="DA17" t="str">
        <f>DA2</f>
        <v>Over 2500 kWh</v>
      </c>
      <c r="DB17" t="str">
        <f>DB2</f>
        <v>KWH_NEXT110</v>
      </c>
      <c r="DC17" s="13" t="str">
        <f>DC2</f>
        <v>KWH_300+</v>
      </c>
      <c r="DD17" t="str">
        <f>DD2</f>
        <v>First 300 kWh</v>
      </c>
      <c r="DE17" t="str">
        <f>DE2</f>
        <v>Next 700 kWh</v>
      </c>
      <c r="DF17" t="str">
        <f>DF2</f>
        <v>Next 1500 kWh</v>
      </c>
      <c r="DG17" t="str">
        <f>DG2</f>
        <v>Over 2500 kWh</v>
      </c>
      <c r="DH17" t="str">
        <f>DH2</f>
        <v>KWH_NEXT110</v>
      </c>
      <c r="DI17" s="13" t="str">
        <f>DI2</f>
        <v>KWH_300+</v>
      </c>
      <c r="DJ17" t="str">
        <f t="shared" ref="DJ17:DO17" si="6">DJ2</f>
        <v>First 300 kWh</v>
      </c>
      <c r="DK17" t="str">
        <f t="shared" si="6"/>
        <v>Next 700 kWh</v>
      </c>
      <c r="DL17" t="str">
        <f t="shared" si="6"/>
        <v>Next 1500 kWh</v>
      </c>
      <c r="DM17" t="str">
        <f t="shared" si="6"/>
        <v>Over 2500 kWh</v>
      </c>
      <c r="DN17" t="str">
        <f t="shared" si="6"/>
        <v>KWH_NEXT110</v>
      </c>
      <c r="DO17" t="str">
        <f t="shared" si="6"/>
        <v>KWH_300+</v>
      </c>
      <c r="DP17" s="11"/>
      <c r="EA17" s="11"/>
      <c r="EB17" t="str">
        <f t="shared" si="3"/>
        <v>First 300 kWh</v>
      </c>
      <c r="EC17" t="str">
        <f t="shared" si="3"/>
        <v>Next 700 kWh</v>
      </c>
      <c r="ED17" s="13" t="str">
        <f t="shared" si="3"/>
        <v>Over 1000 kWh</v>
      </c>
      <c r="EE17" s="25" t="str">
        <f t="shared" si="3"/>
        <v>First 300 kWh</v>
      </c>
      <c r="EF17" t="str">
        <f t="shared" si="3"/>
        <v>Next 700 kWh</v>
      </c>
      <c r="EG17" s="13" t="str">
        <f t="shared" si="3"/>
        <v>Over 1000 kWh</v>
      </c>
      <c r="EH17" t="str">
        <f t="shared" si="3"/>
        <v>First 300 kWh</v>
      </c>
      <c r="EI17" t="str">
        <f t="shared" si="3"/>
        <v>Next 700 kWh</v>
      </c>
      <c r="EJ17" t="str">
        <f t="shared" si="3"/>
        <v>Over 1000 kWh</v>
      </c>
      <c r="EK17" s="11"/>
      <c r="EP17" s="11"/>
      <c r="FA17" s="11"/>
    </row>
    <row r="18" spans="1:158" x14ac:dyDescent="0.2">
      <c r="A18">
        <v>1</v>
      </c>
      <c r="B18" t="s">
        <v>232</v>
      </c>
      <c r="C18" s="4">
        <v>13754079</v>
      </c>
      <c r="D18" s="4">
        <v>21128370</v>
      </c>
      <c r="E18" s="4">
        <v>25058303</v>
      </c>
      <c r="F18" s="4">
        <v>40470248</v>
      </c>
      <c r="G18" s="17">
        <v>599203</v>
      </c>
      <c r="H18" s="4">
        <v>291</v>
      </c>
      <c r="I18" s="4">
        <v>0</v>
      </c>
      <c r="J18" s="4">
        <v>0</v>
      </c>
      <c r="K18" s="18">
        <v>0</v>
      </c>
      <c r="L18" s="4">
        <v>1106275</v>
      </c>
      <c r="M18" s="4">
        <v>734957</v>
      </c>
      <c r="N18" s="4">
        <v>93579</v>
      </c>
      <c r="O18" s="18">
        <v>84030</v>
      </c>
      <c r="P18" s="4">
        <v>1593</v>
      </c>
      <c r="Q18" s="4">
        <v>71</v>
      </c>
      <c r="R18" s="4">
        <v>0</v>
      </c>
      <c r="S18" s="18">
        <v>0</v>
      </c>
      <c r="T18" s="4">
        <v>408</v>
      </c>
      <c r="U18" s="4">
        <v>0</v>
      </c>
      <c r="V18" s="4">
        <v>0</v>
      </c>
      <c r="W18" s="4">
        <v>0</v>
      </c>
      <c r="X18" s="19"/>
      <c r="Y18" s="4">
        <v>0</v>
      </c>
      <c r="Z18" s="4">
        <v>0</v>
      </c>
      <c r="AA18" s="4">
        <v>0</v>
      </c>
      <c r="AB18" s="4">
        <v>0</v>
      </c>
      <c r="AC18" s="72">
        <v>0</v>
      </c>
      <c r="AD18" s="74">
        <v>0</v>
      </c>
      <c r="AE18" s="4">
        <v>841117</v>
      </c>
      <c r="AF18" s="4">
        <v>29007429</v>
      </c>
      <c r="AG18" s="4">
        <v>182596802</v>
      </c>
      <c r="AH18" s="4">
        <v>3511423</v>
      </c>
      <c r="AI18" s="19"/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18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18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18">
        <v>0</v>
      </c>
      <c r="BB18" s="4">
        <v>300</v>
      </c>
      <c r="BC18" s="4">
        <v>700</v>
      </c>
      <c r="BD18" s="4">
        <v>1500</v>
      </c>
      <c r="BE18" s="4">
        <v>2413.3999999999996</v>
      </c>
      <c r="BF18" s="4">
        <v>2844.5999999999985</v>
      </c>
      <c r="BG18" s="18">
        <v>10735.000000000002</v>
      </c>
      <c r="BH18" s="4">
        <v>300</v>
      </c>
      <c r="BI18" s="4">
        <v>700</v>
      </c>
      <c r="BJ18" s="4">
        <v>1500</v>
      </c>
      <c r="BK18" s="4">
        <v>116060</v>
      </c>
      <c r="BL18" s="4">
        <v>68640</v>
      </c>
      <c r="BM18" s="18">
        <v>70836</v>
      </c>
      <c r="BN18" s="4">
        <v>1200</v>
      </c>
      <c r="BO18" s="4">
        <v>2800</v>
      </c>
      <c r="BP18" s="4">
        <v>6000</v>
      </c>
      <c r="BQ18" s="4">
        <v>1046400</v>
      </c>
      <c r="BR18" s="4">
        <v>611599.99999999988</v>
      </c>
      <c r="BS18" s="18">
        <v>549966.00000000012</v>
      </c>
      <c r="BT18" s="4">
        <v>6085</v>
      </c>
      <c r="BU18" s="4">
        <v>13558</v>
      </c>
      <c r="BV18" s="4">
        <v>25038</v>
      </c>
      <c r="BW18" s="4">
        <v>1384294</v>
      </c>
      <c r="BX18" s="4">
        <v>799291</v>
      </c>
      <c r="BY18" s="18">
        <v>1284447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18">
        <v>0</v>
      </c>
      <c r="CF18" s="4">
        <v>6305431.1000000052</v>
      </c>
      <c r="CG18" s="4">
        <v>12763704.999999991</v>
      </c>
      <c r="CH18" s="4">
        <v>19590935.700000007</v>
      </c>
      <c r="CI18" s="4">
        <v>77412809.200000048</v>
      </c>
      <c r="CJ18" s="4">
        <v>51325008.00000003</v>
      </c>
      <c r="CK18" s="18">
        <v>47278955</v>
      </c>
      <c r="CL18" s="4">
        <v>3300</v>
      </c>
      <c r="CM18" s="4">
        <v>7038.2</v>
      </c>
      <c r="CN18" s="4">
        <v>11902.3</v>
      </c>
      <c r="CO18" s="4">
        <v>219882.19999999998</v>
      </c>
      <c r="CP18" s="4">
        <v>131081.30000000002</v>
      </c>
      <c r="CQ18" s="18">
        <v>187895</v>
      </c>
      <c r="CR18" s="4">
        <v>41795.200000000004</v>
      </c>
      <c r="CS18" s="4">
        <v>73075.600000000006</v>
      </c>
      <c r="CT18" s="4">
        <v>114281.79999999999</v>
      </c>
      <c r="CU18" s="4">
        <v>392989.7</v>
      </c>
      <c r="CV18" s="4">
        <v>64309.69999999999</v>
      </c>
      <c r="CW18" s="18">
        <v>34912.000000000007</v>
      </c>
      <c r="CX18" s="4">
        <v>66900</v>
      </c>
      <c r="CY18" s="4">
        <v>155433</v>
      </c>
      <c r="CZ18" s="4">
        <v>328394.2</v>
      </c>
      <c r="DA18" s="4">
        <v>8296566.9000000004</v>
      </c>
      <c r="DB18" s="4">
        <v>4877855.9000000004</v>
      </c>
      <c r="DC18" s="18">
        <v>6540692</v>
      </c>
      <c r="DD18" s="4">
        <v>600</v>
      </c>
      <c r="DE18" s="4">
        <v>850</v>
      </c>
      <c r="DF18" s="4">
        <v>1500</v>
      </c>
      <c r="DG18" s="4">
        <v>2061</v>
      </c>
      <c r="DH18" s="4">
        <v>0</v>
      </c>
      <c r="DI18" s="18">
        <v>0</v>
      </c>
      <c r="DJ18" s="4">
        <v>600</v>
      </c>
      <c r="DK18" s="4">
        <v>915</v>
      </c>
      <c r="DL18" s="4">
        <v>1500</v>
      </c>
      <c r="DM18" s="4">
        <v>6103</v>
      </c>
      <c r="DN18" s="4">
        <v>0</v>
      </c>
      <c r="DO18" s="4">
        <v>0</v>
      </c>
      <c r="DP18" s="19"/>
      <c r="DQ18" s="33">
        <v>0</v>
      </c>
      <c r="DR18" s="33">
        <v>0</v>
      </c>
      <c r="DS18" s="33">
        <v>0</v>
      </c>
      <c r="DT18" s="33">
        <v>0</v>
      </c>
      <c r="DU18" s="33">
        <v>0</v>
      </c>
      <c r="DV18" s="33">
        <v>0</v>
      </c>
      <c r="DW18" s="33">
        <v>0</v>
      </c>
      <c r="DX18" s="33">
        <v>0</v>
      </c>
      <c r="DY18" s="33">
        <v>0</v>
      </c>
      <c r="DZ18" s="33">
        <v>0</v>
      </c>
      <c r="EA18" s="19"/>
      <c r="EB18" s="4">
        <v>0</v>
      </c>
      <c r="EC18" s="4">
        <v>0</v>
      </c>
      <c r="ED18" s="18">
        <v>0</v>
      </c>
      <c r="EE18" s="26">
        <v>0</v>
      </c>
      <c r="EF18" s="4">
        <v>0</v>
      </c>
      <c r="EG18" s="18">
        <v>0</v>
      </c>
      <c r="EH18" s="4">
        <v>0</v>
      </c>
      <c r="EI18" s="4">
        <v>0</v>
      </c>
      <c r="EJ18" s="4">
        <v>0</v>
      </c>
      <c r="EK18" s="19"/>
      <c r="EL18" s="4">
        <v>111079</v>
      </c>
      <c r="EM18" s="4">
        <v>724556</v>
      </c>
      <c r="EN18" s="4">
        <v>0</v>
      </c>
      <c r="EO18" s="4">
        <v>0</v>
      </c>
      <c r="EP18" s="11"/>
      <c r="EQ18" s="4">
        <v>0</v>
      </c>
      <c r="ER18" s="4">
        <v>261</v>
      </c>
      <c r="ES18" s="4">
        <v>91891</v>
      </c>
      <c r="ET18" s="4">
        <v>0</v>
      </c>
      <c r="EU18" s="75">
        <v>0</v>
      </c>
      <c r="EV18" s="4">
        <v>38962</v>
      </c>
      <c r="EW18" s="4">
        <v>27800</v>
      </c>
      <c r="EX18" s="4">
        <v>220011</v>
      </c>
      <c r="EY18" s="4">
        <v>10221</v>
      </c>
      <c r="EZ18" s="4">
        <v>5161210</v>
      </c>
      <c r="FA18" s="11"/>
      <c r="FB18" s="4">
        <f t="shared" ref="FB18:FB29" si="7">SUM(C18:EZ18)</f>
        <v>567620655.00000024</v>
      </c>
    </row>
    <row r="19" spans="1:158" x14ac:dyDescent="0.2">
      <c r="A19">
        <v>2</v>
      </c>
      <c r="B19" t="s">
        <v>233</v>
      </c>
      <c r="C19" s="4">
        <v>13352331</v>
      </c>
      <c r="D19" s="4">
        <v>19781815</v>
      </c>
      <c r="E19" s="4">
        <v>22193470</v>
      </c>
      <c r="F19" s="4">
        <v>30732519</v>
      </c>
      <c r="G19" s="17">
        <v>488965</v>
      </c>
      <c r="H19" s="4">
        <v>291</v>
      </c>
      <c r="I19" s="4">
        <v>0</v>
      </c>
      <c r="J19" s="4">
        <v>0</v>
      </c>
      <c r="K19" s="18">
        <v>0</v>
      </c>
      <c r="L19" s="4">
        <v>1082955</v>
      </c>
      <c r="M19" s="4">
        <v>546023</v>
      </c>
      <c r="N19" s="4">
        <v>73931</v>
      </c>
      <c r="O19" s="18">
        <v>62729</v>
      </c>
      <c r="P19" s="4">
        <v>1550</v>
      </c>
      <c r="Q19" s="4">
        <v>20</v>
      </c>
      <c r="R19" s="4">
        <v>0</v>
      </c>
      <c r="S19" s="18">
        <v>0</v>
      </c>
      <c r="T19" s="4">
        <v>408</v>
      </c>
      <c r="U19" s="4">
        <v>0</v>
      </c>
      <c r="V19" s="4">
        <v>0</v>
      </c>
      <c r="W19" s="4">
        <v>0</v>
      </c>
      <c r="X19" s="19"/>
      <c r="Y19" s="4">
        <v>0</v>
      </c>
      <c r="Z19" s="4">
        <v>0</v>
      </c>
      <c r="AA19" s="4">
        <v>0</v>
      </c>
      <c r="AB19" s="4">
        <v>0</v>
      </c>
      <c r="AC19" s="72">
        <v>0</v>
      </c>
      <c r="AD19" s="74">
        <v>0</v>
      </c>
      <c r="AE19" s="4">
        <v>692710</v>
      </c>
      <c r="AF19" s="4">
        <v>26541311</v>
      </c>
      <c r="AG19" s="4">
        <v>161181290</v>
      </c>
      <c r="AH19" s="4">
        <v>3019295</v>
      </c>
      <c r="AI19" s="19"/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18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18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18">
        <v>0</v>
      </c>
      <c r="BB19" s="4">
        <v>300</v>
      </c>
      <c r="BC19" s="4">
        <v>700</v>
      </c>
      <c r="BD19" s="4">
        <v>1500</v>
      </c>
      <c r="BE19" s="4">
        <v>3640.7999999999984</v>
      </c>
      <c r="BF19" s="4">
        <v>3555.1999999999989</v>
      </c>
      <c r="BG19" s="18">
        <v>6289.0000000000018</v>
      </c>
      <c r="BH19" s="4">
        <v>300</v>
      </c>
      <c r="BI19" s="4">
        <v>700</v>
      </c>
      <c r="BJ19" s="4">
        <v>1500</v>
      </c>
      <c r="BK19" s="4">
        <v>102380</v>
      </c>
      <c r="BL19" s="4">
        <v>60720</v>
      </c>
      <c r="BM19" s="18">
        <v>50484</v>
      </c>
      <c r="BN19" s="4">
        <v>1200</v>
      </c>
      <c r="BO19" s="4">
        <v>2800</v>
      </c>
      <c r="BP19" s="4">
        <v>6000</v>
      </c>
      <c r="BQ19" s="4">
        <v>1091392</v>
      </c>
      <c r="BR19" s="4">
        <v>637648</v>
      </c>
      <c r="BS19" s="18">
        <v>573497.00000000023</v>
      </c>
      <c r="BT19" s="4">
        <v>6000</v>
      </c>
      <c r="BU19" s="4">
        <v>13532</v>
      </c>
      <c r="BV19" s="4">
        <v>26692</v>
      </c>
      <c r="BW19" s="4">
        <v>1343775</v>
      </c>
      <c r="BX19" s="4">
        <v>779554</v>
      </c>
      <c r="BY19" s="18">
        <v>1082486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18">
        <v>0</v>
      </c>
      <c r="CF19" s="4">
        <v>6323118.7999999989</v>
      </c>
      <c r="CG19" s="4">
        <v>12688772.400000025</v>
      </c>
      <c r="CH19" s="4">
        <v>19234201.199999988</v>
      </c>
      <c r="CI19" s="4">
        <v>75505860.699999899</v>
      </c>
      <c r="CJ19" s="4">
        <v>46763233.900000058</v>
      </c>
      <c r="CK19" s="18">
        <v>30288941</v>
      </c>
      <c r="CL19" s="4">
        <v>3226.1</v>
      </c>
      <c r="CM19" s="4">
        <v>7000</v>
      </c>
      <c r="CN19" s="4">
        <v>11675.400000000001</v>
      </c>
      <c r="CO19" s="4">
        <v>205658.8</v>
      </c>
      <c r="CP19" s="4">
        <v>122408.7</v>
      </c>
      <c r="CQ19" s="18">
        <v>160872.00000000006</v>
      </c>
      <c r="CR19" s="4">
        <v>40871.599999999999</v>
      </c>
      <c r="CS19" s="4">
        <v>66222.5</v>
      </c>
      <c r="CT19" s="4">
        <v>83091.5</v>
      </c>
      <c r="CU19" s="4">
        <v>159171.69999999998</v>
      </c>
      <c r="CV19" s="4">
        <v>44091.700000000004</v>
      </c>
      <c r="CW19" s="18">
        <v>17428.000000000004</v>
      </c>
      <c r="CX19" s="4">
        <v>67800</v>
      </c>
      <c r="CY19" s="4">
        <v>156768</v>
      </c>
      <c r="CZ19" s="4">
        <v>331637.19999999995</v>
      </c>
      <c r="DA19" s="4">
        <v>7649845.9000000004</v>
      </c>
      <c r="DB19" s="4">
        <v>4301000.9000000004</v>
      </c>
      <c r="DC19" s="18">
        <v>4480969</v>
      </c>
      <c r="DD19" s="4">
        <v>600</v>
      </c>
      <c r="DE19" s="4">
        <v>927</v>
      </c>
      <c r="DF19" s="4">
        <v>1500</v>
      </c>
      <c r="DG19" s="4">
        <v>3334</v>
      </c>
      <c r="DH19" s="4">
        <v>0</v>
      </c>
      <c r="DI19" s="18">
        <v>0</v>
      </c>
      <c r="DJ19" s="4">
        <v>600</v>
      </c>
      <c r="DK19" s="4">
        <v>1176</v>
      </c>
      <c r="DL19" s="4">
        <v>1500</v>
      </c>
      <c r="DM19" s="4">
        <v>7184</v>
      </c>
      <c r="DN19" s="4">
        <v>0</v>
      </c>
      <c r="DO19" s="4">
        <v>0</v>
      </c>
      <c r="DP19" s="19"/>
      <c r="DQ19" s="33">
        <v>0</v>
      </c>
      <c r="DR19" s="33">
        <v>0</v>
      </c>
      <c r="DS19" s="33">
        <v>0</v>
      </c>
      <c r="DT19" s="33">
        <v>0</v>
      </c>
      <c r="DU19" s="33">
        <v>0</v>
      </c>
      <c r="DV19" s="33">
        <v>0</v>
      </c>
      <c r="DW19" s="33">
        <v>0</v>
      </c>
      <c r="DX19" s="33">
        <v>0</v>
      </c>
      <c r="DY19" s="33">
        <v>0</v>
      </c>
      <c r="DZ19" s="33">
        <v>0</v>
      </c>
      <c r="EA19" s="19"/>
      <c r="EB19" s="4">
        <v>0</v>
      </c>
      <c r="EC19" s="4">
        <v>0</v>
      </c>
      <c r="ED19" s="18">
        <v>0</v>
      </c>
      <c r="EE19" s="26">
        <v>0</v>
      </c>
      <c r="EF19" s="4">
        <v>0</v>
      </c>
      <c r="EG19" s="18">
        <v>0</v>
      </c>
      <c r="EH19" s="4">
        <v>0</v>
      </c>
      <c r="EI19" s="4">
        <v>0</v>
      </c>
      <c r="EJ19" s="4">
        <v>0</v>
      </c>
      <c r="EK19" s="19"/>
      <c r="EL19" s="4">
        <v>111159</v>
      </c>
      <c r="EM19" s="4">
        <v>650621</v>
      </c>
      <c r="EN19" s="4">
        <v>0</v>
      </c>
      <c r="EO19" s="4">
        <v>0</v>
      </c>
      <c r="EP19" s="11"/>
      <c r="EQ19" s="4">
        <v>0</v>
      </c>
      <c r="ER19" s="4">
        <v>261</v>
      </c>
      <c r="ES19" s="4">
        <v>77668</v>
      </c>
      <c r="ET19" s="4">
        <v>0</v>
      </c>
      <c r="EU19" s="75">
        <v>0</v>
      </c>
      <c r="EV19" s="4">
        <v>32361</v>
      </c>
      <c r="EW19" s="4">
        <v>27800</v>
      </c>
      <c r="EX19" s="4">
        <v>220496</v>
      </c>
      <c r="EY19" s="4">
        <v>10221</v>
      </c>
      <c r="EZ19" s="4">
        <v>5125444</v>
      </c>
      <c r="FA19" s="11"/>
      <c r="FB19" s="4">
        <f t="shared" si="7"/>
        <v>500534976.99999988</v>
      </c>
    </row>
    <row r="20" spans="1:158" x14ac:dyDescent="0.2">
      <c r="A20">
        <v>3</v>
      </c>
      <c r="B20" t="s">
        <v>234</v>
      </c>
      <c r="C20" s="4">
        <v>13096032</v>
      </c>
      <c r="D20" s="4">
        <v>18563861</v>
      </c>
      <c r="E20" s="4">
        <v>19445909</v>
      </c>
      <c r="F20" s="4">
        <v>23906237</v>
      </c>
      <c r="G20" s="17">
        <v>436863</v>
      </c>
      <c r="H20" s="4">
        <v>291</v>
      </c>
      <c r="I20" s="4">
        <v>0</v>
      </c>
      <c r="J20" s="4">
        <v>0</v>
      </c>
      <c r="K20" s="18">
        <v>0</v>
      </c>
      <c r="L20" s="4">
        <v>1087527</v>
      </c>
      <c r="M20" s="4">
        <v>566775</v>
      </c>
      <c r="N20" s="4">
        <v>70324</v>
      </c>
      <c r="O20" s="18">
        <v>56474</v>
      </c>
      <c r="P20" s="4">
        <v>1378</v>
      </c>
      <c r="Q20" s="4">
        <v>33</v>
      </c>
      <c r="R20" s="4">
        <v>0</v>
      </c>
      <c r="S20" s="18">
        <v>0</v>
      </c>
      <c r="T20" s="4">
        <v>408</v>
      </c>
      <c r="U20" s="4">
        <v>0</v>
      </c>
      <c r="V20" s="4">
        <v>0</v>
      </c>
      <c r="W20" s="4">
        <v>0</v>
      </c>
      <c r="X20" s="19"/>
      <c r="Y20" s="4">
        <v>0</v>
      </c>
      <c r="Z20" s="4">
        <v>0</v>
      </c>
      <c r="AA20" s="4">
        <v>0</v>
      </c>
      <c r="AB20" s="4">
        <v>0</v>
      </c>
      <c r="AC20" s="72">
        <v>0</v>
      </c>
      <c r="AD20" s="74">
        <v>0</v>
      </c>
      <c r="AE20" s="4">
        <v>685181</v>
      </c>
      <c r="AF20" s="4">
        <v>26445013</v>
      </c>
      <c r="AG20" s="4">
        <v>153493120</v>
      </c>
      <c r="AH20" s="4">
        <v>2974390</v>
      </c>
      <c r="AI20" s="19"/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18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18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18">
        <v>0</v>
      </c>
      <c r="BB20" s="4">
        <v>300</v>
      </c>
      <c r="BC20" s="4">
        <v>700</v>
      </c>
      <c r="BD20" s="4">
        <v>1500</v>
      </c>
      <c r="BE20" s="4">
        <v>3640.7999999999984</v>
      </c>
      <c r="BF20" s="4">
        <v>3555.199999999998</v>
      </c>
      <c r="BG20" s="18">
        <v>4961.0000000000027</v>
      </c>
      <c r="BH20" s="4">
        <v>300</v>
      </c>
      <c r="BI20" s="4">
        <v>700</v>
      </c>
      <c r="BJ20" s="4">
        <v>1500</v>
      </c>
      <c r="BK20" s="4">
        <v>152540</v>
      </c>
      <c r="BL20" s="4">
        <v>78552</v>
      </c>
      <c r="BM20" s="18">
        <v>0</v>
      </c>
      <c r="BN20" s="4">
        <v>1200</v>
      </c>
      <c r="BO20" s="4">
        <v>2800</v>
      </c>
      <c r="BP20" s="4">
        <v>6000</v>
      </c>
      <c r="BQ20" s="4">
        <v>1111608</v>
      </c>
      <c r="BR20" s="4">
        <v>649352</v>
      </c>
      <c r="BS20" s="18">
        <v>596015</v>
      </c>
      <c r="BT20" s="4">
        <v>5700</v>
      </c>
      <c r="BU20" s="4">
        <v>12832</v>
      </c>
      <c r="BV20" s="4">
        <v>25443</v>
      </c>
      <c r="BW20" s="4">
        <v>1391386</v>
      </c>
      <c r="BX20" s="4">
        <v>803548</v>
      </c>
      <c r="BY20" s="18">
        <v>1049788.0000000002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18">
        <v>0</v>
      </c>
      <c r="CF20" s="4">
        <v>6202894.2999999961</v>
      </c>
      <c r="CG20" s="4">
        <v>12371039.300000008</v>
      </c>
      <c r="CH20" s="4">
        <v>18577227.600000001</v>
      </c>
      <c r="CI20" s="4">
        <v>69975538.700000048</v>
      </c>
      <c r="CJ20" s="4">
        <v>42286488.100000024</v>
      </c>
      <c r="CK20" s="18">
        <v>26282267</v>
      </c>
      <c r="CL20" s="4">
        <v>3300</v>
      </c>
      <c r="CM20" s="4">
        <v>7391</v>
      </c>
      <c r="CN20" s="4">
        <v>11877.5</v>
      </c>
      <c r="CO20" s="4">
        <v>262572.69999999995</v>
      </c>
      <c r="CP20" s="4">
        <v>128386.8</v>
      </c>
      <c r="CQ20" s="18">
        <v>102788.00000000003</v>
      </c>
      <c r="CR20" s="4">
        <v>38114</v>
      </c>
      <c r="CS20" s="4">
        <v>56456</v>
      </c>
      <c r="CT20" s="4">
        <v>66446.2</v>
      </c>
      <c r="CU20" s="4">
        <v>119401.40000000001</v>
      </c>
      <c r="CV20" s="4">
        <v>35623.400000000009</v>
      </c>
      <c r="CW20" s="18">
        <v>20203</v>
      </c>
      <c r="CX20" s="4">
        <v>65700</v>
      </c>
      <c r="CY20" s="4">
        <v>151635</v>
      </c>
      <c r="CZ20" s="4">
        <v>318988.79999999999</v>
      </c>
      <c r="DA20" s="4">
        <v>6399233.1999999993</v>
      </c>
      <c r="DB20" s="4">
        <v>3678389</v>
      </c>
      <c r="DC20" s="18">
        <v>4154119</v>
      </c>
      <c r="DD20" s="4">
        <v>600</v>
      </c>
      <c r="DE20" s="4">
        <v>858</v>
      </c>
      <c r="DF20" s="4">
        <v>1500</v>
      </c>
      <c r="DG20" s="4">
        <v>1920</v>
      </c>
      <c r="DH20" s="4">
        <v>0</v>
      </c>
      <c r="DI20" s="18">
        <v>0</v>
      </c>
      <c r="DJ20" s="4">
        <v>600</v>
      </c>
      <c r="DK20" s="4">
        <v>970</v>
      </c>
      <c r="DL20" s="4">
        <v>1500</v>
      </c>
      <c r="DM20" s="4">
        <v>4432</v>
      </c>
      <c r="DN20" s="4">
        <v>0</v>
      </c>
      <c r="DO20" s="4">
        <v>0</v>
      </c>
      <c r="DP20" s="19"/>
      <c r="DQ20" s="33">
        <v>0</v>
      </c>
      <c r="DR20" s="33">
        <v>0</v>
      </c>
      <c r="DS20" s="33">
        <v>0</v>
      </c>
      <c r="DT20" s="33">
        <v>0</v>
      </c>
      <c r="DU20" s="33">
        <v>0</v>
      </c>
      <c r="DV20" s="33">
        <v>0</v>
      </c>
      <c r="DW20" s="33">
        <v>0</v>
      </c>
      <c r="DX20" s="33">
        <v>0</v>
      </c>
      <c r="DY20" s="33">
        <v>0</v>
      </c>
      <c r="DZ20" s="33">
        <v>0</v>
      </c>
      <c r="EA20" s="19"/>
      <c r="EB20" s="4">
        <v>0</v>
      </c>
      <c r="EC20" s="4">
        <v>0</v>
      </c>
      <c r="ED20" s="18">
        <v>0</v>
      </c>
      <c r="EE20" s="26">
        <v>0</v>
      </c>
      <c r="EF20" s="4">
        <v>0</v>
      </c>
      <c r="EG20" s="18">
        <v>0</v>
      </c>
      <c r="EH20" s="4">
        <v>0</v>
      </c>
      <c r="EI20" s="4">
        <v>0</v>
      </c>
      <c r="EJ20" s="4">
        <v>0</v>
      </c>
      <c r="EK20" s="19"/>
      <c r="EL20" s="4">
        <v>111422</v>
      </c>
      <c r="EM20" s="4">
        <v>648786</v>
      </c>
      <c r="EN20" s="4">
        <v>0</v>
      </c>
      <c r="EO20" s="4">
        <v>0</v>
      </c>
      <c r="EP20" s="11"/>
      <c r="EQ20" s="4">
        <v>0</v>
      </c>
      <c r="ER20" s="4">
        <v>261</v>
      </c>
      <c r="ES20" s="4">
        <v>77953</v>
      </c>
      <c r="ET20" s="4">
        <v>0</v>
      </c>
      <c r="EU20" s="75">
        <v>0</v>
      </c>
      <c r="EV20" s="4">
        <v>30579</v>
      </c>
      <c r="EW20" s="4">
        <v>27800</v>
      </c>
      <c r="EX20" s="4">
        <v>220214</v>
      </c>
      <c r="EY20" s="4">
        <v>9225</v>
      </c>
      <c r="EZ20" s="4">
        <v>5143683</v>
      </c>
      <c r="FA20" s="11"/>
      <c r="FB20" s="4">
        <f t="shared" si="7"/>
        <v>464332120.00000006</v>
      </c>
    </row>
    <row r="21" spans="1:158" x14ac:dyDescent="0.2">
      <c r="A21">
        <v>4</v>
      </c>
      <c r="B21" t="s">
        <v>235</v>
      </c>
      <c r="C21" s="4">
        <v>13141352</v>
      </c>
      <c r="D21" s="4">
        <v>18681017</v>
      </c>
      <c r="E21" s="4">
        <v>19511950</v>
      </c>
      <c r="F21" s="4">
        <v>24121657</v>
      </c>
      <c r="G21" s="17">
        <v>433433</v>
      </c>
      <c r="H21" s="4">
        <v>291</v>
      </c>
      <c r="I21" s="4">
        <v>0</v>
      </c>
      <c r="J21" s="4">
        <v>0</v>
      </c>
      <c r="K21" s="18">
        <v>0</v>
      </c>
      <c r="L21" s="4">
        <v>1095645</v>
      </c>
      <c r="M21" s="4">
        <v>640644</v>
      </c>
      <c r="N21" s="4">
        <v>79020</v>
      </c>
      <c r="O21" s="18">
        <v>67816</v>
      </c>
      <c r="P21" s="4">
        <v>1509</v>
      </c>
      <c r="Q21" s="4">
        <v>73</v>
      </c>
      <c r="R21" s="4">
        <v>0</v>
      </c>
      <c r="S21" s="18">
        <v>0</v>
      </c>
      <c r="T21" s="4">
        <v>408</v>
      </c>
      <c r="U21" s="4">
        <v>0</v>
      </c>
      <c r="V21" s="4">
        <v>0</v>
      </c>
      <c r="W21" s="4">
        <v>0</v>
      </c>
      <c r="X21" s="19"/>
      <c r="Y21" s="4">
        <v>0</v>
      </c>
      <c r="Z21" s="4">
        <v>0</v>
      </c>
      <c r="AA21" s="4">
        <v>0</v>
      </c>
      <c r="AB21" s="4">
        <v>0</v>
      </c>
      <c r="AC21" s="72">
        <v>0</v>
      </c>
      <c r="AD21" s="74">
        <v>0</v>
      </c>
      <c r="AE21" s="4">
        <v>661331</v>
      </c>
      <c r="AF21" s="4">
        <v>27643359</v>
      </c>
      <c r="AG21" s="4">
        <v>160967495</v>
      </c>
      <c r="AH21" s="4">
        <v>3008839</v>
      </c>
      <c r="AI21" s="19"/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18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18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18">
        <v>0</v>
      </c>
      <c r="BB21" s="4">
        <v>300</v>
      </c>
      <c r="BC21" s="4">
        <v>700</v>
      </c>
      <c r="BD21" s="4">
        <v>1500</v>
      </c>
      <c r="BE21" s="4">
        <v>2413.3999999999996</v>
      </c>
      <c r="BF21" s="4">
        <v>2844.6000000000004</v>
      </c>
      <c r="BG21" s="18">
        <v>8221</v>
      </c>
      <c r="BH21" s="4">
        <v>300</v>
      </c>
      <c r="BI21" s="4">
        <v>700</v>
      </c>
      <c r="BJ21" s="4">
        <v>1500</v>
      </c>
      <c r="BK21" s="4">
        <v>129740</v>
      </c>
      <c r="BL21" s="4">
        <v>76560</v>
      </c>
      <c r="BM21" s="18">
        <v>57575.999999999993</v>
      </c>
      <c r="BN21" s="4">
        <v>1200</v>
      </c>
      <c r="BO21" s="4">
        <v>2800</v>
      </c>
      <c r="BP21" s="4">
        <v>6000</v>
      </c>
      <c r="BQ21" s="4">
        <v>1089720</v>
      </c>
      <c r="BR21" s="4">
        <v>636680</v>
      </c>
      <c r="BS21" s="18">
        <v>517644.00000000006</v>
      </c>
      <c r="BT21" s="4">
        <v>6300</v>
      </c>
      <c r="BU21" s="4">
        <v>14460</v>
      </c>
      <c r="BV21" s="4">
        <v>28094</v>
      </c>
      <c r="BW21" s="4">
        <v>1295832</v>
      </c>
      <c r="BX21" s="4">
        <v>739086</v>
      </c>
      <c r="BY21" s="18">
        <v>1223939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18">
        <v>0</v>
      </c>
      <c r="CF21" s="4">
        <v>6230236.3000000082</v>
      </c>
      <c r="CG21" s="4">
        <v>12446338.899999985</v>
      </c>
      <c r="CH21" s="4">
        <v>18783425.100000009</v>
      </c>
      <c r="CI21" s="4">
        <v>70161185.00000006</v>
      </c>
      <c r="CJ21" s="4">
        <v>42307780.70000001</v>
      </c>
      <c r="CK21" s="18">
        <v>28874121</v>
      </c>
      <c r="CL21" s="4">
        <v>3300</v>
      </c>
      <c r="CM21" s="4">
        <v>7514</v>
      </c>
      <c r="CN21" s="4">
        <v>12840.5</v>
      </c>
      <c r="CO21" s="4">
        <v>271552.89999999997</v>
      </c>
      <c r="CP21" s="4">
        <v>119325.59999999999</v>
      </c>
      <c r="CQ21" s="18">
        <v>95608.000000000015</v>
      </c>
      <c r="CR21" s="4">
        <v>33864.699999999997</v>
      </c>
      <c r="CS21" s="4">
        <v>51980</v>
      </c>
      <c r="CT21" s="4">
        <v>64945.3</v>
      </c>
      <c r="CU21" s="4">
        <v>100727.6</v>
      </c>
      <c r="CV21" s="4">
        <v>27186.400000000001</v>
      </c>
      <c r="CW21" s="18">
        <v>13429.000000000002</v>
      </c>
      <c r="CX21" s="4">
        <v>66970</v>
      </c>
      <c r="CY21" s="4">
        <v>154420</v>
      </c>
      <c r="CZ21" s="4">
        <v>322506.40000000002</v>
      </c>
      <c r="DA21" s="4">
        <v>6343701.8000000007</v>
      </c>
      <c r="DB21" s="4">
        <v>3681434.8</v>
      </c>
      <c r="DC21" s="18">
        <v>4734864</v>
      </c>
      <c r="DD21" s="4">
        <v>600</v>
      </c>
      <c r="DE21" s="4">
        <v>1400</v>
      </c>
      <c r="DF21" s="4">
        <v>1720</v>
      </c>
      <c r="DG21" s="4">
        <v>7076</v>
      </c>
      <c r="DH21" s="4">
        <v>2521</v>
      </c>
      <c r="DI21" s="18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19"/>
      <c r="DQ21" s="33">
        <v>0</v>
      </c>
      <c r="DR21" s="33">
        <v>0</v>
      </c>
      <c r="DS21" s="33">
        <v>0</v>
      </c>
      <c r="DT21" s="33">
        <v>0</v>
      </c>
      <c r="DU21" s="33">
        <v>0</v>
      </c>
      <c r="DV21" s="33">
        <v>0</v>
      </c>
      <c r="DW21" s="33">
        <v>0</v>
      </c>
      <c r="DX21" s="33">
        <v>0</v>
      </c>
      <c r="DY21" s="33">
        <v>0</v>
      </c>
      <c r="DZ21" s="33">
        <v>0</v>
      </c>
      <c r="EA21" s="19"/>
      <c r="EB21" s="4">
        <v>0</v>
      </c>
      <c r="EC21" s="4">
        <v>0</v>
      </c>
      <c r="ED21" s="18">
        <v>0</v>
      </c>
      <c r="EE21" s="26">
        <v>0</v>
      </c>
      <c r="EF21" s="4">
        <v>0</v>
      </c>
      <c r="EG21" s="18">
        <v>0</v>
      </c>
      <c r="EH21" s="4">
        <v>0</v>
      </c>
      <c r="EI21" s="4">
        <v>0</v>
      </c>
      <c r="EJ21" s="4">
        <v>0</v>
      </c>
      <c r="EK21" s="19"/>
      <c r="EL21" s="4">
        <v>106630</v>
      </c>
      <c r="EM21" s="4">
        <v>666558</v>
      </c>
      <c r="EN21" s="4">
        <v>0</v>
      </c>
      <c r="EO21" s="4">
        <v>0</v>
      </c>
      <c r="EP21" s="11"/>
      <c r="EQ21" s="4">
        <v>0</v>
      </c>
      <c r="ER21" s="4">
        <v>261</v>
      </c>
      <c r="ES21" s="4">
        <v>65602</v>
      </c>
      <c r="ET21" s="4">
        <v>0</v>
      </c>
      <c r="EU21" s="75">
        <v>0</v>
      </c>
      <c r="EV21" s="4">
        <v>32105</v>
      </c>
      <c r="EW21" s="4">
        <v>27800</v>
      </c>
      <c r="EX21" s="4">
        <v>220174</v>
      </c>
      <c r="EY21" s="4">
        <v>9225</v>
      </c>
      <c r="EZ21" s="4">
        <v>5124377</v>
      </c>
      <c r="FA21" s="11"/>
      <c r="FB21" s="4">
        <f t="shared" si="7"/>
        <v>477075256.00000006</v>
      </c>
    </row>
    <row r="22" spans="1:158" x14ac:dyDescent="0.2">
      <c r="A22">
        <v>5</v>
      </c>
      <c r="B22" t="s">
        <v>236</v>
      </c>
      <c r="C22" s="4">
        <v>12820372</v>
      </c>
      <c r="D22" s="4">
        <v>17301673</v>
      </c>
      <c r="E22" s="4">
        <v>17251914</v>
      </c>
      <c r="F22" s="4">
        <v>22072337</v>
      </c>
      <c r="G22" s="17">
        <v>388673</v>
      </c>
      <c r="H22" s="4">
        <v>291</v>
      </c>
      <c r="I22" s="4">
        <v>0</v>
      </c>
      <c r="J22" s="4">
        <v>0</v>
      </c>
      <c r="K22" s="18">
        <v>0</v>
      </c>
      <c r="L22" s="4">
        <v>1091040</v>
      </c>
      <c r="M22" s="4">
        <v>590064</v>
      </c>
      <c r="N22" s="4">
        <v>75963</v>
      </c>
      <c r="O22" s="18">
        <v>63586</v>
      </c>
      <c r="P22" s="4">
        <v>1456</v>
      </c>
      <c r="Q22" s="4">
        <v>12</v>
      </c>
      <c r="R22" s="4">
        <v>0</v>
      </c>
      <c r="S22" s="18">
        <v>0</v>
      </c>
      <c r="T22" s="4">
        <v>408</v>
      </c>
      <c r="U22" s="4">
        <v>0</v>
      </c>
      <c r="V22" s="4">
        <v>0</v>
      </c>
      <c r="W22" s="4">
        <v>0</v>
      </c>
      <c r="X22" s="19"/>
      <c r="Y22" s="4">
        <v>0</v>
      </c>
      <c r="Z22" s="4">
        <v>0</v>
      </c>
      <c r="AA22" s="4">
        <v>0</v>
      </c>
      <c r="AB22" s="4">
        <v>0</v>
      </c>
      <c r="AC22" s="72">
        <v>0</v>
      </c>
      <c r="AD22" s="74">
        <v>0</v>
      </c>
      <c r="AE22" s="4">
        <v>839786</v>
      </c>
      <c r="AF22" s="4">
        <v>30215152</v>
      </c>
      <c r="AG22" s="4">
        <v>164437095</v>
      </c>
      <c r="AH22" s="4">
        <v>3076346</v>
      </c>
      <c r="AI22" s="19"/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18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18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18">
        <v>0</v>
      </c>
      <c r="BB22" s="4">
        <v>300</v>
      </c>
      <c r="BC22" s="4">
        <v>700</v>
      </c>
      <c r="BD22" s="4">
        <v>1500</v>
      </c>
      <c r="BE22" s="4">
        <v>2413.3999999999996</v>
      </c>
      <c r="BF22" s="4">
        <v>2844.5999999999995</v>
      </c>
      <c r="BG22" s="18">
        <v>3573.0000000000009</v>
      </c>
      <c r="BH22" s="4">
        <v>300</v>
      </c>
      <c r="BI22" s="4">
        <v>700</v>
      </c>
      <c r="BJ22" s="4">
        <v>1500</v>
      </c>
      <c r="BK22" s="4">
        <v>106940</v>
      </c>
      <c r="BL22" s="4">
        <v>63360.000000000015</v>
      </c>
      <c r="BM22" s="18">
        <v>44471.999999999985</v>
      </c>
      <c r="BN22" s="4">
        <v>1200</v>
      </c>
      <c r="BO22" s="4">
        <v>2800</v>
      </c>
      <c r="BP22" s="4">
        <v>6000</v>
      </c>
      <c r="BQ22" s="4">
        <v>1085768</v>
      </c>
      <c r="BR22" s="4">
        <v>634391.99999999988</v>
      </c>
      <c r="BS22" s="18">
        <v>465281.00000000012</v>
      </c>
      <c r="BT22" s="4">
        <v>6300</v>
      </c>
      <c r="BU22" s="4">
        <v>14308</v>
      </c>
      <c r="BV22" s="4">
        <v>25171</v>
      </c>
      <c r="BW22" s="4">
        <v>1389710</v>
      </c>
      <c r="BX22" s="4">
        <v>804269</v>
      </c>
      <c r="BY22" s="18">
        <v>1290234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18">
        <v>0</v>
      </c>
      <c r="CF22" s="4">
        <v>6174147.8999999929</v>
      </c>
      <c r="CG22" s="4">
        <v>12419715.399999989</v>
      </c>
      <c r="CH22" s="4">
        <v>19227700.000000004</v>
      </c>
      <c r="CI22" s="4">
        <v>78177824.800000072</v>
      </c>
      <c r="CJ22" s="4">
        <v>40735755.899999939</v>
      </c>
      <c r="CK22" s="18">
        <v>19576673</v>
      </c>
      <c r="CL22" s="4">
        <v>3300</v>
      </c>
      <c r="CM22" s="4">
        <v>7700</v>
      </c>
      <c r="CN22" s="4">
        <v>14904</v>
      </c>
      <c r="CO22" s="4">
        <v>342862.5</v>
      </c>
      <c r="CP22" s="4">
        <v>131677.5</v>
      </c>
      <c r="CQ22" s="18">
        <v>103759.00000000003</v>
      </c>
      <c r="CR22" s="4">
        <v>35365.899999999994</v>
      </c>
      <c r="CS22" s="4">
        <v>46709.2</v>
      </c>
      <c r="CT22" s="4">
        <v>52384</v>
      </c>
      <c r="CU22" s="4">
        <v>78205.899999999994</v>
      </c>
      <c r="CV22" s="4">
        <v>32289.000000000004</v>
      </c>
      <c r="CW22" s="18">
        <v>10665.000000000004</v>
      </c>
      <c r="CX22" s="4">
        <v>65511.6</v>
      </c>
      <c r="CY22" s="4">
        <v>150711</v>
      </c>
      <c r="CZ22" s="4">
        <v>311841.09999999998</v>
      </c>
      <c r="DA22" s="4">
        <v>5796635.2999999998</v>
      </c>
      <c r="DB22" s="4">
        <v>3326573</v>
      </c>
      <c r="DC22" s="18">
        <v>3961930</v>
      </c>
      <c r="DD22" s="4">
        <v>600</v>
      </c>
      <c r="DE22" s="4">
        <v>1179</v>
      </c>
      <c r="DF22" s="4">
        <v>1500</v>
      </c>
      <c r="DG22" s="4">
        <v>5556</v>
      </c>
      <c r="DH22" s="4">
        <v>1778</v>
      </c>
      <c r="DI22" s="18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19"/>
      <c r="DQ22" s="33">
        <v>0</v>
      </c>
      <c r="DR22" s="33">
        <v>0</v>
      </c>
      <c r="DS22" s="33">
        <v>0</v>
      </c>
      <c r="DT22" s="33">
        <v>0</v>
      </c>
      <c r="DU22" s="33">
        <v>0</v>
      </c>
      <c r="DV22" s="33">
        <v>0</v>
      </c>
      <c r="DW22" s="33">
        <v>0</v>
      </c>
      <c r="DX22" s="33">
        <v>0</v>
      </c>
      <c r="DY22" s="33">
        <v>0</v>
      </c>
      <c r="DZ22" s="33">
        <v>0</v>
      </c>
      <c r="EA22" s="19"/>
      <c r="EB22" s="4">
        <v>0</v>
      </c>
      <c r="EC22" s="4">
        <v>0</v>
      </c>
      <c r="ED22" s="18">
        <v>0</v>
      </c>
      <c r="EE22" s="26">
        <v>0</v>
      </c>
      <c r="EF22" s="4">
        <v>0</v>
      </c>
      <c r="EG22" s="18">
        <v>0</v>
      </c>
      <c r="EH22" s="4">
        <v>0</v>
      </c>
      <c r="EI22" s="4">
        <v>0</v>
      </c>
      <c r="EJ22" s="4">
        <v>0</v>
      </c>
      <c r="EK22" s="19"/>
      <c r="EL22" s="4">
        <v>113197</v>
      </c>
      <c r="EM22" s="4">
        <v>625931</v>
      </c>
      <c r="EN22" s="4">
        <v>0</v>
      </c>
      <c r="EO22" s="4">
        <v>0</v>
      </c>
      <c r="EP22" s="11"/>
      <c r="EQ22" s="4">
        <v>0</v>
      </c>
      <c r="ER22" s="4">
        <v>261</v>
      </c>
      <c r="ES22" s="4">
        <v>58426</v>
      </c>
      <c r="ET22" s="4">
        <v>0</v>
      </c>
      <c r="EU22" s="75">
        <v>0</v>
      </c>
      <c r="EV22" s="4">
        <v>28317</v>
      </c>
      <c r="EW22" s="4">
        <v>27800</v>
      </c>
      <c r="EX22" s="4">
        <v>220214</v>
      </c>
      <c r="EY22" s="4">
        <v>9225</v>
      </c>
      <c r="EZ22" s="4">
        <v>5089845</v>
      </c>
      <c r="FA22" s="11"/>
      <c r="FB22" s="4">
        <f t="shared" si="7"/>
        <v>473148873.99999994</v>
      </c>
    </row>
    <row r="23" spans="1:158" x14ac:dyDescent="0.2">
      <c r="A23">
        <v>6</v>
      </c>
      <c r="B23" t="s">
        <v>237</v>
      </c>
      <c r="C23" s="4">
        <v>12986868</v>
      </c>
      <c r="D23" s="4">
        <v>18978619</v>
      </c>
      <c r="E23" s="4">
        <v>21659527</v>
      </c>
      <c r="F23" s="4">
        <v>33642011</v>
      </c>
      <c r="G23" s="17">
        <v>440664</v>
      </c>
      <c r="H23" s="4">
        <v>291</v>
      </c>
      <c r="I23" s="4">
        <v>0</v>
      </c>
      <c r="J23" s="4">
        <v>0</v>
      </c>
      <c r="K23" s="18">
        <v>0</v>
      </c>
      <c r="L23" s="4">
        <v>1096254</v>
      </c>
      <c r="M23" s="4">
        <v>659534</v>
      </c>
      <c r="N23" s="4">
        <v>85263</v>
      </c>
      <c r="O23" s="18">
        <v>77701</v>
      </c>
      <c r="P23" s="4">
        <v>1592</v>
      </c>
      <c r="Q23" s="4">
        <v>52</v>
      </c>
      <c r="R23" s="4">
        <v>0</v>
      </c>
      <c r="S23" s="18">
        <v>0</v>
      </c>
      <c r="T23" s="4">
        <v>408</v>
      </c>
      <c r="U23" s="4">
        <v>0</v>
      </c>
      <c r="V23" s="4">
        <v>0</v>
      </c>
      <c r="W23" s="4">
        <v>0</v>
      </c>
      <c r="X23" s="19"/>
      <c r="Y23" s="4">
        <v>0</v>
      </c>
      <c r="Z23" s="4">
        <v>0</v>
      </c>
      <c r="AA23" s="4">
        <v>0</v>
      </c>
      <c r="AB23" s="4">
        <v>0</v>
      </c>
      <c r="AC23" s="72">
        <v>0</v>
      </c>
      <c r="AD23" s="74">
        <v>0</v>
      </c>
      <c r="AE23" s="4">
        <v>849232</v>
      </c>
      <c r="AF23" s="4">
        <v>35355022</v>
      </c>
      <c r="AG23" s="4">
        <v>194612127</v>
      </c>
      <c r="AH23" s="4">
        <v>3481639</v>
      </c>
      <c r="AI23" s="19"/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18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18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18">
        <v>0</v>
      </c>
      <c r="BB23" s="4">
        <v>300</v>
      </c>
      <c r="BC23" s="4">
        <v>700</v>
      </c>
      <c r="BD23" s="4">
        <v>1500</v>
      </c>
      <c r="BE23" s="4">
        <v>1184.0999999999995</v>
      </c>
      <c r="BF23" s="4">
        <v>2132.8999999999996</v>
      </c>
      <c r="BG23" s="18">
        <v>2855.0000000000009</v>
      </c>
      <c r="BH23" s="4">
        <v>300</v>
      </c>
      <c r="BI23" s="4">
        <v>700</v>
      </c>
      <c r="BJ23" s="4">
        <v>1500</v>
      </c>
      <c r="BK23" s="4">
        <v>125180</v>
      </c>
      <c r="BL23" s="4">
        <v>73920</v>
      </c>
      <c r="BM23" s="18">
        <v>5436.0000000000055</v>
      </c>
      <c r="BN23" s="4">
        <v>1200</v>
      </c>
      <c r="BO23" s="4">
        <v>2800</v>
      </c>
      <c r="BP23" s="4">
        <v>6000</v>
      </c>
      <c r="BQ23" s="4">
        <v>1201136</v>
      </c>
      <c r="BR23" s="4">
        <v>701184</v>
      </c>
      <c r="BS23" s="18">
        <v>588689</v>
      </c>
      <c r="BT23" s="4">
        <v>6156</v>
      </c>
      <c r="BU23" s="4">
        <v>12466</v>
      </c>
      <c r="BV23" s="4">
        <v>23826</v>
      </c>
      <c r="BW23" s="4">
        <v>1629423</v>
      </c>
      <c r="BX23" s="4">
        <v>937596.99999999988</v>
      </c>
      <c r="BY23" s="18">
        <v>1494816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18">
        <v>0</v>
      </c>
      <c r="CF23" s="4">
        <v>6203822.2000000011</v>
      </c>
      <c r="CG23" s="4">
        <v>12784923.90000001</v>
      </c>
      <c r="CH23" s="4">
        <v>20517121.899999987</v>
      </c>
      <c r="CI23" s="4">
        <v>87874760.49999997</v>
      </c>
      <c r="CJ23" s="4">
        <v>52363595.500000067</v>
      </c>
      <c r="CK23" s="18">
        <v>35012943</v>
      </c>
      <c r="CL23" s="4">
        <v>3300</v>
      </c>
      <c r="CM23" s="4">
        <v>7700</v>
      </c>
      <c r="CN23" s="4">
        <v>14633.9</v>
      </c>
      <c r="CO23" s="4">
        <v>364955.5</v>
      </c>
      <c r="CP23" s="4">
        <v>173523.59999999995</v>
      </c>
      <c r="CQ23" s="18">
        <v>129064.00000000006</v>
      </c>
      <c r="CR23" s="4">
        <v>37265</v>
      </c>
      <c r="CS23" s="4">
        <v>53176.6</v>
      </c>
      <c r="CT23" s="4">
        <v>61372.4</v>
      </c>
      <c r="CU23" s="4">
        <v>101698</v>
      </c>
      <c r="CV23" s="4">
        <v>35872</v>
      </c>
      <c r="CW23" s="18">
        <v>36409</v>
      </c>
      <c r="CX23" s="4">
        <v>65150.9</v>
      </c>
      <c r="CY23" s="4">
        <v>150138</v>
      </c>
      <c r="CZ23" s="4">
        <v>310960.09999999998</v>
      </c>
      <c r="DA23" s="4">
        <v>5997528.2000000002</v>
      </c>
      <c r="DB23" s="4">
        <v>3645933.8</v>
      </c>
      <c r="DC23" s="18">
        <v>4968245</v>
      </c>
      <c r="DD23" s="4">
        <v>600</v>
      </c>
      <c r="DE23" s="4">
        <v>1211</v>
      </c>
      <c r="DF23" s="4">
        <v>1500</v>
      </c>
      <c r="DG23" s="4">
        <v>4986</v>
      </c>
      <c r="DH23" s="4">
        <v>494</v>
      </c>
      <c r="DI23" s="18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19"/>
      <c r="DQ23" s="33">
        <v>0</v>
      </c>
      <c r="DR23" s="33">
        <v>0</v>
      </c>
      <c r="DS23" s="33">
        <v>0</v>
      </c>
      <c r="DT23" s="33">
        <v>0</v>
      </c>
      <c r="DU23" s="33">
        <v>0</v>
      </c>
      <c r="DV23" s="33">
        <v>0</v>
      </c>
      <c r="DW23" s="33">
        <v>0</v>
      </c>
      <c r="DX23" s="33">
        <v>0</v>
      </c>
      <c r="DY23" s="33">
        <v>0</v>
      </c>
      <c r="DZ23" s="33">
        <v>0</v>
      </c>
      <c r="EA23" s="19"/>
      <c r="EB23" s="4">
        <v>0</v>
      </c>
      <c r="EC23" s="4">
        <v>0</v>
      </c>
      <c r="ED23" s="18">
        <v>0</v>
      </c>
      <c r="EE23" s="26">
        <v>0</v>
      </c>
      <c r="EF23" s="4">
        <v>0</v>
      </c>
      <c r="EG23" s="18">
        <v>0</v>
      </c>
      <c r="EH23" s="4">
        <v>0</v>
      </c>
      <c r="EI23" s="4">
        <v>0</v>
      </c>
      <c r="EJ23" s="4">
        <v>0</v>
      </c>
      <c r="EK23" s="19"/>
      <c r="EL23" s="4">
        <v>102862</v>
      </c>
      <c r="EM23" s="4">
        <v>676035</v>
      </c>
      <c r="EN23" s="4">
        <v>0</v>
      </c>
      <c r="EO23" s="4">
        <v>0</v>
      </c>
      <c r="EP23" s="11"/>
      <c r="EQ23" s="4">
        <v>0</v>
      </c>
      <c r="ER23" s="4">
        <v>261</v>
      </c>
      <c r="ES23" s="4">
        <v>56005</v>
      </c>
      <c r="ET23" s="4">
        <v>0</v>
      </c>
      <c r="EU23" s="75">
        <v>0</v>
      </c>
      <c r="EV23" s="4">
        <v>27195</v>
      </c>
      <c r="EW23" s="4">
        <v>27800</v>
      </c>
      <c r="EX23" s="4">
        <v>220214</v>
      </c>
      <c r="EY23" s="4">
        <v>9225</v>
      </c>
      <c r="EZ23" s="4">
        <v>5086054</v>
      </c>
      <c r="FA23" s="11"/>
      <c r="FB23" s="4">
        <f t="shared" si="7"/>
        <v>567876340</v>
      </c>
    </row>
    <row r="24" spans="1:158" x14ac:dyDescent="0.2">
      <c r="A24">
        <v>7</v>
      </c>
      <c r="B24" t="s">
        <v>238</v>
      </c>
      <c r="C24" s="4">
        <v>13053396</v>
      </c>
      <c r="D24" s="4">
        <v>19463493</v>
      </c>
      <c r="E24" s="4">
        <v>22779105</v>
      </c>
      <c r="F24" s="4">
        <v>35699011</v>
      </c>
      <c r="G24" s="17">
        <v>463402</v>
      </c>
      <c r="H24" s="4">
        <v>291</v>
      </c>
      <c r="I24" s="4">
        <v>0</v>
      </c>
      <c r="J24" s="4">
        <v>0</v>
      </c>
      <c r="K24" s="18">
        <v>0</v>
      </c>
      <c r="L24" s="4">
        <v>1091380</v>
      </c>
      <c r="M24" s="4">
        <v>657683</v>
      </c>
      <c r="N24" s="4">
        <v>87161</v>
      </c>
      <c r="O24" s="18">
        <v>77036</v>
      </c>
      <c r="P24" s="4">
        <v>1486</v>
      </c>
      <c r="Q24" s="4">
        <v>50</v>
      </c>
      <c r="R24" s="4">
        <v>0</v>
      </c>
      <c r="S24" s="18">
        <v>0</v>
      </c>
      <c r="T24" s="4">
        <v>408</v>
      </c>
      <c r="U24" s="4">
        <v>0</v>
      </c>
      <c r="V24" s="4">
        <v>0</v>
      </c>
      <c r="W24" s="4">
        <v>0</v>
      </c>
      <c r="X24" s="19"/>
      <c r="Y24" s="4">
        <v>0</v>
      </c>
      <c r="Z24" s="4">
        <v>0</v>
      </c>
      <c r="AA24" s="4">
        <v>0</v>
      </c>
      <c r="AB24" s="4">
        <v>0</v>
      </c>
      <c r="AC24" s="72">
        <v>0</v>
      </c>
      <c r="AD24" s="74">
        <v>0</v>
      </c>
      <c r="AE24" s="4">
        <v>1133307</v>
      </c>
      <c r="AF24" s="4">
        <v>35269382</v>
      </c>
      <c r="AG24" s="4">
        <v>206937155</v>
      </c>
      <c r="AH24" s="4">
        <v>3670684</v>
      </c>
      <c r="AI24" s="19"/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18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18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18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18">
        <v>0</v>
      </c>
      <c r="BH24" s="4">
        <v>300</v>
      </c>
      <c r="BI24" s="4">
        <v>700</v>
      </c>
      <c r="BJ24" s="4">
        <v>1500</v>
      </c>
      <c r="BK24" s="4">
        <v>38540</v>
      </c>
      <c r="BL24" s="4">
        <v>23759.999999999985</v>
      </c>
      <c r="BM24" s="18">
        <v>72756.000000000015</v>
      </c>
      <c r="BN24" s="4">
        <v>1200</v>
      </c>
      <c r="BO24" s="4">
        <v>2800</v>
      </c>
      <c r="BP24" s="4">
        <v>6000</v>
      </c>
      <c r="BQ24" s="4">
        <v>1255400</v>
      </c>
      <c r="BR24" s="4">
        <v>732599.99999999988</v>
      </c>
      <c r="BS24" s="18">
        <v>632482.00000000023</v>
      </c>
      <c r="BT24" s="4">
        <v>6266</v>
      </c>
      <c r="BU24" s="4">
        <v>12640</v>
      </c>
      <c r="BV24" s="4">
        <v>24275</v>
      </c>
      <c r="BW24" s="4">
        <v>1779501</v>
      </c>
      <c r="BX24" s="4">
        <v>985435.00000000012</v>
      </c>
      <c r="BY24" s="18">
        <v>1355124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18">
        <v>0</v>
      </c>
      <c r="CF24" s="4">
        <v>6107118.5999999978</v>
      </c>
      <c r="CG24" s="4">
        <v>12617230.399999982</v>
      </c>
      <c r="CH24" s="4">
        <v>20323776.20000004</v>
      </c>
      <c r="CI24" s="4">
        <v>84979057.100000069</v>
      </c>
      <c r="CJ24" s="4">
        <v>53005149.699999973</v>
      </c>
      <c r="CK24" s="18">
        <v>37807324</v>
      </c>
      <c r="CL24" s="4">
        <v>3300</v>
      </c>
      <c r="CM24" s="4">
        <v>7700</v>
      </c>
      <c r="CN24" s="4">
        <v>14568.900000000001</v>
      </c>
      <c r="CO24" s="4">
        <v>400284.19999999995</v>
      </c>
      <c r="CP24" s="4">
        <v>181267.89999999997</v>
      </c>
      <c r="CQ24" s="18">
        <v>216700.00000000003</v>
      </c>
      <c r="CR24" s="4">
        <v>36105.5</v>
      </c>
      <c r="CS24" s="4">
        <v>50837.5</v>
      </c>
      <c r="CT24" s="4">
        <v>63333.9</v>
      </c>
      <c r="CU24" s="4">
        <v>103502</v>
      </c>
      <c r="CV24" s="4">
        <v>33800.1</v>
      </c>
      <c r="CW24" s="18">
        <v>30495.000000000004</v>
      </c>
      <c r="CX24" s="4">
        <v>65854</v>
      </c>
      <c r="CY24" s="4">
        <v>151877.1</v>
      </c>
      <c r="CZ24" s="4">
        <v>316756.30000000005</v>
      </c>
      <c r="DA24" s="4">
        <v>6167317.7000000002</v>
      </c>
      <c r="DB24" s="4">
        <v>3820019.9</v>
      </c>
      <c r="DC24" s="18">
        <v>5813311</v>
      </c>
      <c r="DD24" s="4">
        <v>600</v>
      </c>
      <c r="DE24" s="4">
        <v>734</v>
      </c>
      <c r="DF24" s="4">
        <v>1500</v>
      </c>
      <c r="DG24" s="4">
        <v>584</v>
      </c>
      <c r="DH24" s="4">
        <v>0</v>
      </c>
      <c r="DI24" s="18">
        <v>0</v>
      </c>
      <c r="DJ24" s="4">
        <v>600</v>
      </c>
      <c r="DK24" s="4">
        <v>1022</v>
      </c>
      <c r="DL24" s="4">
        <v>1500</v>
      </c>
      <c r="DM24" s="4">
        <v>4017</v>
      </c>
      <c r="DN24" s="4">
        <v>0</v>
      </c>
      <c r="DO24" s="4">
        <v>0</v>
      </c>
      <c r="DP24" s="19"/>
      <c r="DQ24" s="33">
        <v>0</v>
      </c>
      <c r="DR24" s="33">
        <v>0</v>
      </c>
      <c r="DS24" s="33">
        <v>0</v>
      </c>
      <c r="DT24" s="33">
        <v>0</v>
      </c>
      <c r="DU24" s="33">
        <v>0</v>
      </c>
      <c r="DV24" s="33">
        <v>0</v>
      </c>
      <c r="DW24" s="33">
        <v>0</v>
      </c>
      <c r="DX24" s="33">
        <v>0</v>
      </c>
      <c r="DY24" s="33">
        <v>0</v>
      </c>
      <c r="DZ24" s="33">
        <v>0</v>
      </c>
      <c r="EA24" s="19"/>
      <c r="EB24" s="4">
        <v>0</v>
      </c>
      <c r="EC24" s="4">
        <v>0</v>
      </c>
      <c r="ED24" s="18">
        <v>0</v>
      </c>
      <c r="EE24" s="26">
        <v>0</v>
      </c>
      <c r="EF24" s="4">
        <v>0</v>
      </c>
      <c r="EG24" s="18">
        <v>0</v>
      </c>
      <c r="EH24" s="4">
        <v>0</v>
      </c>
      <c r="EI24" s="4">
        <v>0</v>
      </c>
      <c r="EJ24" s="4">
        <v>0</v>
      </c>
      <c r="EK24" s="19"/>
      <c r="EL24" s="4">
        <v>99289</v>
      </c>
      <c r="EM24" s="4">
        <v>696169</v>
      </c>
      <c r="EN24" s="4">
        <v>0</v>
      </c>
      <c r="EO24" s="4">
        <v>0</v>
      </c>
      <c r="EP24" s="11"/>
      <c r="EQ24" s="4">
        <v>0</v>
      </c>
      <c r="ER24" s="4">
        <v>261</v>
      </c>
      <c r="ES24" s="4">
        <v>54323</v>
      </c>
      <c r="ET24" s="4">
        <v>0</v>
      </c>
      <c r="EU24" s="75">
        <v>0</v>
      </c>
      <c r="EV24" s="4">
        <v>30034</v>
      </c>
      <c r="EW24" s="4">
        <v>29655</v>
      </c>
      <c r="EX24" s="4">
        <v>223070</v>
      </c>
      <c r="EY24" s="4">
        <v>10221</v>
      </c>
      <c r="EZ24" s="4">
        <v>5195450</v>
      </c>
      <c r="FA24" s="11"/>
      <c r="FB24" s="4">
        <f t="shared" si="7"/>
        <v>585981425.00000012</v>
      </c>
    </row>
    <row r="25" spans="1:158" x14ac:dyDescent="0.2">
      <c r="A25">
        <v>8</v>
      </c>
      <c r="B25" t="s">
        <v>239</v>
      </c>
      <c r="C25" s="4">
        <v>12973349</v>
      </c>
      <c r="D25" s="4">
        <v>19337745</v>
      </c>
      <c r="E25" s="4">
        <v>22528409</v>
      </c>
      <c r="F25" s="4">
        <v>33796816</v>
      </c>
      <c r="G25" s="17">
        <v>446372</v>
      </c>
      <c r="H25" s="4">
        <v>291</v>
      </c>
      <c r="I25" s="4">
        <v>0</v>
      </c>
      <c r="J25" s="4">
        <v>0</v>
      </c>
      <c r="K25" s="18">
        <v>0</v>
      </c>
      <c r="L25" s="4">
        <v>1084349</v>
      </c>
      <c r="M25" s="4">
        <v>592062</v>
      </c>
      <c r="N25" s="4">
        <v>77701</v>
      </c>
      <c r="O25" s="18">
        <v>72176</v>
      </c>
      <c r="P25" s="4">
        <v>1483</v>
      </c>
      <c r="Q25" s="4">
        <v>74</v>
      </c>
      <c r="R25" s="4">
        <v>0</v>
      </c>
      <c r="S25" s="18">
        <v>0</v>
      </c>
      <c r="T25" s="4">
        <v>408</v>
      </c>
      <c r="U25" s="4">
        <v>0</v>
      </c>
      <c r="V25" s="4">
        <v>0</v>
      </c>
      <c r="W25" s="4">
        <v>0</v>
      </c>
      <c r="X25" s="19"/>
      <c r="Y25" s="4">
        <v>0</v>
      </c>
      <c r="Z25" s="4">
        <v>0</v>
      </c>
      <c r="AA25" s="4">
        <v>0</v>
      </c>
      <c r="AB25" s="4">
        <v>0</v>
      </c>
      <c r="AC25" s="72">
        <v>0</v>
      </c>
      <c r="AD25" s="74">
        <v>0</v>
      </c>
      <c r="AE25" s="4">
        <v>965050</v>
      </c>
      <c r="AF25" s="4">
        <v>35115186</v>
      </c>
      <c r="AG25" s="4">
        <v>197480167</v>
      </c>
      <c r="AH25" s="4">
        <v>3432456</v>
      </c>
      <c r="AI25" s="19"/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18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18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18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18">
        <v>0</v>
      </c>
      <c r="BH25" s="4">
        <v>300</v>
      </c>
      <c r="BI25" s="4">
        <v>700</v>
      </c>
      <c r="BJ25" s="4">
        <v>1500</v>
      </c>
      <c r="BK25" s="4">
        <v>79580</v>
      </c>
      <c r="BL25" s="4">
        <v>34932</v>
      </c>
      <c r="BM25" s="18">
        <v>0</v>
      </c>
      <c r="BN25" s="4">
        <v>1200</v>
      </c>
      <c r="BO25" s="4">
        <v>2800</v>
      </c>
      <c r="BP25" s="4">
        <v>6000</v>
      </c>
      <c r="BQ25" s="4">
        <v>1274096</v>
      </c>
      <c r="BR25" s="4">
        <v>743423.99999999988</v>
      </c>
      <c r="BS25" s="18">
        <v>745004</v>
      </c>
      <c r="BT25" s="4">
        <v>6008</v>
      </c>
      <c r="BU25" s="4">
        <v>12056</v>
      </c>
      <c r="BV25" s="4">
        <v>24030</v>
      </c>
      <c r="BW25" s="4">
        <v>1805590</v>
      </c>
      <c r="BX25" s="4">
        <v>957171.00000000012</v>
      </c>
      <c r="BY25" s="18">
        <v>1931515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18">
        <v>0</v>
      </c>
      <c r="CF25" s="4">
        <v>6101537.2999999989</v>
      </c>
      <c r="CG25" s="4">
        <v>12610173.199999981</v>
      </c>
      <c r="CH25" s="4">
        <v>20247690.699999988</v>
      </c>
      <c r="CI25" s="4">
        <v>86034138.999999851</v>
      </c>
      <c r="CJ25" s="4">
        <v>52138249.7999999</v>
      </c>
      <c r="CK25" s="18">
        <v>33389178</v>
      </c>
      <c r="CL25" s="4">
        <v>3300</v>
      </c>
      <c r="CM25" s="4">
        <v>7700</v>
      </c>
      <c r="CN25" s="4">
        <v>13966.6</v>
      </c>
      <c r="CO25" s="4">
        <v>414431.9</v>
      </c>
      <c r="CP25" s="4">
        <v>183673.49999999997</v>
      </c>
      <c r="CQ25" s="18">
        <v>182523</v>
      </c>
      <c r="CR25" s="4">
        <v>34402.9</v>
      </c>
      <c r="CS25" s="4">
        <v>50700.800000000003</v>
      </c>
      <c r="CT25" s="4">
        <v>68971.199999999997</v>
      </c>
      <c r="CU25" s="4">
        <v>114748.8</v>
      </c>
      <c r="CV25" s="4">
        <v>43676.30000000001</v>
      </c>
      <c r="CW25" s="18">
        <v>33786</v>
      </c>
      <c r="CX25" s="4">
        <v>64599</v>
      </c>
      <c r="CY25" s="4">
        <v>149208.4</v>
      </c>
      <c r="CZ25" s="4">
        <v>308528.90000000002</v>
      </c>
      <c r="DA25" s="4">
        <v>6039871.5999999996</v>
      </c>
      <c r="DB25" s="4">
        <v>3742607.1</v>
      </c>
      <c r="DC25" s="18">
        <v>4844380</v>
      </c>
      <c r="DD25" s="4">
        <v>600</v>
      </c>
      <c r="DE25" s="4">
        <v>713</v>
      </c>
      <c r="DF25" s="4">
        <v>1500</v>
      </c>
      <c r="DG25" s="4">
        <v>845</v>
      </c>
      <c r="DH25" s="4">
        <v>0</v>
      </c>
      <c r="DI25" s="18">
        <v>0</v>
      </c>
      <c r="DJ25" s="4">
        <v>600</v>
      </c>
      <c r="DK25" s="4">
        <v>1137</v>
      </c>
      <c r="DL25" s="4">
        <v>1500</v>
      </c>
      <c r="DM25" s="4">
        <v>4713</v>
      </c>
      <c r="DN25" s="4">
        <v>0</v>
      </c>
      <c r="DO25" s="4">
        <v>0</v>
      </c>
      <c r="DP25" s="19"/>
      <c r="DQ25" s="33">
        <v>0</v>
      </c>
      <c r="DR25" s="33">
        <v>0</v>
      </c>
      <c r="DS25" s="33">
        <v>0</v>
      </c>
      <c r="DT25" s="33">
        <v>0</v>
      </c>
      <c r="DU25" s="33">
        <v>0</v>
      </c>
      <c r="DV25" s="33">
        <v>0</v>
      </c>
      <c r="DW25" s="33">
        <v>0</v>
      </c>
      <c r="DX25" s="33">
        <v>0</v>
      </c>
      <c r="DY25" s="33">
        <v>0</v>
      </c>
      <c r="DZ25" s="33">
        <v>0</v>
      </c>
      <c r="EA25" s="19"/>
      <c r="EB25" s="4">
        <v>0</v>
      </c>
      <c r="EC25" s="4">
        <v>0</v>
      </c>
      <c r="ED25" s="18">
        <v>0</v>
      </c>
      <c r="EE25" s="26">
        <v>0</v>
      </c>
      <c r="EF25" s="4">
        <v>0</v>
      </c>
      <c r="EG25" s="18">
        <v>0</v>
      </c>
      <c r="EH25" s="4">
        <v>0</v>
      </c>
      <c r="EI25" s="4">
        <v>0</v>
      </c>
      <c r="EJ25" s="4">
        <v>0</v>
      </c>
      <c r="EK25" s="19"/>
      <c r="EL25" s="4">
        <v>95648</v>
      </c>
      <c r="EM25" s="4">
        <v>576718</v>
      </c>
      <c r="EN25" s="4">
        <v>0</v>
      </c>
      <c r="EO25" s="4">
        <v>0</v>
      </c>
      <c r="EP25" s="11"/>
      <c r="EQ25" s="4">
        <v>0</v>
      </c>
      <c r="ER25" s="4">
        <v>261</v>
      </c>
      <c r="ES25" s="4">
        <v>50688</v>
      </c>
      <c r="ET25" s="4">
        <v>0</v>
      </c>
      <c r="EU25" s="75">
        <v>0</v>
      </c>
      <c r="EV25" s="4">
        <v>28971</v>
      </c>
      <c r="EW25" s="4">
        <v>27800</v>
      </c>
      <c r="EX25" s="4">
        <v>232587</v>
      </c>
      <c r="EY25" s="4">
        <v>10221</v>
      </c>
      <c r="EZ25" s="4">
        <v>5198410</v>
      </c>
      <c r="FA25" s="11"/>
      <c r="FB25" s="4">
        <f t="shared" si="7"/>
        <v>568584955.99999964</v>
      </c>
    </row>
    <row r="26" spans="1:158" x14ac:dyDescent="0.2">
      <c r="A26">
        <v>9</v>
      </c>
      <c r="B26" t="s">
        <v>240</v>
      </c>
      <c r="C26" s="4">
        <v>12958815</v>
      </c>
      <c r="D26" s="4">
        <v>18551501</v>
      </c>
      <c r="E26" s="4">
        <v>20317484</v>
      </c>
      <c r="F26" s="4">
        <v>29627583</v>
      </c>
      <c r="G26" s="17">
        <v>427767</v>
      </c>
      <c r="H26" s="4">
        <v>291</v>
      </c>
      <c r="I26" s="4">
        <v>0</v>
      </c>
      <c r="J26" s="4">
        <v>0</v>
      </c>
      <c r="K26" s="18">
        <v>0</v>
      </c>
      <c r="L26" s="4">
        <v>1095254</v>
      </c>
      <c r="M26" s="4">
        <v>650237</v>
      </c>
      <c r="N26" s="4">
        <v>81553</v>
      </c>
      <c r="O26" s="18">
        <v>76396</v>
      </c>
      <c r="P26" s="4">
        <v>1552</v>
      </c>
      <c r="Q26" s="4">
        <v>53</v>
      </c>
      <c r="R26" s="4">
        <v>0</v>
      </c>
      <c r="S26" s="18">
        <v>0</v>
      </c>
      <c r="T26" s="4">
        <v>408</v>
      </c>
      <c r="U26" s="4">
        <v>0</v>
      </c>
      <c r="V26" s="4">
        <v>0</v>
      </c>
      <c r="W26" s="4">
        <v>0</v>
      </c>
      <c r="X26" s="19"/>
      <c r="Y26" s="4">
        <v>0</v>
      </c>
      <c r="Z26" s="4">
        <v>0</v>
      </c>
      <c r="AA26" s="4">
        <v>0</v>
      </c>
      <c r="AB26" s="4">
        <v>0</v>
      </c>
      <c r="AC26" s="72">
        <v>0</v>
      </c>
      <c r="AD26" s="74">
        <v>0</v>
      </c>
      <c r="AE26" s="4">
        <v>1023584</v>
      </c>
      <c r="AF26" s="4">
        <v>33876612</v>
      </c>
      <c r="AG26" s="4">
        <v>190405888</v>
      </c>
      <c r="AH26" s="4">
        <v>3262782</v>
      </c>
      <c r="AI26" s="19"/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18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18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18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18">
        <v>0</v>
      </c>
      <c r="BH26" s="4">
        <v>300</v>
      </c>
      <c r="BI26" s="4">
        <v>700</v>
      </c>
      <c r="BJ26" s="4">
        <v>1500</v>
      </c>
      <c r="BK26" s="4">
        <v>88700</v>
      </c>
      <c r="BL26" s="4">
        <v>52800.000000000015</v>
      </c>
      <c r="BM26" s="18">
        <v>19271.999999999989</v>
      </c>
      <c r="BN26" s="4">
        <v>1200</v>
      </c>
      <c r="BO26" s="4">
        <v>2800</v>
      </c>
      <c r="BP26" s="4">
        <v>6000</v>
      </c>
      <c r="BQ26" s="4">
        <v>1274856</v>
      </c>
      <c r="BR26" s="4">
        <v>743824</v>
      </c>
      <c r="BS26" s="18">
        <v>666678</v>
      </c>
      <c r="BT26" s="4">
        <v>6080</v>
      </c>
      <c r="BU26" s="4">
        <v>12326</v>
      </c>
      <c r="BV26" s="4">
        <v>24087</v>
      </c>
      <c r="BW26" s="4">
        <v>1810343</v>
      </c>
      <c r="BX26" s="4">
        <v>1014042.9999999998</v>
      </c>
      <c r="BY26" s="18">
        <v>1296385.0000000002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18">
        <v>0</v>
      </c>
      <c r="CF26" s="4">
        <v>6136718.9999999963</v>
      </c>
      <c r="CG26" s="4">
        <v>12572488.800000006</v>
      </c>
      <c r="CH26" s="4">
        <v>19927765.999999996</v>
      </c>
      <c r="CI26" s="4">
        <v>85444626.699999973</v>
      </c>
      <c r="CJ26" s="4">
        <v>49440060.499999993</v>
      </c>
      <c r="CK26" s="18">
        <v>29273509</v>
      </c>
      <c r="CL26" s="4">
        <v>3300</v>
      </c>
      <c r="CM26" s="4">
        <v>7700</v>
      </c>
      <c r="CN26" s="4">
        <v>13796</v>
      </c>
      <c r="CO26" s="4">
        <v>405486.6</v>
      </c>
      <c r="CP26" s="4">
        <v>167534.39999999997</v>
      </c>
      <c r="CQ26" s="18">
        <v>148701.00000000003</v>
      </c>
      <c r="CR26" s="4">
        <v>38066.5</v>
      </c>
      <c r="CS26" s="4">
        <v>57826.7</v>
      </c>
      <c r="CT26" s="4">
        <v>82311</v>
      </c>
      <c r="CU26" s="4">
        <v>152622.29999999999</v>
      </c>
      <c r="CV26" s="4">
        <v>30785.5</v>
      </c>
      <c r="CW26" s="18">
        <v>18939.000000000004</v>
      </c>
      <c r="CX26" s="4">
        <v>65799</v>
      </c>
      <c r="CY26" s="4">
        <v>150772</v>
      </c>
      <c r="CZ26" s="4">
        <v>311939.7</v>
      </c>
      <c r="DA26" s="4">
        <v>5973852</v>
      </c>
      <c r="DB26" s="4">
        <v>3688758.3</v>
      </c>
      <c r="DC26" s="18">
        <v>4874378</v>
      </c>
      <c r="DD26" s="4">
        <v>600</v>
      </c>
      <c r="DE26" s="4">
        <v>764</v>
      </c>
      <c r="DF26" s="4">
        <v>1500</v>
      </c>
      <c r="DG26" s="4">
        <v>843</v>
      </c>
      <c r="DH26" s="4">
        <v>0</v>
      </c>
      <c r="DI26" s="18">
        <v>0</v>
      </c>
      <c r="DJ26" s="4">
        <v>600</v>
      </c>
      <c r="DK26" s="4">
        <v>1116</v>
      </c>
      <c r="DL26" s="4">
        <v>1500</v>
      </c>
      <c r="DM26" s="4">
        <v>4270</v>
      </c>
      <c r="DN26" s="4">
        <v>0</v>
      </c>
      <c r="DO26" s="4">
        <v>0</v>
      </c>
      <c r="DP26" s="19"/>
      <c r="DQ26" s="33">
        <v>0</v>
      </c>
      <c r="DR26" s="33">
        <v>0</v>
      </c>
      <c r="DS26" s="33">
        <v>0</v>
      </c>
      <c r="DT26" s="33">
        <v>0</v>
      </c>
      <c r="DU26" s="33">
        <v>0</v>
      </c>
      <c r="DV26" s="33">
        <v>0</v>
      </c>
      <c r="DW26" s="33">
        <v>0</v>
      </c>
      <c r="DX26" s="33">
        <v>0</v>
      </c>
      <c r="DY26" s="33">
        <v>0</v>
      </c>
      <c r="DZ26" s="33">
        <v>0</v>
      </c>
      <c r="EA26" s="19"/>
      <c r="EB26" s="4">
        <v>0</v>
      </c>
      <c r="EC26" s="4">
        <v>0</v>
      </c>
      <c r="ED26" s="18">
        <v>0</v>
      </c>
      <c r="EE26" s="26">
        <v>0</v>
      </c>
      <c r="EF26" s="4">
        <v>0</v>
      </c>
      <c r="EG26" s="18">
        <v>0</v>
      </c>
      <c r="EH26" s="4">
        <v>0</v>
      </c>
      <c r="EI26" s="4">
        <v>0</v>
      </c>
      <c r="EJ26" s="4">
        <v>0</v>
      </c>
      <c r="EK26" s="19"/>
      <c r="EL26" s="4">
        <v>103465</v>
      </c>
      <c r="EM26" s="4">
        <v>656664</v>
      </c>
      <c r="EN26" s="4">
        <v>0</v>
      </c>
      <c r="EO26" s="4">
        <v>0</v>
      </c>
      <c r="EP26" s="11"/>
      <c r="EQ26" s="4">
        <v>0</v>
      </c>
      <c r="ER26" s="4">
        <v>261</v>
      </c>
      <c r="ES26" s="4">
        <v>59275</v>
      </c>
      <c r="ET26" s="4">
        <v>0</v>
      </c>
      <c r="EU26" s="75">
        <v>0</v>
      </c>
      <c r="EV26" s="4">
        <v>30700</v>
      </c>
      <c r="EW26" s="4">
        <v>27800</v>
      </c>
      <c r="EX26" s="4">
        <v>222890</v>
      </c>
      <c r="EY26" s="4">
        <v>10221</v>
      </c>
      <c r="EZ26" s="4">
        <v>5198410</v>
      </c>
      <c r="FA26" s="11"/>
      <c r="FB26" s="4">
        <f t="shared" si="7"/>
        <v>544688271</v>
      </c>
    </row>
    <row r="27" spans="1:158" x14ac:dyDescent="0.2">
      <c r="A27">
        <v>10</v>
      </c>
      <c r="B27" t="s">
        <v>241</v>
      </c>
      <c r="C27" s="4">
        <v>12880577</v>
      </c>
      <c r="D27" s="4">
        <v>17705831</v>
      </c>
      <c r="E27" s="4">
        <v>18419621</v>
      </c>
      <c r="F27" s="4">
        <v>25692362</v>
      </c>
      <c r="G27" s="17">
        <v>424518</v>
      </c>
      <c r="H27" s="4">
        <v>291</v>
      </c>
      <c r="I27" s="4">
        <v>0</v>
      </c>
      <c r="J27" s="4">
        <v>0</v>
      </c>
      <c r="K27" s="18">
        <v>0</v>
      </c>
      <c r="L27" s="4">
        <v>1086989</v>
      </c>
      <c r="M27" s="4">
        <v>588152</v>
      </c>
      <c r="N27" s="4">
        <v>76870</v>
      </c>
      <c r="O27" s="18">
        <v>63602</v>
      </c>
      <c r="P27" s="4">
        <v>1496</v>
      </c>
      <c r="Q27" s="4">
        <v>111</v>
      </c>
      <c r="R27" s="4">
        <v>0</v>
      </c>
      <c r="S27" s="18">
        <v>0</v>
      </c>
      <c r="T27" s="4">
        <v>408</v>
      </c>
      <c r="U27" s="4">
        <v>0</v>
      </c>
      <c r="V27" s="4">
        <v>0</v>
      </c>
      <c r="W27" s="4">
        <v>0</v>
      </c>
      <c r="X27" s="19"/>
      <c r="Y27" s="4">
        <v>0</v>
      </c>
      <c r="Z27" s="4">
        <v>0</v>
      </c>
      <c r="AA27" s="4">
        <v>0</v>
      </c>
      <c r="AB27" s="4">
        <v>0</v>
      </c>
      <c r="AC27" s="72">
        <v>0</v>
      </c>
      <c r="AD27" s="74">
        <v>0</v>
      </c>
      <c r="AE27" s="4">
        <v>924890</v>
      </c>
      <c r="AF27" s="4">
        <v>32519029</v>
      </c>
      <c r="AG27" s="4">
        <v>181191337</v>
      </c>
      <c r="AH27" s="4">
        <v>3079567</v>
      </c>
      <c r="AI27" s="19"/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18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18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18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18">
        <v>0</v>
      </c>
      <c r="BH27" s="4">
        <v>300</v>
      </c>
      <c r="BI27" s="4">
        <v>700</v>
      </c>
      <c r="BJ27" s="4">
        <v>1500</v>
      </c>
      <c r="BK27" s="4">
        <v>106940</v>
      </c>
      <c r="BL27" s="4">
        <v>8772</v>
      </c>
      <c r="BM27" s="18">
        <v>0</v>
      </c>
      <c r="BN27" s="4">
        <v>1200</v>
      </c>
      <c r="BO27" s="4">
        <v>2800</v>
      </c>
      <c r="BP27" s="4">
        <v>6000</v>
      </c>
      <c r="BQ27" s="4">
        <v>1237920</v>
      </c>
      <c r="BR27" s="4">
        <v>722211.99999999977</v>
      </c>
      <c r="BS27" s="18">
        <v>656924.00000000023</v>
      </c>
      <c r="BT27" s="4">
        <v>5814</v>
      </c>
      <c r="BU27" s="4">
        <v>11858</v>
      </c>
      <c r="BV27" s="4">
        <v>24000</v>
      </c>
      <c r="BW27" s="4">
        <v>1791350</v>
      </c>
      <c r="BX27" s="4">
        <v>994381</v>
      </c>
      <c r="BY27" s="18">
        <v>1482669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18">
        <v>0</v>
      </c>
      <c r="CF27" s="4">
        <v>6129926.3999999901</v>
      </c>
      <c r="CG27" s="4">
        <v>12460315.899999987</v>
      </c>
      <c r="CH27" s="4">
        <v>19489674.199999981</v>
      </c>
      <c r="CI27" s="4">
        <v>82983963.300000057</v>
      </c>
      <c r="CJ27" s="4">
        <v>45622779.199999906</v>
      </c>
      <c r="CK27" s="18">
        <v>24268877</v>
      </c>
      <c r="CL27" s="4">
        <v>3300</v>
      </c>
      <c r="CM27" s="4">
        <v>7700</v>
      </c>
      <c r="CN27" s="4">
        <v>13382</v>
      </c>
      <c r="CO27" s="4">
        <v>369466</v>
      </c>
      <c r="CP27" s="4">
        <v>157629</v>
      </c>
      <c r="CQ27" s="18">
        <v>112425.00000000003</v>
      </c>
      <c r="CR27" s="4">
        <v>43678.3</v>
      </c>
      <c r="CS27" s="4">
        <v>85703.1</v>
      </c>
      <c r="CT27" s="4">
        <v>151076</v>
      </c>
      <c r="CU27" s="4">
        <v>945852.79999999993</v>
      </c>
      <c r="CV27" s="4">
        <v>183083.8</v>
      </c>
      <c r="CW27" s="18">
        <v>30389.000000000007</v>
      </c>
      <c r="CX27" s="4">
        <v>67519</v>
      </c>
      <c r="CY27" s="4">
        <v>155559.5</v>
      </c>
      <c r="CZ27" s="4">
        <v>320225.59999999998</v>
      </c>
      <c r="DA27" s="4">
        <v>6001735.8000000007</v>
      </c>
      <c r="DB27" s="4">
        <v>3547082.0999999996</v>
      </c>
      <c r="DC27" s="18">
        <v>4224211</v>
      </c>
      <c r="DD27" s="4">
        <v>587</v>
      </c>
      <c r="DE27" s="4">
        <v>700</v>
      </c>
      <c r="DF27" s="4">
        <v>1447</v>
      </c>
      <c r="DG27" s="4">
        <v>0</v>
      </c>
      <c r="DH27" s="4">
        <v>0</v>
      </c>
      <c r="DI27" s="18">
        <v>0</v>
      </c>
      <c r="DJ27" s="4">
        <v>600</v>
      </c>
      <c r="DK27" s="4">
        <v>904</v>
      </c>
      <c r="DL27" s="4">
        <v>1500</v>
      </c>
      <c r="DM27" s="4">
        <v>3014</v>
      </c>
      <c r="DN27" s="4">
        <v>0</v>
      </c>
      <c r="DO27" s="4">
        <v>0</v>
      </c>
      <c r="DP27" s="19"/>
      <c r="DQ27" s="33">
        <v>0</v>
      </c>
      <c r="DR27" s="33">
        <v>0</v>
      </c>
      <c r="DS27" s="33">
        <v>0</v>
      </c>
      <c r="DT27" s="33">
        <v>0</v>
      </c>
      <c r="DU27" s="33">
        <v>0</v>
      </c>
      <c r="DV27" s="33">
        <v>0</v>
      </c>
      <c r="DW27" s="33">
        <v>0</v>
      </c>
      <c r="DX27" s="33">
        <v>0</v>
      </c>
      <c r="DY27" s="33">
        <v>0</v>
      </c>
      <c r="DZ27" s="33">
        <v>0</v>
      </c>
      <c r="EA27" s="19"/>
      <c r="EB27" s="4">
        <v>0</v>
      </c>
      <c r="EC27" s="4">
        <v>0</v>
      </c>
      <c r="ED27" s="18">
        <v>0</v>
      </c>
      <c r="EE27" s="26">
        <v>0</v>
      </c>
      <c r="EF27" s="4">
        <v>0</v>
      </c>
      <c r="EG27" s="18">
        <v>0</v>
      </c>
      <c r="EH27" s="4">
        <v>0</v>
      </c>
      <c r="EI27" s="4">
        <v>0</v>
      </c>
      <c r="EJ27" s="4">
        <v>0</v>
      </c>
      <c r="EK27" s="19"/>
      <c r="EL27" s="4">
        <v>97647</v>
      </c>
      <c r="EM27" s="4">
        <v>542713</v>
      </c>
      <c r="EN27" s="4">
        <v>0</v>
      </c>
      <c r="EO27" s="4">
        <v>0</v>
      </c>
      <c r="EP27" s="11"/>
      <c r="EQ27" s="4">
        <v>0</v>
      </c>
      <c r="ER27" s="4">
        <v>261</v>
      </c>
      <c r="ES27" s="4">
        <v>58802</v>
      </c>
      <c r="ET27" s="4">
        <v>0</v>
      </c>
      <c r="EU27" s="75">
        <v>0</v>
      </c>
      <c r="EV27" s="4">
        <v>30365</v>
      </c>
      <c r="EW27" s="4">
        <v>27800</v>
      </c>
      <c r="EX27" s="4">
        <v>222792</v>
      </c>
      <c r="EY27" s="4">
        <v>10221</v>
      </c>
      <c r="EZ27" s="4">
        <v>5156206</v>
      </c>
      <c r="FA27" s="11"/>
      <c r="FB27" s="4">
        <f t="shared" si="7"/>
        <v>515242104.00000006</v>
      </c>
    </row>
    <row r="28" spans="1:158" x14ac:dyDescent="0.2">
      <c r="A28">
        <v>11</v>
      </c>
      <c r="B28" t="s">
        <v>242</v>
      </c>
      <c r="C28" s="4">
        <v>12974504</v>
      </c>
      <c r="D28" s="4">
        <v>17227837</v>
      </c>
      <c r="E28" s="4">
        <v>16759361</v>
      </c>
      <c r="F28" s="18">
        <v>20726387</v>
      </c>
      <c r="G28" s="17">
        <v>398201</v>
      </c>
      <c r="H28" s="4">
        <v>291</v>
      </c>
      <c r="I28" s="4">
        <v>0</v>
      </c>
      <c r="J28" s="4">
        <v>0</v>
      </c>
      <c r="K28" s="18">
        <v>0</v>
      </c>
      <c r="L28" s="4">
        <v>1090983</v>
      </c>
      <c r="M28" s="4">
        <v>591210</v>
      </c>
      <c r="N28" s="4">
        <v>73588</v>
      </c>
      <c r="O28" s="18">
        <v>62475</v>
      </c>
      <c r="P28" s="4">
        <v>1370</v>
      </c>
      <c r="Q28" s="4">
        <v>43</v>
      </c>
      <c r="R28" s="4">
        <v>0</v>
      </c>
      <c r="S28" s="18">
        <v>0</v>
      </c>
      <c r="T28" s="4">
        <v>408</v>
      </c>
      <c r="U28" s="4">
        <v>0</v>
      </c>
      <c r="V28" s="4">
        <v>0</v>
      </c>
      <c r="W28" s="4">
        <v>0</v>
      </c>
      <c r="X28" s="19"/>
      <c r="Y28" s="4">
        <v>0</v>
      </c>
      <c r="Z28" s="4">
        <v>0</v>
      </c>
      <c r="AA28" s="4">
        <v>0</v>
      </c>
      <c r="AB28" s="4">
        <v>0</v>
      </c>
      <c r="AC28" s="72">
        <v>0</v>
      </c>
      <c r="AD28" s="74">
        <v>0</v>
      </c>
      <c r="AE28" s="4">
        <v>903606</v>
      </c>
      <c r="AF28" s="4">
        <v>29123538</v>
      </c>
      <c r="AG28" s="4">
        <v>162282861</v>
      </c>
      <c r="AH28" s="4">
        <v>3048066</v>
      </c>
      <c r="AI28" s="19"/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18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18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18">
        <v>0</v>
      </c>
      <c r="BB28" s="4">
        <v>600</v>
      </c>
      <c r="BC28" s="4">
        <v>1400</v>
      </c>
      <c r="BD28" s="4">
        <v>3000</v>
      </c>
      <c r="BE28" s="4">
        <v>2368.1999999999989</v>
      </c>
      <c r="BF28" s="4">
        <v>4265.7999999999993</v>
      </c>
      <c r="BG28" s="18">
        <v>6487.0000000000018</v>
      </c>
      <c r="BH28" s="4">
        <v>300</v>
      </c>
      <c r="BI28" s="4">
        <v>700</v>
      </c>
      <c r="BJ28" s="4">
        <v>1500</v>
      </c>
      <c r="BK28" s="4">
        <v>97820</v>
      </c>
      <c r="BL28" s="4">
        <v>58080</v>
      </c>
      <c r="BM28" s="18">
        <v>26171.999999999996</v>
      </c>
      <c r="BN28" s="4">
        <v>1200</v>
      </c>
      <c r="BO28" s="4">
        <v>2800</v>
      </c>
      <c r="BP28" s="4">
        <v>6000</v>
      </c>
      <c r="BQ28" s="4">
        <v>1151432</v>
      </c>
      <c r="BR28" s="4">
        <v>672304</v>
      </c>
      <c r="BS28" s="18">
        <v>464416.00000000006</v>
      </c>
      <c r="BT28" s="4">
        <v>6300</v>
      </c>
      <c r="BU28" s="4">
        <v>14306</v>
      </c>
      <c r="BV28" s="4">
        <v>25090</v>
      </c>
      <c r="BW28" s="4">
        <v>1592771</v>
      </c>
      <c r="BX28" s="4">
        <v>877381.99999999988</v>
      </c>
      <c r="BY28" s="18">
        <v>1389803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18">
        <v>0</v>
      </c>
      <c r="CF28" s="4">
        <v>6113488.1000000043</v>
      </c>
      <c r="CG28" s="4">
        <v>12170895.300000001</v>
      </c>
      <c r="CH28" s="4">
        <v>18261398.800000045</v>
      </c>
      <c r="CI28" s="4">
        <v>72967583.5</v>
      </c>
      <c r="CJ28" s="4">
        <v>40280705.300000057</v>
      </c>
      <c r="CK28" s="18">
        <v>21359543</v>
      </c>
      <c r="CL28" s="4">
        <v>3300</v>
      </c>
      <c r="CM28" s="4">
        <v>7506</v>
      </c>
      <c r="CN28" s="4">
        <v>12099.9</v>
      </c>
      <c r="CO28" s="4">
        <v>318289.09999999998</v>
      </c>
      <c r="CP28" s="4">
        <v>148996.99999999997</v>
      </c>
      <c r="CQ28" s="18">
        <v>55281.000000000029</v>
      </c>
      <c r="CR28" s="4">
        <v>47574</v>
      </c>
      <c r="CS28" s="4">
        <v>98970.900000000009</v>
      </c>
      <c r="CT28" s="4">
        <v>187643.6</v>
      </c>
      <c r="CU28" s="4">
        <v>1430834.1999999997</v>
      </c>
      <c r="CV28" s="4">
        <v>346111.3</v>
      </c>
      <c r="CW28" s="18">
        <v>120592</v>
      </c>
      <c r="CX28" s="4">
        <v>66687</v>
      </c>
      <c r="CY28" s="4">
        <v>152801</v>
      </c>
      <c r="CZ28" s="4">
        <v>318187.59999999998</v>
      </c>
      <c r="DA28" s="4">
        <v>6259841.0999999996</v>
      </c>
      <c r="DB28" s="4">
        <v>3582240.3</v>
      </c>
      <c r="DC28" s="18">
        <v>4131068.0000000005</v>
      </c>
      <c r="DD28" s="4">
        <v>600</v>
      </c>
      <c r="DE28" s="4">
        <v>1302</v>
      </c>
      <c r="DF28" s="4">
        <v>1500</v>
      </c>
      <c r="DG28" s="4">
        <v>3371</v>
      </c>
      <c r="DH28" s="4">
        <v>1683</v>
      </c>
      <c r="DI28" s="18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19"/>
      <c r="DQ28" s="33">
        <v>0</v>
      </c>
      <c r="DR28" s="33">
        <v>0</v>
      </c>
      <c r="DS28" s="33">
        <v>0</v>
      </c>
      <c r="DT28" s="33">
        <v>0</v>
      </c>
      <c r="DU28" s="33">
        <v>0</v>
      </c>
      <c r="DV28" s="33">
        <v>0</v>
      </c>
      <c r="DW28" s="33">
        <v>0</v>
      </c>
      <c r="DX28" s="33">
        <v>0</v>
      </c>
      <c r="DY28" s="33">
        <v>0</v>
      </c>
      <c r="DZ28" s="33">
        <v>0</v>
      </c>
      <c r="EA28" s="19"/>
      <c r="EB28" s="4">
        <v>0</v>
      </c>
      <c r="EC28" s="4">
        <v>0</v>
      </c>
      <c r="ED28" s="18">
        <v>0</v>
      </c>
      <c r="EE28" s="26">
        <v>0</v>
      </c>
      <c r="EF28" s="4">
        <v>0</v>
      </c>
      <c r="EG28" s="18">
        <v>0</v>
      </c>
      <c r="EH28" s="4">
        <v>0</v>
      </c>
      <c r="EI28" s="4">
        <v>0</v>
      </c>
      <c r="EJ28" s="4">
        <v>0</v>
      </c>
      <c r="EK28" s="19"/>
      <c r="EL28" s="4">
        <v>102263</v>
      </c>
      <c r="EM28" s="4">
        <v>543045</v>
      </c>
      <c r="EN28" s="4">
        <v>0</v>
      </c>
      <c r="EO28" s="4">
        <v>0</v>
      </c>
      <c r="EP28" s="11"/>
      <c r="EQ28" s="4">
        <v>0</v>
      </c>
      <c r="ER28" s="4">
        <v>261</v>
      </c>
      <c r="ES28" s="4">
        <v>64922</v>
      </c>
      <c r="ET28" s="4">
        <v>0</v>
      </c>
      <c r="EU28" s="75">
        <v>0</v>
      </c>
      <c r="EV28" s="4">
        <v>31974</v>
      </c>
      <c r="EW28" s="4">
        <v>27800</v>
      </c>
      <c r="EX28" s="4">
        <v>220850</v>
      </c>
      <c r="EY28" s="4">
        <v>10221</v>
      </c>
      <c r="EZ28" s="4">
        <v>5168261</v>
      </c>
      <c r="FA28" s="11"/>
      <c r="FB28" s="4">
        <f t="shared" si="7"/>
        <v>466290917.00000024</v>
      </c>
    </row>
    <row r="29" spans="1:158" x14ac:dyDescent="0.2">
      <c r="A29">
        <v>12</v>
      </c>
      <c r="B29" t="s">
        <v>243</v>
      </c>
      <c r="C29" s="4">
        <v>13290660</v>
      </c>
      <c r="D29" s="4">
        <v>18896919</v>
      </c>
      <c r="E29" s="4">
        <v>19928357</v>
      </c>
      <c r="F29" s="18">
        <v>25876537</v>
      </c>
      <c r="G29" s="17">
        <v>453305</v>
      </c>
      <c r="H29" s="4">
        <v>291</v>
      </c>
      <c r="I29" s="4">
        <v>0</v>
      </c>
      <c r="J29" s="4">
        <v>0</v>
      </c>
      <c r="K29" s="18">
        <v>0</v>
      </c>
      <c r="L29" s="4">
        <v>1098325</v>
      </c>
      <c r="M29" s="4">
        <v>664515</v>
      </c>
      <c r="N29" s="4">
        <v>89237</v>
      </c>
      <c r="O29" s="18">
        <v>71129</v>
      </c>
      <c r="P29" s="4">
        <v>1562</v>
      </c>
      <c r="Q29" s="4">
        <v>67</v>
      </c>
      <c r="R29" s="4">
        <v>0</v>
      </c>
      <c r="S29" s="18">
        <v>0</v>
      </c>
      <c r="T29" s="4">
        <v>408</v>
      </c>
      <c r="U29" s="4">
        <v>0</v>
      </c>
      <c r="V29" s="4">
        <v>0</v>
      </c>
      <c r="W29" s="4">
        <v>0</v>
      </c>
      <c r="X29" s="19"/>
      <c r="Y29" s="4">
        <v>0</v>
      </c>
      <c r="Z29" s="4">
        <v>0</v>
      </c>
      <c r="AA29" s="4">
        <v>0</v>
      </c>
      <c r="AB29" s="4">
        <v>0</v>
      </c>
      <c r="AC29" s="72">
        <v>0</v>
      </c>
      <c r="AD29" s="74">
        <v>0</v>
      </c>
      <c r="AE29" s="4">
        <v>829446</v>
      </c>
      <c r="AF29" s="4">
        <v>28157349</v>
      </c>
      <c r="AG29" s="4">
        <v>164373412</v>
      </c>
      <c r="AH29" s="4">
        <v>3097068</v>
      </c>
      <c r="AI29" s="19"/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18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18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18">
        <v>0</v>
      </c>
      <c r="BB29" s="4">
        <v>300</v>
      </c>
      <c r="BC29" s="4">
        <v>700</v>
      </c>
      <c r="BD29" s="4">
        <v>1500</v>
      </c>
      <c r="BE29" s="4">
        <v>2413.3999999999996</v>
      </c>
      <c r="BF29" s="4">
        <v>2844.6000000000008</v>
      </c>
      <c r="BG29" s="18">
        <v>1568.9999999999995</v>
      </c>
      <c r="BH29" s="4">
        <v>300</v>
      </c>
      <c r="BI29" s="4">
        <v>700</v>
      </c>
      <c r="BJ29" s="4">
        <v>1500</v>
      </c>
      <c r="BK29" s="4">
        <v>129740</v>
      </c>
      <c r="BL29" s="4">
        <v>76560</v>
      </c>
      <c r="BM29" s="18">
        <v>11975.999999999993</v>
      </c>
      <c r="BN29" s="4">
        <v>1200</v>
      </c>
      <c r="BO29" s="4">
        <v>2800</v>
      </c>
      <c r="BP29" s="4">
        <v>6000</v>
      </c>
      <c r="BQ29" s="4">
        <v>1092608</v>
      </c>
      <c r="BR29" s="4">
        <v>638352</v>
      </c>
      <c r="BS29" s="18">
        <v>595888</v>
      </c>
      <c r="BT29" s="4">
        <v>6300</v>
      </c>
      <c r="BU29" s="4">
        <v>13692</v>
      </c>
      <c r="BV29" s="4">
        <v>25857</v>
      </c>
      <c r="BW29" s="4">
        <v>1384954</v>
      </c>
      <c r="BX29" s="4">
        <v>805971</v>
      </c>
      <c r="BY29" s="18">
        <v>1311409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18">
        <v>0</v>
      </c>
      <c r="CF29" s="4">
        <v>6181973.6999999993</v>
      </c>
      <c r="CG29" s="4">
        <v>12336329.80000001</v>
      </c>
      <c r="CH29" s="4">
        <v>18484853.700000007</v>
      </c>
      <c r="CI29" s="4">
        <v>71046189.99999997</v>
      </c>
      <c r="CJ29" s="4">
        <v>43363479.799999982</v>
      </c>
      <c r="CK29" s="18">
        <v>32016792</v>
      </c>
      <c r="CL29" s="4">
        <v>3300</v>
      </c>
      <c r="CM29" s="4">
        <v>7038.2</v>
      </c>
      <c r="CN29" s="4">
        <v>12521.3</v>
      </c>
      <c r="CO29" s="4">
        <v>304039.59999999998</v>
      </c>
      <c r="CP29" s="4">
        <v>135958.9</v>
      </c>
      <c r="CQ29" s="18">
        <v>121940</v>
      </c>
      <c r="CR29" s="4">
        <v>45890.5</v>
      </c>
      <c r="CS29" s="4">
        <v>93022.9</v>
      </c>
      <c r="CT29" s="4">
        <v>161725.30000000002</v>
      </c>
      <c r="CU29" s="4">
        <v>919737.29999999993</v>
      </c>
      <c r="CV29" s="4">
        <v>209811.00000000003</v>
      </c>
      <c r="CW29" s="18">
        <v>62896.000000000007</v>
      </c>
      <c r="CX29" s="4">
        <v>67060</v>
      </c>
      <c r="CY29" s="4">
        <v>153460</v>
      </c>
      <c r="CZ29" s="4">
        <v>320450.7</v>
      </c>
      <c r="DA29" s="4">
        <v>7116830.0999999996</v>
      </c>
      <c r="DB29" s="4">
        <v>4021027.2</v>
      </c>
      <c r="DC29" s="18">
        <v>4321765</v>
      </c>
      <c r="DD29" s="4">
        <v>600</v>
      </c>
      <c r="DE29" s="4">
        <v>1400</v>
      </c>
      <c r="DF29" s="4">
        <v>1624</v>
      </c>
      <c r="DG29" s="4">
        <v>5403.9999999999991</v>
      </c>
      <c r="DH29" s="4">
        <v>1992.0000000000009</v>
      </c>
      <c r="DI29" s="18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19"/>
      <c r="DQ29" s="33">
        <v>0</v>
      </c>
      <c r="DR29" s="33">
        <v>0</v>
      </c>
      <c r="DS29" s="33">
        <v>0</v>
      </c>
      <c r="DT29" s="33">
        <v>0</v>
      </c>
      <c r="DU29" s="33">
        <v>0</v>
      </c>
      <c r="DV29" s="33">
        <v>0</v>
      </c>
      <c r="DW29" s="33">
        <v>0</v>
      </c>
      <c r="DX29" s="33">
        <v>0</v>
      </c>
      <c r="DY29" s="33">
        <v>0</v>
      </c>
      <c r="DZ29" s="33">
        <v>0</v>
      </c>
      <c r="EA29" s="19"/>
      <c r="EB29" s="4">
        <v>0</v>
      </c>
      <c r="EC29" s="4">
        <v>0</v>
      </c>
      <c r="ED29" s="18">
        <v>0</v>
      </c>
      <c r="EE29" s="26">
        <v>0</v>
      </c>
      <c r="EF29" s="4">
        <v>0</v>
      </c>
      <c r="EG29" s="18">
        <v>0</v>
      </c>
      <c r="EH29" s="4">
        <v>0</v>
      </c>
      <c r="EI29" s="4">
        <v>0</v>
      </c>
      <c r="EJ29" s="4">
        <v>0</v>
      </c>
      <c r="EK29" s="19"/>
      <c r="EL29" s="4">
        <v>108379</v>
      </c>
      <c r="EM29" s="4">
        <v>598828</v>
      </c>
      <c r="EN29" s="4">
        <v>0</v>
      </c>
      <c r="EO29" s="4">
        <v>0</v>
      </c>
      <c r="EP29" s="11"/>
      <c r="EQ29" s="4">
        <v>0</v>
      </c>
      <c r="ER29" s="4">
        <v>261</v>
      </c>
      <c r="ES29" s="4">
        <v>73038</v>
      </c>
      <c r="ET29" s="4">
        <v>0</v>
      </c>
      <c r="EU29" s="75">
        <v>0</v>
      </c>
      <c r="EV29" s="4">
        <v>36495</v>
      </c>
      <c r="EW29" s="4">
        <v>27800</v>
      </c>
      <c r="EX29" s="4">
        <v>220496</v>
      </c>
      <c r="EY29" s="4">
        <v>10221</v>
      </c>
      <c r="EZ29" s="4">
        <v>5161644</v>
      </c>
      <c r="FA29" s="11"/>
      <c r="FB29" s="4">
        <f t="shared" si="7"/>
        <v>490699995.99999988</v>
      </c>
    </row>
    <row r="30" spans="1:158" x14ac:dyDescent="0.2">
      <c r="B30" s="11"/>
      <c r="C30" s="11"/>
      <c r="D30" s="11"/>
      <c r="E30" s="11"/>
      <c r="F30" s="14"/>
      <c r="G30" s="16"/>
      <c r="H30" s="11"/>
      <c r="I30" s="11"/>
      <c r="J30" s="11"/>
      <c r="K30" s="14"/>
      <c r="L30" s="11"/>
      <c r="M30" s="11"/>
      <c r="N30" s="11"/>
      <c r="O30" s="14"/>
      <c r="P30" s="11"/>
      <c r="Q30" s="11"/>
      <c r="R30" s="11"/>
      <c r="S30" s="14"/>
      <c r="T30" s="11"/>
      <c r="U30" s="11"/>
      <c r="V30" s="11"/>
      <c r="W30" s="11"/>
      <c r="X30" s="11"/>
      <c r="Y30" s="11"/>
      <c r="Z30" s="11"/>
      <c r="AA30" s="11"/>
      <c r="AB30" s="11"/>
      <c r="AC30" s="27"/>
      <c r="AD30" s="14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4"/>
      <c r="AP30" s="11"/>
      <c r="AQ30" s="11"/>
      <c r="AR30" s="11"/>
      <c r="AS30" s="11"/>
      <c r="AT30" s="11"/>
      <c r="AU30" s="14"/>
      <c r="AV30" s="11"/>
      <c r="AW30" s="11"/>
      <c r="AX30" s="11"/>
      <c r="AY30" s="11"/>
      <c r="AZ30" s="11"/>
      <c r="BA30" s="14"/>
      <c r="BB30" s="11"/>
      <c r="BC30" s="11"/>
      <c r="BD30" s="11"/>
      <c r="BE30" s="11"/>
      <c r="BF30" s="11"/>
      <c r="BG30" s="14"/>
      <c r="BH30" s="11"/>
      <c r="BI30" s="11"/>
      <c r="BJ30" s="11"/>
      <c r="BK30" s="11"/>
      <c r="BL30" s="11"/>
      <c r="BM30" s="14"/>
      <c r="BN30" s="11"/>
      <c r="BO30" s="11"/>
      <c r="BP30" s="11"/>
      <c r="BQ30" s="11"/>
      <c r="BR30" s="11"/>
      <c r="BS30" s="14"/>
      <c r="BT30" s="11"/>
      <c r="BU30" s="11"/>
      <c r="BV30" s="11"/>
      <c r="BW30" s="11"/>
      <c r="BX30" s="11"/>
      <c r="BY30" s="14"/>
      <c r="BZ30" s="11"/>
      <c r="CA30" s="11"/>
      <c r="CB30" s="11"/>
      <c r="CC30" s="11"/>
      <c r="CD30" s="11"/>
      <c r="CE30" s="14"/>
      <c r="CF30" s="11"/>
      <c r="CG30" s="11"/>
      <c r="CH30" s="11"/>
      <c r="CI30" s="11"/>
      <c r="CJ30" s="11"/>
      <c r="CK30" s="14"/>
      <c r="CL30" s="11"/>
      <c r="CM30" s="11"/>
      <c r="CN30" s="11"/>
      <c r="CO30" s="11"/>
      <c r="CP30" s="11"/>
      <c r="CQ30" s="14"/>
      <c r="CR30" s="11"/>
      <c r="CS30" s="11"/>
      <c r="CT30" s="11"/>
      <c r="CU30" s="11"/>
      <c r="CV30" s="11"/>
      <c r="CW30" s="14"/>
      <c r="CX30" s="11"/>
      <c r="CY30" s="11"/>
      <c r="CZ30" s="11"/>
      <c r="DA30" s="11"/>
      <c r="DB30" s="11"/>
      <c r="DC30" s="14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4"/>
      <c r="EE30" s="27"/>
      <c r="EF30" s="11"/>
      <c r="EG30" s="14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</row>
    <row r="31" spans="1:158" x14ac:dyDescent="0.2">
      <c r="B31" t="s">
        <v>47</v>
      </c>
      <c r="C31" s="344" t="str">
        <f>C16</f>
        <v>CSN0</v>
      </c>
      <c r="D31" s="344"/>
      <c r="E31" s="344"/>
      <c r="F31" s="345"/>
      <c r="G31" s="15" t="str">
        <f>G16</f>
        <v>CSN2</v>
      </c>
      <c r="H31" s="343" t="str">
        <f>H16</f>
        <v>CSN7</v>
      </c>
      <c r="I31" s="344"/>
      <c r="J31" s="344"/>
      <c r="K31" s="345"/>
      <c r="L31" s="343" t="str">
        <f>L16</f>
        <v>CSN8</v>
      </c>
      <c r="M31" s="344"/>
      <c r="N31" s="344"/>
      <c r="O31" s="345"/>
      <c r="P31" s="343" t="str">
        <f>P16</f>
        <v>CSN9</v>
      </c>
      <c r="Q31" s="344"/>
      <c r="R31" s="344"/>
      <c r="S31" s="345"/>
      <c r="T31" s="343" t="str">
        <f>T16</f>
        <v>SFOC</v>
      </c>
      <c r="U31" s="344"/>
      <c r="V31" s="344"/>
      <c r="W31" s="344"/>
      <c r="X31" s="11"/>
      <c r="Y31" t="str">
        <f t="shared" ref="Y31:AH31" si="8">Y16</f>
        <v>HBA0</v>
      </c>
      <c r="Z31" t="str">
        <f t="shared" si="8"/>
        <v>HBN0</v>
      </c>
      <c r="AA31" t="str">
        <f t="shared" si="8"/>
        <v>HCA0</v>
      </c>
      <c r="AB31" t="str">
        <f t="shared" si="8"/>
        <v>HCN0</v>
      </c>
      <c r="AC31" s="25" t="str">
        <f t="shared" si="8"/>
        <v>HCN3</v>
      </c>
      <c r="AD31" s="13" t="str">
        <f t="shared" si="8"/>
        <v>HCN3</v>
      </c>
      <c r="AE31" t="str">
        <f t="shared" si="8"/>
        <v>HDN0</v>
      </c>
      <c r="AF31" t="str">
        <f t="shared" si="8"/>
        <v>HPN0</v>
      </c>
      <c r="AG31" t="str">
        <f t="shared" si="8"/>
        <v>HSN0</v>
      </c>
      <c r="AH31" t="str">
        <f t="shared" si="8"/>
        <v>HSS0</v>
      </c>
      <c r="AI31" s="11"/>
      <c r="AJ31" s="344" t="str">
        <f>AJ16</f>
        <v>LBA0</v>
      </c>
      <c r="AK31" s="344"/>
      <c r="AL31" s="344"/>
      <c r="AM31" s="344"/>
      <c r="AN31" s="344"/>
      <c r="AO31" s="345"/>
      <c r="AP31" s="343" t="str">
        <f>AP16</f>
        <v>LBAM</v>
      </c>
      <c r="AQ31" s="344"/>
      <c r="AR31" s="344"/>
      <c r="AS31" s="344"/>
      <c r="AT31" s="344"/>
      <c r="AU31" s="345"/>
      <c r="AV31" s="343" t="str">
        <f>AV16</f>
        <v>LBN0</v>
      </c>
      <c r="AW31" s="344"/>
      <c r="AX31" s="344"/>
      <c r="AY31" s="344"/>
      <c r="AZ31" s="344"/>
      <c r="BA31" s="345"/>
      <c r="BB31" s="343" t="str">
        <f>BB16</f>
        <v>LCA0</v>
      </c>
      <c r="BC31" s="344"/>
      <c r="BD31" s="344"/>
      <c r="BE31" s="344"/>
      <c r="BF31" s="344"/>
      <c r="BG31" s="345"/>
      <c r="BH31" s="343" t="str">
        <f>BH16</f>
        <v>LCN0</v>
      </c>
      <c r="BI31" s="344"/>
      <c r="BJ31" s="344"/>
      <c r="BK31" s="344"/>
      <c r="BL31" s="344"/>
      <c r="BM31" s="345"/>
      <c r="BN31" s="343" t="str">
        <f>BN16</f>
        <v>LDN0</v>
      </c>
      <c r="BO31" s="344"/>
      <c r="BP31" s="344"/>
      <c r="BQ31" s="344"/>
      <c r="BR31" s="344"/>
      <c r="BS31" s="345"/>
      <c r="BT31" s="343" t="str">
        <f>BT16</f>
        <v>LPN0</v>
      </c>
      <c r="BU31" s="344"/>
      <c r="BV31" s="344"/>
      <c r="BW31" s="344"/>
      <c r="BX31" s="344"/>
      <c r="BY31" s="345"/>
      <c r="BZ31" s="343" t="str">
        <f>BZ16</f>
        <v>LPA0</v>
      </c>
      <c r="CA31" s="344"/>
      <c r="CB31" s="344"/>
      <c r="CC31" s="344"/>
      <c r="CD31" s="344"/>
      <c r="CE31" s="345"/>
      <c r="CF31" s="343" t="str">
        <f>CF16</f>
        <v>LSN0</v>
      </c>
      <c r="CG31" s="344"/>
      <c r="CH31" s="344"/>
      <c r="CI31" s="344"/>
      <c r="CJ31" s="344"/>
      <c r="CK31" s="345"/>
      <c r="CL31" s="343" t="str">
        <f>CL16</f>
        <v>LSS0</v>
      </c>
      <c r="CM31" s="344"/>
      <c r="CN31" s="344"/>
      <c r="CO31" s="344"/>
      <c r="CP31" s="344"/>
      <c r="CQ31" s="345"/>
      <c r="CR31" s="343" t="str">
        <f>CR16</f>
        <v>LSN4</v>
      </c>
      <c r="CS31" s="344"/>
      <c r="CT31" s="344"/>
      <c r="CU31" s="344"/>
      <c r="CV31" s="344"/>
      <c r="CW31" s="345"/>
      <c r="CX31" s="343" t="str">
        <f>CX16</f>
        <v>LSN2</v>
      </c>
      <c r="CY31" s="344"/>
      <c r="CZ31" s="344"/>
      <c r="DA31" s="344"/>
      <c r="DB31" s="344"/>
      <c r="DC31" s="345"/>
      <c r="DD31" s="343" t="str">
        <f>DD16</f>
        <v>LSN3 - Peak</v>
      </c>
      <c r="DE31" s="344"/>
      <c r="DF31" s="344"/>
      <c r="DG31" s="344"/>
      <c r="DH31" s="344"/>
      <c r="DI31" s="344"/>
      <c r="DJ31" s="343" t="str">
        <f>DJ16</f>
        <v>LSN3 - Off Peak</v>
      </c>
      <c r="DK31" s="344"/>
      <c r="DL31" s="344"/>
      <c r="DM31" s="344"/>
      <c r="DN31" s="344"/>
      <c r="DO31" s="344"/>
      <c r="DP31" s="11"/>
      <c r="DQ31" t="str">
        <f>DQ16</f>
        <v>NUCF</v>
      </c>
      <c r="DR31" t="str">
        <f t="shared" ref="DR31:DZ31" si="9">DR16</f>
        <v>NUIF</v>
      </c>
      <c r="DS31" t="str">
        <f t="shared" si="9"/>
        <v>NUID</v>
      </c>
      <c r="DT31" t="str">
        <f t="shared" si="9"/>
        <v>NUCS</v>
      </c>
      <c r="DU31" t="str">
        <f t="shared" si="9"/>
        <v>SAES</v>
      </c>
      <c r="DV31" t="str">
        <f t="shared" si="9"/>
        <v>SASN</v>
      </c>
      <c r="DW31" t="str">
        <f t="shared" si="9"/>
        <v>SPUF</v>
      </c>
      <c r="DX31" t="str">
        <f t="shared" si="9"/>
        <v>SPUR</v>
      </c>
      <c r="DY31" t="str">
        <f t="shared" si="9"/>
        <v>SDEH</v>
      </c>
      <c r="DZ31" t="str">
        <f t="shared" si="9"/>
        <v>SDED</v>
      </c>
      <c r="EA31" s="11"/>
      <c r="EB31" s="344" t="str">
        <f t="shared" ref="EB31:EJ32" si="10">EB16</f>
        <v>RSN0</v>
      </c>
      <c r="EC31" s="344"/>
      <c r="ED31" s="345"/>
      <c r="EE31" s="343" t="str">
        <f>EE16</f>
        <v>RSN2</v>
      </c>
      <c r="EF31" s="344"/>
      <c r="EG31" s="345"/>
      <c r="EH31" s="344" t="str">
        <f>EH16</f>
        <v>RSN4</v>
      </c>
      <c r="EI31" s="344"/>
      <c r="EJ31" s="344"/>
      <c r="EK31" s="11"/>
      <c r="EL31" t="str">
        <f>EL16</f>
        <v xml:space="preserve">SWP </v>
      </c>
      <c r="EO31" t="str">
        <f>EO16</f>
        <v>SWPM</v>
      </c>
      <c r="EP31" s="11"/>
      <c r="EQ31" t="str">
        <f t="shared" ref="EQ31:EZ31" si="11">EQ16</f>
        <v>MHLS</v>
      </c>
      <c r="ER31" t="str">
        <f>ER16</f>
        <v>SFS</v>
      </c>
      <c r="ES31" t="str">
        <f t="shared" si="11"/>
        <v>SMLC</v>
      </c>
      <c r="ET31" t="str">
        <f t="shared" si="11"/>
        <v>SMLP</v>
      </c>
      <c r="EU31" t="str">
        <f t="shared" si="11"/>
        <v>SMPC</v>
      </c>
      <c r="EV31" t="str">
        <f t="shared" si="11"/>
        <v>SMS</v>
      </c>
      <c r="EW31" t="str">
        <f t="shared" si="11"/>
        <v>SSLC</v>
      </c>
      <c r="EX31" t="str">
        <f t="shared" si="11"/>
        <v>SSLP</v>
      </c>
      <c r="EY31" t="str">
        <f t="shared" si="11"/>
        <v>STS</v>
      </c>
      <c r="EZ31" t="str">
        <f t="shared" si="11"/>
        <v>UOLS</v>
      </c>
      <c r="FA31" s="11"/>
    </row>
    <row r="32" spans="1:158" x14ac:dyDescent="0.2">
      <c r="C32" t="str">
        <f t="shared" ref="C32:W32" si="12">C17</f>
        <v>First 300</v>
      </c>
      <c r="D32" t="str">
        <f t="shared" si="12"/>
        <v>Next 700</v>
      </c>
      <c r="E32" t="str">
        <f t="shared" si="12"/>
        <v>Next 1500</v>
      </c>
      <c r="F32" s="13" t="str">
        <f t="shared" si="12"/>
        <v>Over 2500</v>
      </c>
      <c r="G32" s="15"/>
      <c r="H32" t="str">
        <f t="shared" si="12"/>
        <v>First 300</v>
      </c>
      <c r="I32" t="str">
        <f t="shared" si="12"/>
        <v>Next 700</v>
      </c>
      <c r="J32" t="str">
        <f t="shared" si="12"/>
        <v>Next 1500</v>
      </c>
      <c r="K32" s="13" t="str">
        <f t="shared" si="12"/>
        <v>Over 2500</v>
      </c>
      <c r="L32" t="str">
        <f t="shared" si="12"/>
        <v>First 300</v>
      </c>
      <c r="M32" t="str">
        <f t="shared" si="12"/>
        <v>Next 700</v>
      </c>
      <c r="N32" t="str">
        <f t="shared" si="12"/>
        <v>Next 1500</v>
      </c>
      <c r="O32" s="13" t="str">
        <f t="shared" si="12"/>
        <v>Over 2500</v>
      </c>
      <c r="P32" t="str">
        <f t="shared" si="12"/>
        <v>First 300</v>
      </c>
      <c r="Q32" t="str">
        <f t="shared" si="12"/>
        <v>Next 700</v>
      </c>
      <c r="R32" t="str">
        <f t="shared" si="12"/>
        <v>Next 1500</v>
      </c>
      <c r="S32" s="13" t="str">
        <f t="shared" si="12"/>
        <v>Over 2500</v>
      </c>
      <c r="T32" t="str">
        <f t="shared" si="12"/>
        <v>First 300</v>
      </c>
      <c r="U32" t="str">
        <f t="shared" si="12"/>
        <v>Next 700</v>
      </c>
      <c r="V32" t="str">
        <f t="shared" si="12"/>
        <v>Next 1500</v>
      </c>
      <c r="W32" t="str">
        <f t="shared" si="12"/>
        <v>Over 2500</v>
      </c>
      <c r="X32" s="11"/>
      <c r="AC32" s="25" t="str">
        <f>AC17</f>
        <v>On Peak</v>
      </c>
      <c r="AD32" s="13" t="str">
        <f>AD17</f>
        <v>Off Peak</v>
      </c>
      <c r="AI32" s="11"/>
      <c r="AJ32" t="str">
        <f>AJ17</f>
        <v>First 300 kWh</v>
      </c>
      <c r="AK32" t="str">
        <f>AK17</f>
        <v>Next 700 kWh</v>
      </c>
      <c r="AL32" t="str">
        <f>AL17</f>
        <v>Next 1500 kWh</v>
      </c>
      <c r="AM32" t="str">
        <f>AM17</f>
        <v>Over 2500 kWh</v>
      </c>
      <c r="AN32" t="str">
        <f>AN17</f>
        <v>KWH_NEXT110</v>
      </c>
      <c r="AO32" s="13" t="str">
        <f>AO17</f>
        <v>KWH_300+</v>
      </c>
      <c r="AP32" t="str">
        <f>AP17</f>
        <v>First 300 kWh</v>
      </c>
      <c r="AQ32" t="str">
        <f>AQ17</f>
        <v>Next 700 kWh</v>
      </c>
      <c r="AR32" t="str">
        <f>AR17</f>
        <v>Next 1500 kWh</v>
      </c>
      <c r="AS32" t="str">
        <f>AS17</f>
        <v>Over 2500 kWh</v>
      </c>
      <c r="AT32" t="str">
        <f>AT17</f>
        <v>KWH_NEXT110</v>
      </c>
      <c r="AU32" s="13" t="str">
        <f>AU17</f>
        <v>KWH_300+</v>
      </c>
      <c r="AV32" t="str">
        <f>AV17</f>
        <v>First 300 kWh</v>
      </c>
      <c r="AW32" t="str">
        <f>AW17</f>
        <v>Next 700 kWh</v>
      </c>
      <c r="AX32" t="str">
        <f>AX17</f>
        <v>Next 1500 kWh</v>
      </c>
      <c r="AY32" t="str">
        <f>AY17</f>
        <v>Over 2500 kWh</v>
      </c>
      <c r="AZ32" t="str">
        <f>AZ17</f>
        <v>KWH_NEXT110</v>
      </c>
      <c r="BA32" s="13" t="str">
        <f>BA17</f>
        <v>KWH_300+</v>
      </c>
      <c r="BB32" t="str">
        <f>BB17</f>
        <v>First 300 kWh</v>
      </c>
      <c r="BC32" t="str">
        <f>BC17</f>
        <v>Next 700 kWh</v>
      </c>
      <c r="BD32" t="str">
        <f>BD17</f>
        <v>Next 1500 kWh</v>
      </c>
      <c r="BE32" t="str">
        <f>BE17</f>
        <v>Over 2500 kWh</v>
      </c>
      <c r="BF32" t="str">
        <f>BF17</f>
        <v>KWH_NEXT110</v>
      </c>
      <c r="BG32" s="13" t="str">
        <f>BG17</f>
        <v>KWH_300+</v>
      </c>
      <c r="BH32" t="str">
        <f>BH17</f>
        <v>First 300 kWh</v>
      </c>
      <c r="BI32" t="str">
        <f>BI17</f>
        <v>Next 700 kWh</v>
      </c>
      <c r="BJ32" t="str">
        <f>BJ17</f>
        <v>Next 1500 kWh</v>
      </c>
      <c r="BK32" t="str">
        <f>BK17</f>
        <v>Over 2500 kWh</v>
      </c>
      <c r="BL32" t="str">
        <f>BL17</f>
        <v>KWH_NEXT110</v>
      </c>
      <c r="BM32" s="13" t="str">
        <f>BM17</f>
        <v>KWH_300+</v>
      </c>
      <c r="BN32" t="str">
        <f>BN17</f>
        <v>First 300 kWh</v>
      </c>
      <c r="BO32" t="str">
        <f>BO17</f>
        <v>Next 700 kWh</v>
      </c>
      <c r="BP32" t="str">
        <f>BP17</f>
        <v>Next 1500 kWh</v>
      </c>
      <c r="BQ32" t="str">
        <f>BQ17</f>
        <v>Over 2500 kWh</v>
      </c>
      <c r="BR32" t="str">
        <f>BR17</f>
        <v>KWH_NEXT110</v>
      </c>
      <c r="BS32" s="13" t="str">
        <f>BS17</f>
        <v>KWH_300+</v>
      </c>
      <c r="BT32" t="str">
        <f>BT17</f>
        <v>First 300 kWh</v>
      </c>
      <c r="BU32" t="str">
        <f>BU17</f>
        <v>Next 700 kWh</v>
      </c>
      <c r="BV32" t="str">
        <f>BV17</f>
        <v>Next 1500 kWh</v>
      </c>
      <c r="BW32" t="str">
        <f>BW17</f>
        <v>Over 2500 kWh</v>
      </c>
      <c r="BX32" t="str">
        <f>BX17</f>
        <v>KWH_NEXT110</v>
      </c>
      <c r="BY32" s="13" t="str">
        <f>BY17</f>
        <v>KWH_300+</v>
      </c>
      <c r="BZ32" t="str">
        <f>BZ17</f>
        <v>First 300 kWh</v>
      </c>
      <c r="CA32" t="str">
        <f>CA17</f>
        <v>Next 700 kWh</v>
      </c>
      <c r="CB32" t="str">
        <f>CB17</f>
        <v>Next 1500 kWh</v>
      </c>
      <c r="CC32" t="str">
        <f>CC17</f>
        <v>Over 2500 kWh</v>
      </c>
      <c r="CD32" t="str">
        <f>CD17</f>
        <v>KWH_NEXT110</v>
      </c>
      <c r="CE32" s="13" t="str">
        <f>CE17</f>
        <v>KWH_300+</v>
      </c>
      <c r="CF32" t="str">
        <f>CF17</f>
        <v>First 300 kWh</v>
      </c>
      <c r="CG32" t="str">
        <f>CG17</f>
        <v>Next 700 kWh</v>
      </c>
      <c r="CH32" t="str">
        <f>CH17</f>
        <v>Next 1500 kWh</v>
      </c>
      <c r="CI32" t="str">
        <f>CI17</f>
        <v>Over 2500 kWh</v>
      </c>
      <c r="CJ32" t="str">
        <f>CJ17</f>
        <v>KWH_NEXT110</v>
      </c>
      <c r="CK32" s="13" t="str">
        <f>CK17</f>
        <v>KWH_300+</v>
      </c>
      <c r="CL32" t="str">
        <f>CL17</f>
        <v>First 300 kWh</v>
      </c>
      <c r="CM32" t="str">
        <f>CM17</f>
        <v>Next 700 kWh</v>
      </c>
      <c r="CN32" t="str">
        <f>CN17</f>
        <v>Next 1500 kWh</v>
      </c>
      <c r="CO32" t="str">
        <f>CO17</f>
        <v>Over 2500 kWh</v>
      </c>
      <c r="CP32" t="str">
        <f>CP17</f>
        <v>KWH_NEXT110</v>
      </c>
      <c r="CQ32" s="13" t="str">
        <f>CQ17</f>
        <v>KWH_300+</v>
      </c>
      <c r="CR32" t="str">
        <f>CR17</f>
        <v>First 300 kWh</v>
      </c>
      <c r="CS32" t="str">
        <f>CS17</f>
        <v>Next 700 kWh</v>
      </c>
      <c r="CT32" t="str">
        <f>CT17</f>
        <v>Next 1500 kWh</v>
      </c>
      <c r="CU32" t="str">
        <f>CU17</f>
        <v>Over 2500 kWh</v>
      </c>
      <c r="CV32" t="str">
        <f>CV17</f>
        <v>KWH_NEXT110</v>
      </c>
      <c r="CW32" s="13" t="str">
        <f>CW17</f>
        <v>KWH_300+</v>
      </c>
      <c r="CX32" t="str">
        <f>CX17</f>
        <v>First 300 kWh</v>
      </c>
      <c r="CY32" t="str">
        <f>CY17</f>
        <v>Next 700 kWh</v>
      </c>
      <c r="CZ32" t="str">
        <f>CZ17</f>
        <v>Next 1500 kWh</v>
      </c>
      <c r="DA32" t="str">
        <f>DA17</f>
        <v>Over 2500 kWh</v>
      </c>
      <c r="DB32" t="str">
        <f>DB17</f>
        <v>KWH_NEXT110</v>
      </c>
      <c r="DC32" s="13" t="str">
        <f>DC17</f>
        <v>KWH_300+</v>
      </c>
      <c r="DD32" t="str">
        <f>DD17</f>
        <v>First 300 kWh</v>
      </c>
      <c r="DE32" t="str">
        <f>DE17</f>
        <v>Next 700 kWh</v>
      </c>
      <c r="DF32" t="str">
        <f>DF17</f>
        <v>Next 1500 kWh</v>
      </c>
      <c r="DG32" t="str">
        <f>DG17</f>
        <v>Over 2500 kWh</v>
      </c>
      <c r="DH32" t="str">
        <f>DH17</f>
        <v>KWH_NEXT110</v>
      </c>
      <c r="DI32" s="13" t="str">
        <f>DI17</f>
        <v>KWH_300+</v>
      </c>
      <c r="DJ32" t="str">
        <f t="shared" ref="DJ32:DO32" si="13">DJ17</f>
        <v>First 300 kWh</v>
      </c>
      <c r="DK32" t="str">
        <f t="shared" si="13"/>
        <v>Next 700 kWh</v>
      </c>
      <c r="DL32" t="str">
        <f t="shared" si="13"/>
        <v>Next 1500 kWh</v>
      </c>
      <c r="DM32" t="str">
        <f t="shared" si="13"/>
        <v>Over 2500 kWh</v>
      </c>
      <c r="DN32" t="str">
        <f t="shared" si="13"/>
        <v>KWH_NEXT110</v>
      </c>
      <c r="DO32" t="str">
        <f t="shared" si="13"/>
        <v>KWH_300+</v>
      </c>
      <c r="DP32" s="11"/>
      <c r="EA32" s="11"/>
      <c r="EB32" t="str">
        <f t="shared" si="10"/>
        <v>First 300 kWh</v>
      </c>
      <c r="EC32" t="str">
        <f t="shared" si="10"/>
        <v>Next 700 kWh</v>
      </c>
      <c r="ED32" s="13" t="str">
        <f t="shared" si="10"/>
        <v>Over 1000 kWh</v>
      </c>
      <c r="EE32" s="25" t="str">
        <f t="shared" si="10"/>
        <v>First 300 kWh</v>
      </c>
      <c r="EF32" t="str">
        <f t="shared" si="10"/>
        <v>Next 700 kWh</v>
      </c>
      <c r="EG32" s="13" t="str">
        <f t="shared" si="10"/>
        <v>Over 1000 kWh</v>
      </c>
      <c r="EH32" t="str">
        <f t="shared" si="10"/>
        <v>First 300 kWh</v>
      </c>
      <c r="EI32" t="str">
        <f t="shared" si="10"/>
        <v>Next 700 kWh</v>
      </c>
      <c r="EJ32" t="str">
        <f t="shared" si="10"/>
        <v>Over 1000 kWh</v>
      </c>
      <c r="EK32" s="11"/>
      <c r="EP32" s="11"/>
      <c r="FA32" s="11"/>
    </row>
    <row r="33" spans="1:158" x14ac:dyDescent="0.2">
      <c r="A33">
        <v>1</v>
      </c>
      <c r="B33" t="s">
        <v>232</v>
      </c>
      <c r="C33" s="4">
        <v>23585</v>
      </c>
      <c r="D33" s="4">
        <v>46186</v>
      </c>
      <c r="E33" s="4">
        <v>69539</v>
      </c>
      <c r="F33" s="4">
        <v>190142</v>
      </c>
      <c r="G33" s="17">
        <v>0</v>
      </c>
      <c r="H33" s="4">
        <v>0</v>
      </c>
      <c r="I33" s="4">
        <v>0</v>
      </c>
      <c r="J33" s="4">
        <v>0</v>
      </c>
      <c r="K33" s="18">
        <v>0</v>
      </c>
      <c r="L33" s="4">
        <v>0</v>
      </c>
      <c r="M33" s="4">
        <v>0</v>
      </c>
      <c r="N33" s="4">
        <v>0</v>
      </c>
      <c r="O33" s="18">
        <v>0</v>
      </c>
      <c r="P33" s="4">
        <v>0</v>
      </c>
      <c r="Q33" s="4">
        <v>0</v>
      </c>
      <c r="R33" s="4">
        <v>0</v>
      </c>
      <c r="S33" s="18">
        <v>0</v>
      </c>
      <c r="T33" s="4">
        <v>0</v>
      </c>
      <c r="U33" s="4">
        <v>0</v>
      </c>
      <c r="V33" s="4">
        <v>0</v>
      </c>
      <c r="W33" s="4">
        <v>0</v>
      </c>
      <c r="X33" s="19"/>
      <c r="Y33" s="4">
        <v>23291187</v>
      </c>
      <c r="Z33" s="4">
        <v>41878993</v>
      </c>
      <c r="AA33" s="4">
        <v>40935253</v>
      </c>
      <c r="AB33" s="4">
        <v>41937602</v>
      </c>
      <c r="AC33" s="72">
        <v>2092080</v>
      </c>
      <c r="AD33" s="74">
        <v>5313930</v>
      </c>
      <c r="AE33" s="4">
        <v>176102249</v>
      </c>
      <c r="AF33" s="4">
        <v>96033823</v>
      </c>
      <c r="AG33" s="4">
        <v>109696842</v>
      </c>
      <c r="AH33" s="4">
        <v>12636676</v>
      </c>
      <c r="AI33" s="19"/>
      <c r="AJ33" s="4">
        <v>600</v>
      </c>
      <c r="AK33" s="4">
        <v>1400</v>
      </c>
      <c r="AL33" s="4">
        <v>3000</v>
      </c>
      <c r="AM33" s="4">
        <v>737039.29999999993</v>
      </c>
      <c r="AN33" s="4">
        <v>429601.69999999984</v>
      </c>
      <c r="AO33" s="18">
        <v>283088.00000000023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18">
        <v>0</v>
      </c>
      <c r="AV33" s="4">
        <v>600</v>
      </c>
      <c r="AW33" s="4">
        <v>1400</v>
      </c>
      <c r="AX33" s="4">
        <v>3000</v>
      </c>
      <c r="AY33" s="4">
        <v>3276232</v>
      </c>
      <c r="AZ33" s="4">
        <v>1362240</v>
      </c>
      <c r="BA33" s="18">
        <v>2131056</v>
      </c>
      <c r="BB33" s="4">
        <v>2400</v>
      </c>
      <c r="BC33" s="4">
        <v>5600</v>
      </c>
      <c r="BD33" s="4">
        <v>12000</v>
      </c>
      <c r="BE33" s="4">
        <v>1959940.9</v>
      </c>
      <c r="BF33" s="4">
        <v>913888.10000000009</v>
      </c>
      <c r="BG33" s="18">
        <v>925440</v>
      </c>
      <c r="BH33" s="4">
        <v>900</v>
      </c>
      <c r="BI33" s="4">
        <v>2100</v>
      </c>
      <c r="BJ33" s="4">
        <v>4500</v>
      </c>
      <c r="BK33" s="4">
        <v>1350544</v>
      </c>
      <c r="BL33" s="4">
        <v>675090</v>
      </c>
      <c r="BM33" s="18">
        <v>1147377</v>
      </c>
      <c r="BN33" s="4">
        <v>5100</v>
      </c>
      <c r="BO33" s="4">
        <v>11900</v>
      </c>
      <c r="BP33" s="4">
        <v>25500</v>
      </c>
      <c r="BQ33" s="4">
        <v>10318470</v>
      </c>
      <c r="BR33" s="4">
        <v>3544608</v>
      </c>
      <c r="BS33" s="18">
        <v>2841343</v>
      </c>
      <c r="BT33" s="4">
        <v>30163</v>
      </c>
      <c r="BU33" s="4">
        <v>67858</v>
      </c>
      <c r="BV33" s="4">
        <v>139079</v>
      </c>
      <c r="BW33" s="4">
        <v>15919895</v>
      </c>
      <c r="BX33" s="4">
        <v>7405045</v>
      </c>
      <c r="BY33" s="18">
        <v>6770032</v>
      </c>
      <c r="BZ33" s="4">
        <v>1200</v>
      </c>
      <c r="CA33" s="4">
        <v>2800</v>
      </c>
      <c r="CB33" s="4">
        <v>6000</v>
      </c>
      <c r="CC33" s="4">
        <v>133214.39999999999</v>
      </c>
      <c r="CD33" s="4">
        <v>81833.600000000006</v>
      </c>
      <c r="CE33" s="18">
        <v>110564.00000000003</v>
      </c>
      <c r="CF33" s="4">
        <v>553204.69999999995</v>
      </c>
      <c r="CG33" s="4">
        <v>1195530.1999999997</v>
      </c>
      <c r="CH33" s="4">
        <v>2204839.9000000004</v>
      </c>
      <c r="CI33" s="4">
        <v>34393666.799999997</v>
      </c>
      <c r="CJ33" s="4">
        <v>14970288.400000002</v>
      </c>
      <c r="CK33" s="18">
        <v>10128390</v>
      </c>
      <c r="CL33" s="4">
        <v>9600</v>
      </c>
      <c r="CM33" s="4">
        <v>22400</v>
      </c>
      <c r="CN33" s="4">
        <v>46178.7</v>
      </c>
      <c r="CO33" s="4">
        <v>4202297.6000000006</v>
      </c>
      <c r="CP33" s="4">
        <v>1491024.6999999997</v>
      </c>
      <c r="CQ33" s="18">
        <v>415072.00000000012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18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18">
        <v>0</v>
      </c>
      <c r="DD33" s="4">
        <v>300</v>
      </c>
      <c r="DE33" s="4">
        <v>700</v>
      </c>
      <c r="DF33" s="4">
        <v>1500</v>
      </c>
      <c r="DG33" s="4">
        <v>127753</v>
      </c>
      <c r="DH33" s="4">
        <v>0</v>
      </c>
      <c r="DI33" s="18">
        <v>0</v>
      </c>
      <c r="DJ33" s="4">
        <v>300</v>
      </c>
      <c r="DK33" s="4">
        <v>700</v>
      </c>
      <c r="DL33" s="4">
        <v>1500</v>
      </c>
      <c r="DM33" s="4">
        <v>148626</v>
      </c>
      <c r="DN33" s="4">
        <v>87493.999999999971</v>
      </c>
      <c r="DO33" s="4">
        <v>163906.00000000003</v>
      </c>
      <c r="DP33" s="19"/>
      <c r="DQ33" s="33">
        <v>13392000</v>
      </c>
      <c r="DR33" s="33">
        <v>64929584</v>
      </c>
      <c r="DS33" s="33">
        <v>0</v>
      </c>
      <c r="DT33" s="33">
        <v>9819880</v>
      </c>
      <c r="DU33" s="33">
        <v>15583259</v>
      </c>
      <c r="DV33" s="33">
        <v>0</v>
      </c>
      <c r="DW33" s="33">
        <v>0</v>
      </c>
      <c r="DX33" s="33">
        <v>0</v>
      </c>
      <c r="DY33" s="33">
        <v>34327800</v>
      </c>
      <c r="DZ33" s="33">
        <v>9407520</v>
      </c>
      <c r="EA33" s="19"/>
      <c r="EB33" s="4">
        <v>0</v>
      </c>
      <c r="EC33" s="4">
        <v>0</v>
      </c>
      <c r="ED33" s="18">
        <v>0</v>
      </c>
      <c r="EE33" s="26">
        <v>0</v>
      </c>
      <c r="EF33" s="4">
        <v>0</v>
      </c>
      <c r="EG33" s="18">
        <v>0</v>
      </c>
      <c r="EH33" s="4">
        <v>0</v>
      </c>
      <c r="EI33" s="4">
        <v>0</v>
      </c>
      <c r="EJ33" s="4">
        <v>0</v>
      </c>
      <c r="EK33" s="19"/>
      <c r="EL33" s="4">
        <v>123062</v>
      </c>
      <c r="EM33" s="4">
        <v>1357250</v>
      </c>
      <c r="EN33" s="4">
        <v>0</v>
      </c>
      <c r="EO33" s="4">
        <v>0</v>
      </c>
      <c r="EP33" s="11"/>
      <c r="EQ33" s="4">
        <v>0</v>
      </c>
      <c r="ER33" s="4">
        <v>84</v>
      </c>
      <c r="ES33" s="4">
        <v>0</v>
      </c>
      <c r="ET33" s="4">
        <v>0</v>
      </c>
      <c r="EU33" s="75">
        <v>0</v>
      </c>
      <c r="EV33" s="4">
        <v>0</v>
      </c>
      <c r="EW33" s="4">
        <v>0</v>
      </c>
      <c r="EX33" s="4">
        <v>0</v>
      </c>
      <c r="EY33" s="4">
        <v>1649</v>
      </c>
      <c r="EZ33" s="4">
        <v>387989</v>
      </c>
      <c r="FA33" s="11"/>
      <c r="FB33" s="4">
        <f t="shared" ref="FB33:FB44" si="14">SUM(C33:EZ33)</f>
        <v>832387078.00000012</v>
      </c>
    </row>
    <row r="34" spans="1:158" x14ac:dyDescent="0.2">
      <c r="A34">
        <v>2</v>
      </c>
      <c r="B34" t="s">
        <v>233</v>
      </c>
      <c r="C34" s="4">
        <v>22620</v>
      </c>
      <c r="D34" s="4">
        <v>44588</v>
      </c>
      <c r="E34" s="4">
        <v>61833</v>
      </c>
      <c r="F34" s="4">
        <v>134556</v>
      </c>
      <c r="G34" s="17">
        <v>0</v>
      </c>
      <c r="H34" s="4">
        <v>0</v>
      </c>
      <c r="I34" s="4">
        <v>0</v>
      </c>
      <c r="J34" s="4">
        <v>0</v>
      </c>
      <c r="K34" s="18">
        <v>0</v>
      </c>
      <c r="L34" s="4">
        <v>0</v>
      </c>
      <c r="M34" s="4">
        <v>0</v>
      </c>
      <c r="N34" s="4">
        <v>0</v>
      </c>
      <c r="O34" s="18">
        <v>0</v>
      </c>
      <c r="P34" s="4">
        <v>0</v>
      </c>
      <c r="Q34" s="4">
        <v>0</v>
      </c>
      <c r="R34" s="4">
        <v>0</v>
      </c>
      <c r="S34" s="18">
        <v>0</v>
      </c>
      <c r="T34" s="4">
        <v>0</v>
      </c>
      <c r="U34" s="4">
        <v>0</v>
      </c>
      <c r="V34" s="4">
        <v>0</v>
      </c>
      <c r="W34" s="4">
        <v>0</v>
      </c>
      <c r="X34" s="19"/>
      <c r="Y34" s="4">
        <v>25584846</v>
      </c>
      <c r="Z34" s="4">
        <v>40694703</v>
      </c>
      <c r="AA34" s="4">
        <v>37892590</v>
      </c>
      <c r="AB34" s="4">
        <v>40928532</v>
      </c>
      <c r="AC34" s="72">
        <v>2392660</v>
      </c>
      <c r="AD34" s="74">
        <v>5514690</v>
      </c>
      <c r="AE34" s="4">
        <v>170776316</v>
      </c>
      <c r="AF34" s="4">
        <v>97278985</v>
      </c>
      <c r="AG34" s="4">
        <v>106903633</v>
      </c>
      <c r="AH34" s="4">
        <v>12107381</v>
      </c>
      <c r="AI34" s="19"/>
      <c r="AJ34" s="4">
        <v>600</v>
      </c>
      <c r="AK34" s="4">
        <v>1400</v>
      </c>
      <c r="AL34" s="4">
        <v>3000</v>
      </c>
      <c r="AM34" s="4">
        <v>698083.6</v>
      </c>
      <c r="AN34" s="4">
        <v>388293.4</v>
      </c>
      <c r="AO34" s="18">
        <v>80063.999999999985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18">
        <v>0</v>
      </c>
      <c r="AV34" s="4">
        <v>600</v>
      </c>
      <c r="AW34" s="4">
        <v>1400</v>
      </c>
      <c r="AX34" s="4">
        <v>3000</v>
      </c>
      <c r="AY34" s="4">
        <v>3469720</v>
      </c>
      <c r="AZ34" s="4">
        <v>2011680</v>
      </c>
      <c r="BA34" s="18">
        <v>1935288</v>
      </c>
      <c r="BB34" s="4">
        <v>1800</v>
      </c>
      <c r="BC34" s="4">
        <v>4200</v>
      </c>
      <c r="BD34" s="4">
        <v>9000</v>
      </c>
      <c r="BE34" s="4">
        <v>1674783.9999999998</v>
      </c>
      <c r="BF34" s="4">
        <v>748685.00000000023</v>
      </c>
      <c r="BG34" s="18">
        <v>520793</v>
      </c>
      <c r="BH34" s="4">
        <v>900</v>
      </c>
      <c r="BI34" s="4">
        <v>2100</v>
      </c>
      <c r="BJ34" s="4">
        <v>4500</v>
      </c>
      <c r="BK34" s="4">
        <v>1487344</v>
      </c>
      <c r="BL34" s="4">
        <v>586201</v>
      </c>
      <c r="BM34" s="18">
        <v>512430.00000000006</v>
      </c>
      <c r="BN34" s="4">
        <v>5100</v>
      </c>
      <c r="BO34" s="4">
        <v>11900</v>
      </c>
      <c r="BP34" s="4">
        <v>25500</v>
      </c>
      <c r="BQ34" s="4">
        <v>10390364</v>
      </c>
      <c r="BR34" s="4">
        <v>3993075</v>
      </c>
      <c r="BS34" s="18">
        <v>2356204</v>
      </c>
      <c r="BT34" s="4">
        <v>30047</v>
      </c>
      <c r="BU34" s="4">
        <v>67858</v>
      </c>
      <c r="BV34" s="4">
        <v>139562</v>
      </c>
      <c r="BW34" s="4">
        <v>15464984</v>
      </c>
      <c r="BX34" s="4">
        <v>7276459</v>
      </c>
      <c r="BY34" s="18">
        <v>8316008</v>
      </c>
      <c r="BZ34" s="4">
        <v>1200</v>
      </c>
      <c r="CA34" s="4">
        <v>2800</v>
      </c>
      <c r="CB34" s="4">
        <v>6000</v>
      </c>
      <c r="CC34" s="4">
        <v>135614.09999999998</v>
      </c>
      <c r="CD34" s="4">
        <v>84183.9</v>
      </c>
      <c r="CE34" s="18">
        <v>85601.000000000029</v>
      </c>
      <c r="CF34" s="4">
        <v>565225.69999999995</v>
      </c>
      <c r="CG34" s="4">
        <v>1209486</v>
      </c>
      <c r="CH34" s="4">
        <v>2220608.9000000004</v>
      </c>
      <c r="CI34" s="4">
        <v>34730508</v>
      </c>
      <c r="CJ34" s="4">
        <v>15017520.400000002</v>
      </c>
      <c r="CK34" s="18">
        <v>10338560</v>
      </c>
      <c r="CL34" s="4">
        <v>9600</v>
      </c>
      <c r="CM34" s="4">
        <v>22400</v>
      </c>
      <c r="CN34" s="4">
        <v>46047.6</v>
      </c>
      <c r="CO34" s="4">
        <v>3774298.6999999993</v>
      </c>
      <c r="CP34" s="4">
        <v>1416968.7</v>
      </c>
      <c r="CQ34" s="18">
        <v>444489.00000000012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18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18">
        <v>0</v>
      </c>
      <c r="DD34" s="4">
        <v>300</v>
      </c>
      <c r="DE34" s="4">
        <v>700</v>
      </c>
      <c r="DF34" s="4">
        <v>1500</v>
      </c>
      <c r="DG34" s="4">
        <v>140104</v>
      </c>
      <c r="DH34" s="4">
        <v>0</v>
      </c>
      <c r="DI34" s="18">
        <v>0</v>
      </c>
      <c r="DJ34" s="4">
        <v>300</v>
      </c>
      <c r="DK34" s="4">
        <v>700</v>
      </c>
      <c r="DL34" s="4">
        <v>1500</v>
      </c>
      <c r="DM34" s="4">
        <v>150260</v>
      </c>
      <c r="DN34" s="4">
        <v>88439.999999999971</v>
      </c>
      <c r="DO34" s="4">
        <v>155721.00000000003</v>
      </c>
      <c r="DP34" s="19"/>
      <c r="DQ34" s="33">
        <v>13392000</v>
      </c>
      <c r="DR34" s="33">
        <v>84572660</v>
      </c>
      <c r="DS34" s="33">
        <v>6887051</v>
      </c>
      <c r="DT34" s="33">
        <v>18389927</v>
      </c>
      <c r="DU34" s="33">
        <v>14910455</v>
      </c>
      <c r="DV34" s="33">
        <v>0</v>
      </c>
      <c r="DW34" s="33">
        <v>0</v>
      </c>
      <c r="DX34" s="33">
        <v>0</v>
      </c>
      <c r="DY34" s="33">
        <v>32064200</v>
      </c>
      <c r="DZ34" s="33">
        <v>7714080</v>
      </c>
      <c r="EA34" s="19"/>
      <c r="EB34" s="4">
        <v>0</v>
      </c>
      <c r="EC34" s="4">
        <v>0</v>
      </c>
      <c r="ED34" s="18">
        <v>0</v>
      </c>
      <c r="EE34" s="26">
        <v>0</v>
      </c>
      <c r="EF34" s="4">
        <v>0</v>
      </c>
      <c r="EG34" s="18">
        <v>0</v>
      </c>
      <c r="EH34" s="4">
        <v>0</v>
      </c>
      <c r="EI34" s="4">
        <v>0</v>
      </c>
      <c r="EJ34" s="4">
        <v>0</v>
      </c>
      <c r="EK34" s="19"/>
      <c r="EL34" s="4">
        <v>127391</v>
      </c>
      <c r="EM34" s="4">
        <v>1359082</v>
      </c>
      <c r="EN34" s="4">
        <v>0</v>
      </c>
      <c r="EO34" s="4">
        <v>0</v>
      </c>
      <c r="EP34" s="11"/>
      <c r="EQ34" s="4">
        <v>0</v>
      </c>
      <c r="ER34" s="4">
        <v>84</v>
      </c>
      <c r="ES34" s="4">
        <v>0</v>
      </c>
      <c r="ET34" s="4">
        <v>0</v>
      </c>
      <c r="EU34" s="75">
        <v>0</v>
      </c>
      <c r="EV34" s="4">
        <v>0</v>
      </c>
      <c r="EW34" s="4">
        <v>0</v>
      </c>
      <c r="EX34" s="4">
        <v>0</v>
      </c>
      <c r="EY34" s="4">
        <v>1649</v>
      </c>
      <c r="EZ34" s="4">
        <v>385199</v>
      </c>
      <c r="FA34" s="11"/>
      <c r="FB34" s="4">
        <f t="shared" si="14"/>
        <v>853015275.00000012</v>
      </c>
    </row>
    <row r="35" spans="1:158" x14ac:dyDescent="0.2">
      <c r="A35">
        <v>3</v>
      </c>
      <c r="B35" t="s">
        <v>234</v>
      </c>
      <c r="C35" s="4">
        <v>22634</v>
      </c>
      <c r="D35" s="4">
        <v>42714</v>
      </c>
      <c r="E35" s="4">
        <v>54524</v>
      </c>
      <c r="F35" s="4">
        <v>117147</v>
      </c>
      <c r="G35" s="17">
        <v>0</v>
      </c>
      <c r="H35" s="4">
        <v>0</v>
      </c>
      <c r="I35" s="4">
        <v>0</v>
      </c>
      <c r="J35" s="4">
        <v>0</v>
      </c>
      <c r="K35" s="18">
        <v>0</v>
      </c>
      <c r="L35" s="4">
        <v>0</v>
      </c>
      <c r="M35" s="4">
        <v>0</v>
      </c>
      <c r="N35" s="4">
        <v>0</v>
      </c>
      <c r="O35" s="18">
        <v>0</v>
      </c>
      <c r="P35" s="4">
        <v>0</v>
      </c>
      <c r="Q35" s="4">
        <v>0</v>
      </c>
      <c r="R35" s="4">
        <v>0</v>
      </c>
      <c r="S35" s="18">
        <v>0</v>
      </c>
      <c r="T35" s="4">
        <v>0</v>
      </c>
      <c r="U35" s="4">
        <v>0</v>
      </c>
      <c r="V35" s="4">
        <v>0</v>
      </c>
      <c r="W35" s="4">
        <v>0</v>
      </c>
      <c r="X35" s="19"/>
      <c r="Y35" s="4">
        <v>27185268</v>
      </c>
      <c r="Z35" s="4">
        <v>41070561</v>
      </c>
      <c r="AA35" s="4">
        <v>37331789</v>
      </c>
      <c r="AB35" s="4">
        <v>44098254</v>
      </c>
      <c r="AC35" s="72">
        <v>2483840</v>
      </c>
      <c r="AD35" s="74">
        <v>5625640</v>
      </c>
      <c r="AE35" s="4">
        <v>171695709</v>
      </c>
      <c r="AF35" s="4">
        <v>94986039</v>
      </c>
      <c r="AG35" s="4">
        <v>108215330</v>
      </c>
      <c r="AH35" s="4">
        <v>12142681</v>
      </c>
      <c r="AI35" s="19"/>
      <c r="AJ35" s="4">
        <v>600</v>
      </c>
      <c r="AK35" s="4">
        <v>1400</v>
      </c>
      <c r="AL35" s="4">
        <v>3000</v>
      </c>
      <c r="AM35" s="4">
        <v>649665.9</v>
      </c>
      <c r="AN35" s="4">
        <v>351567.1</v>
      </c>
      <c r="AO35" s="18">
        <v>19763.000000000004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18">
        <v>0</v>
      </c>
      <c r="AV35" s="4">
        <v>600</v>
      </c>
      <c r="AW35" s="4">
        <v>1400</v>
      </c>
      <c r="AX35" s="4">
        <v>3000</v>
      </c>
      <c r="AY35" s="4">
        <v>3551800</v>
      </c>
      <c r="AZ35" s="4">
        <v>2059200</v>
      </c>
      <c r="BA35" s="18">
        <v>1971408</v>
      </c>
      <c r="BB35" s="4">
        <v>1800</v>
      </c>
      <c r="BC35" s="4">
        <v>4200</v>
      </c>
      <c r="BD35" s="4">
        <v>9000</v>
      </c>
      <c r="BE35" s="4">
        <v>1821593.9</v>
      </c>
      <c r="BF35" s="4">
        <v>754000.10000000009</v>
      </c>
      <c r="BG35" s="18">
        <v>336325.00000000012</v>
      </c>
      <c r="BH35" s="4">
        <v>900</v>
      </c>
      <c r="BI35" s="4">
        <v>2100</v>
      </c>
      <c r="BJ35" s="4">
        <v>4500</v>
      </c>
      <c r="BK35" s="4">
        <v>1290428</v>
      </c>
      <c r="BL35" s="4">
        <v>550226</v>
      </c>
      <c r="BM35" s="18">
        <v>655554</v>
      </c>
      <c r="BN35" s="4">
        <v>5400</v>
      </c>
      <c r="BO35" s="4">
        <v>12600</v>
      </c>
      <c r="BP35" s="4">
        <v>27000</v>
      </c>
      <c r="BQ35" s="4">
        <v>10831249</v>
      </c>
      <c r="BR35" s="4">
        <v>4153974</v>
      </c>
      <c r="BS35" s="18">
        <v>2797116.0000000005</v>
      </c>
      <c r="BT35" s="4">
        <v>30782</v>
      </c>
      <c r="BU35" s="4">
        <v>69461</v>
      </c>
      <c r="BV35" s="4">
        <v>143549</v>
      </c>
      <c r="BW35" s="4">
        <v>15062449</v>
      </c>
      <c r="BX35" s="4">
        <v>7556009</v>
      </c>
      <c r="BY35" s="18">
        <v>9300170</v>
      </c>
      <c r="BZ35" s="4">
        <v>1200</v>
      </c>
      <c r="CA35" s="4">
        <v>2800</v>
      </c>
      <c r="CB35" s="4">
        <v>6000</v>
      </c>
      <c r="CC35" s="4">
        <v>126211</v>
      </c>
      <c r="CD35" s="4">
        <v>78110</v>
      </c>
      <c r="CE35" s="18">
        <v>90631</v>
      </c>
      <c r="CF35" s="4">
        <v>554507.19999999995</v>
      </c>
      <c r="CG35" s="4">
        <v>1178225.8</v>
      </c>
      <c r="CH35" s="4">
        <v>2131746.8999999994</v>
      </c>
      <c r="CI35" s="4">
        <v>32987910.600000001</v>
      </c>
      <c r="CJ35" s="4">
        <v>14475655.500000004</v>
      </c>
      <c r="CK35" s="18">
        <v>9236610</v>
      </c>
      <c r="CL35" s="4">
        <v>9600</v>
      </c>
      <c r="CM35" s="4">
        <v>22400</v>
      </c>
      <c r="CN35" s="4">
        <v>46590.6</v>
      </c>
      <c r="CO35" s="4">
        <v>4045120.7999999993</v>
      </c>
      <c r="CP35" s="4">
        <v>1497271.6</v>
      </c>
      <c r="CQ35" s="18">
        <v>356534.00000000012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18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18">
        <v>0</v>
      </c>
      <c r="DD35" s="4">
        <v>300</v>
      </c>
      <c r="DE35" s="4">
        <v>700</v>
      </c>
      <c r="DF35" s="4">
        <v>1500</v>
      </c>
      <c r="DG35" s="4">
        <v>127982</v>
      </c>
      <c r="DH35" s="4">
        <v>0</v>
      </c>
      <c r="DI35" s="18">
        <v>0</v>
      </c>
      <c r="DJ35" s="4">
        <v>300</v>
      </c>
      <c r="DK35" s="4">
        <v>700</v>
      </c>
      <c r="DL35" s="4">
        <v>1500</v>
      </c>
      <c r="DM35" s="4">
        <v>150906</v>
      </c>
      <c r="DN35" s="4">
        <v>88814.000000000015</v>
      </c>
      <c r="DO35" s="4">
        <v>113618.99999999999</v>
      </c>
      <c r="DP35" s="19"/>
      <c r="DQ35" s="33">
        <v>12096000</v>
      </c>
      <c r="DR35" s="33">
        <v>81277129</v>
      </c>
      <c r="DS35" s="33">
        <v>0</v>
      </c>
      <c r="DT35" s="33">
        <v>16627107</v>
      </c>
      <c r="DU35" s="33">
        <v>13505925</v>
      </c>
      <c r="DV35" s="33">
        <v>0</v>
      </c>
      <c r="DW35" s="33">
        <v>0</v>
      </c>
      <c r="DX35" s="33">
        <v>0</v>
      </c>
      <c r="DY35" s="33">
        <v>33046200</v>
      </c>
      <c r="DZ35" s="33">
        <v>9105120</v>
      </c>
      <c r="EA35" s="19"/>
      <c r="EB35" s="4">
        <v>0</v>
      </c>
      <c r="EC35" s="4">
        <v>0</v>
      </c>
      <c r="ED35" s="18">
        <v>0</v>
      </c>
      <c r="EE35" s="26">
        <v>0</v>
      </c>
      <c r="EF35" s="4">
        <v>0</v>
      </c>
      <c r="EG35" s="18">
        <v>0</v>
      </c>
      <c r="EH35" s="4">
        <v>0</v>
      </c>
      <c r="EI35" s="4">
        <v>0</v>
      </c>
      <c r="EJ35" s="4">
        <v>0</v>
      </c>
      <c r="EK35" s="19"/>
      <c r="EL35" s="4">
        <v>129008</v>
      </c>
      <c r="EM35" s="4">
        <v>1290435</v>
      </c>
      <c r="EN35" s="4">
        <v>0</v>
      </c>
      <c r="EO35" s="4">
        <v>0</v>
      </c>
      <c r="EP35" s="11"/>
      <c r="EQ35" s="4">
        <v>0</v>
      </c>
      <c r="ER35" s="4">
        <v>84</v>
      </c>
      <c r="ES35" s="4">
        <v>0</v>
      </c>
      <c r="ET35" s="4">
        <v>0</v>
      </c>
      <c r="EU35" s="75">
        <v>0</v>
      </c>
      <c r="EV35" s="4">
        <v>0</v>
      </c>
      <c r="EW35" s="4">
        <v>0</v>
      </c>
      <c r="EX35" s="4">
        <v>0</v>
      </c>
      <c r="EY35" s="4">
        <v>1649</v>
      </c>
      <c r="EZ35" s="4">
        <v>377052</v>
      </c>
      <c r="FA35" s="11"/>
      <c r="FB35" s="4">
        <f t="shared" si="14"/>
        <v>843895075</v>
      </c>
    </row>
    <row r="36" spans="1:158" x14ac:dyDescent="0.2">
      <c r="A36">
        <v>4</v>
      </c>
      <c r="B36" t="s">
        <v>235</v>
      </c>
      <c r="C36" s="4">
        <v>22195</v>
      </c>
      <c r="D36" s="4">
        <v>41951</v>
      </c>
      <c r="E36" s="4">
        <v>54569</v>
      </c>
      <c r="F36" s="4">
        <v>113876</v>
      </c>
      <c r="G36" s="17">
        <v>0</v>
      </c>
      <c r="H36" s="4">
        <v>0</v>
      </c>
      <c r="I36" s="4">
        <v>0</v>
      </c>
      <c r="J36" s="4">
        <v>0</v>
      </c>
      <c r="K36" s="18">
        <v>0</v>
      </c>
      <c r="L36" s="4">
        <v>0</v>
      </c>
      <c r="M36" s="4">
        <v>0</v>
      </c>
      <c r="N36" s="4">
        <v>0</v>
      </c>
      <c r="O36" s="18">
        <v>0</v>
      </c>
      <c r="P36" s="4">
        <v>0</v>
      </c>
      <c r="Q36" s="4">
        <v>0</v>
      </c>
      <c r="R36" s="4">
        <v>0</v>
      </c>
      <c r="S36" s="18">
        <v>0</v>
      </c>
      <c r="T36" s="4">
        <v>0</v>
      </c>
      <c r="U36" s="4">
        <v>0</v>
      </c>
      <c r="V36" s="4">
        <v>0</v>
      </c>
      <c r="W36" s="4">
        <v>0</v>
      </c>
      <c r="X36" s="19"/>
      <c r="Y36" s="4">
        <v>19657178</v>
      </c>
      <c r="Z36" s="4">
        <v>42052591</v>
      </c>
      <c r="AA36" s="4">
        <v>38477366</v>
      </c>
      <c r="AB36" s="4">
        <v>45157546</v>
      </c>
      <c r="AC36" s="72">
        <v>0</v>
      </c>
      <c r="AD36" s="74">
        <v>9187060</v>
      </c>
      <c r="AE36" s="4">
        <v>178941774</v>
      </c>
      <c r="AF36" s="4">
        <v>98079907</v>
      </c>
      <c r="AG36" s="4">
        <v>111749152</v>
      </c>
      <c r="AH36" s="4">
        <v>13317220</v>
      </c>
      <c r="AI36" s="19"/>
      <c r="AJ36" s="4">
        <v>600</v>
      </c>
      <c r="AK36" s="4">
        <v>1400</v>
      </c>
      <c r="AL36" s="4">
        <v>3000</v>
      </c>
      <c r="AM36" s="4">
        <v>674346.9</v>
      </c>
      <c r="AN36" s="4">
        <v>393306.1</v>
      </c>
      <c r="AO36" s="18">
        <v>379159.00000000006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18">
        <v>0</v>
      </c>
      <c r="AV36" s="4">
        <v>600</v>
      </c>
      <c r="AW36" s="4">
        <v>1400</v>
      </c>
      <c r="AX36" s="4">
        <v>3000</v>
      </c>
      <c r="AY36" s="4">
        <v>3487960</v>
      </c>
      <c r="AZ36" s="4">
        <v>2022240</v>
      </c>
      <c r="BA36" s="18">
        <v>2846784</v>
      </c>
      <c r="BB36" s="4">
        <v>1800</v>
      </c>
      <c r="BC36" s="4">
        <v>4200</v>
      </c>
      <c r="BD36" s="4">
        <v>9000</v>
      </c>
      <c r="BE36" s="4">
        <v>1691814.1999999997</v>
      </c>
      <c r="BF36" s="4">
        <v>506331.80000000016</v>
      </c>
      <c r="BG36" s="18">
        <v>484484.00000000012</v>
      </c>
      <c r="BH36" s="4">
        <v>900</v>
      </c>
      <c r="BI36" s="4">
        <v>2100</v>
      </c>
      <c r="BJ36" s="4">
        <v>4500</v>
      </c>
      <c r="BK36" s="4">
        <v>1315293</v>
      </c>
      <c r="BL36" s="4">
        <v>508859.99999999988</v>
      </c>
      <c r="BM36" s="18">
        <v>1128003</v>
      </c>
      <c r="BN36" s="4">
        <v>5100</v>
      </c>
      <c r="BO36" s="4">
        <v>11900</v>
      </c>
      <c r="BP36" s="4">
        <v>25500</v>
      </c>
      <c r="BQ36" s="4">
        <v>10461073</v>
      </c>
      <c r="BR36" s="4">
        <v>4292719</v>
      </c>
      <c r="BS36" s="18">
        <v>3965026.0000000005</v>
      </c>
      <c r="BT36" s="4">
        <v>26589</v>
      </c>
      <c r="BU36" s="4">
        <v>59740</v>
      </c>
      <c r="BV36" s="4">
        <v>122486</v>
      </c>
      <c r="BW36" s="4">
        <v>16332428</v>
      </c>
      <c r="BX36" s="4">
        <v>8445592</v>
      </c>
      <c r="BY36" s="18">
        <v>10057556.000000002</v>
      </c>
      <c r="BZ36" s="4">
        <v>1200</v>
      </c>
      <c r="CA36" s="4">
        <v>2800</v>
      </c>
      <c r="CB36" s="4">
        <v>6000</v>
      </c>
      <c r="CC36" s="4">
        <v>121088.6</v>
      </c>
      <c r="CD36" s="4">
        <v>74005.39999999998</v>
      </c>
      <c r="CE36" s="18">
        <v>113761.00000000001</v>
      </c>
      <c r="CF36" s="4">
        <v>552822.29999999993</v>
      </c>
      <c r="CG36" s="4">
        <v>1174770.1999999997</v>
      </c>
      <c r="CH36" s="4">
        <v>2133526.0999999996</v>
      </c>
      <c r="CI36" s="4">
        <v>33764069.600000001</v>
      </c>
      <c r="CJ36" s="4">
        <v>14637441.800000001</v>
      </c>
      <c r="CK36" s="18">
        <v>10256545</v>
      </c>
      <c r="CL36" s="4">
        <v>9600</v>
      </c>
      <c r="CM36" s="4">
        <v>22400</v>
      </c>
      <c r="CN36" s="4">
        <v>46647.6</v>
      </c>
      <c r="CO36" s="4">
        <v>4283513.3</v>
      </c>
      <c r="CP36" s="4">
        <v>1411587.0999999996</v>
      </c>
      <c r="CQ36" s="18">
        <v>483698.00000000029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18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18">
        <v>0</v>
      </c>
      <c r="DD36" s="4">
        <v>300</v>
      </c>
      <c r="DE36" s="4">
        <v>700</v>
      </c>
      <c r="DF36" s="4">
        <v>1500</v>
      </c>
      <c r="DG36" s="4">
        <v>166486</v>
      </c>
      <c r="DH36" s="4">
        <v>97834.000000000029</v>
      </c>
      <c r="DI36" s="18">
        <v>254319.99999999997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19"/>
      <c r="DQ36" s="33">
        <v>13392000</v>
      </c>
      <c r="DR36" s="33">
        <v>88032670</v>
      </c>
      <c r="DS36" s="33">
        <v>0</v>
      </c>
      <c r="DT36" s="33">
        <v>16738489</v>
      </c>
      <c r="DU36" s="33">
        <v>14806207</v>
      </c>
      <c r="DV36" s="33">
        <v>0</v>
      </c>
      <c r="DW36" s="33">
        <v>0</v>
      </c>
      <c r="DX36" s="33">
        <v>0</v>
      </c>
      <c r="DY36" s="33">
        <v>33639480</v>
      </c>
      <c r="DZ36" s="33">
        <v>9148320</v>
      </c>
      <c r="EA36" s="19"/>
      <c r="EB36" s="4">
        <v>0</v>
      </c>
      <c r="EC36" s="4">
        <v>0</v>
      </c>
      <c r="ED36" s="18">
        <v>0</v>
      </c>
      <c r="EE36" s="26">
        <v>0</v>
      </c>
      <c r="EF36" s="4">
        <v>0</v>
      </c>
      <c r="EG36" s="18">
        <v>0</v>
      </c>
      <c r="EH36" s="4">
        <v>0</v>
      </c>
      <c r="EI36" s="4">
        <v>0</v>
      </c>
      <c r="EJ36" s="4">
        <v>0</v>
      </c>
      <c r="EK36" s="19"/>
      <c r="EL36" s="4">
        <v>120179</v>
      </c>
      <c r="EM36" s="4">
        <v>1294390</v>
      </c>
      <c r="EN36" s="4">
        <v>0</v>
      </c>
      <c r="EO36" s="4">
        <v>0</v>
      </c>
      <c r="EP36" s="11"/>
      <c r="EQ36" s="4">
        <v>0</v>
      </c>
      <c r="ER36" s="4">
        <v>84</v>
      </c>
      <c r="ES36" s="4">
        <v>0</v>
      </c>
      <c r="ET36" s="4">
        <v>0</v>
      </c>
      <c r="EU36" s="75">
        <v>0</v>
      </c>
      <c r="EV36" s="4">
        <v>0</v>
      </c>
      <c r="EW36" s="4">
        <v>0</v>
      </c>
      <c r="EX36" s="4">
        <v>0</v>
      </c>
      <c r="EY36" s="4">
        <v>1649</v>
      </c>
      <c r="EZ36" s="4">
        <v>387447</v>
      </c>
      <c r="FA36" s="11"/>
      <c r="FB36" s="4">
        <f t="shared" si="14"/>
        <v>873306707</v>
      </c>
    </row>
    <row r="37" spans="1:158" x14ac:dyDescent="0.2">
      <c r="A37">
        <v>5</v>
      </c>
      <c r="B37" t="s">
        <v>236</v>
      </c>
      <c r="C37" s="4">
        <v>21284</v>
      </c>
      <c r="D37" s="4">
        <v>39294</v>
      </c>
      <c r="E37" s="4">
        <v>46626</v>
      </c>
      <c r="F37" s="4">
        <v>96859</v>
      </c>
      <c r="G37" s="17">
        <v>0</v>
      </c>
      <c r="H37" s="4">
        <v>0</v>
      </c>
      <c r="I37" s="4">
        <v>0</v>
      </c>
      <c r="J37" s="4">
        <v>0</v>
      </c>
      <c r="K37" s="18">
        <v>0</v>
      </c>
      <c r="L37" s="4">
        <v>0</v>
      </c>
      <c r="M37" s="4">
        <v>0</v>
      </c>
      <c r="N37" s="4">
        <v>0</v>
      </c>
      <c r="O37" s="18">
        <v>0</v>
      </c>
      <c r="P37" s="4">
        <v>0</v>
      </c>
      <c r="Q37" s="4">
        <v>0</v>
      </c>
      <c r="R37" s="4">
        <v>0</v>
      </c>
      <c r="S37" s="18">
        <v>0</v>
      </c>
      <c r="T37" s="4">
        <v>0</v>
      </c>
      <c r="U37" s="4">
        <v>0</v>
      </c>
      <c r="V37" s="4">
        <v>0</v>
      </c>
      <c r="W37" s="4">
        <v>0</v>
      </c>
      <c r="X37" s="19"/>
      <c r="Y37" s="4">
        <v>27636976</v>
      </c>
      <c r="Z37" s="4">
        <v>41967938</v>
      </c>
      <c r="AA37" s="4">
        <v>38437888</v>
      </c>
      <c r="AB37" s="4">
        <v>47621108</v>
      </c>
      <c r="AC37" s="72">
        <v>0</v>
      </c>
      <c r="AD37" s="74">
        <v>7472876</v>
      </c>
      <c r="AE37" s="4">
        <v>176072254</v>
      </c>
      <c r="AF37" s="4">
        <v>96970735</v>
      </c>
      <c r="AG37" s="4">
        <v>116635979</v>
      </c>
      <c r="AH37" s="4">
        <v>12241768</v>
      </c>
      <c r="AI37" s="19"/>
      <c r="AJ37" s="4">
        <v>600</v>
      </c>
      <c r="AK37" s="4">
        <v>1400</v>
      </c>
      <c r="AL37" s="4">
        <v>3000</v>
      </c>
      <c r="AM37" s="4">
        <v>701267.99999999988</v>
      </c>
      <c r="AN37" s="4">
        <v>408891.99999999988</v>
      </c>
      <c r="AO37" s="18">
        <v>91237.00000000016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18">
        <v>0</v>
      </c>
      <c r="AV37" s="4">
        <v>600</v>
      </c>
      <c r="AW37" s="4">
        <v>1400</v>
      </c>
      <c r="AX37" s="4">
        <v>3000</v>
      </c>
      <c r="AY37" s="4">
        <v>3451480</v>
      </c>
      <c r="AZ37" s="4">
        <v>2001120</v>
      </c>
      <c r="BA37" s="18">
        <v>2353584</v>
      </c>
      <c r="BB37" s="4">
        <v>1800</v>
      </c>
      <c r="BC37" s="4">
        <v>4200</v>
      </c>
      <c r="BD37" s="4">
        <v>9000</v>
      </c>
      <c r="BE37" s="4">
        <v>1797095.7999999998</v>
      </c>
      <c r="BF37" s="4">
        <v>657249.20000000007</v>
      </c>
      <c r="BG37" s="18">
        <v>230647.00000000009</v>
      </c>
      <c r="BH37" s="4">
        <v>900</v>
      </c>
      <c r="BI37" s="4">
        <v>2100</v>
      </c>
      <c r="BJ37" s="4">
        <v>4500</v>
      </c>
      <c r="BK37" s="4">
        <v>1342934</v>
      </c>
      <c r="BL37" s="4">
        <v>510839.99999999988</v>
      </c>
      <c r="BM37" s="18">
        <v>815277.00000000012</v>
      </c>
      <c r="BN37" s="4">
        <v>5700</v>
      </c>
      <c r="BO37" s="4">
        <v>13300</v>
      </c>
      <c r="BP37" s="4">
        <v>27609</v>
      </c>
      <c r="BQ37" s="4">
        <v>9782473</v>
      </c>
      <c r="BR37" s="4">
        <v>3474263.9999999991</v>
      </c>
      <c r="BS37" s="18">
        <v>3240419.0000000009</v>
      </c>
      <c r="BT37" s="4">
        <v>26885</v>
      </c>
      <c r="BU37" s="4">
        <v>61022</v>
      </c>
      <c r="BV37" s="4">
        <v>123911</v>
      </c>
      <c r="BW37" s="4">
        <v>16342192</v>
      </c>
      <c r="BX37" s="4">
        <v>8207782</v>
      </c>
      <c r="BY37" s="18">
        <v>8939141</v>
      </c>
      <c r="BZ37" s="4">
        <v>1200</v>
      </c>
      <c r="CA37" s="4">
        <v>2800</v>
      </c>
      <c r="CB37" s="4">
        <v>6000</v>
      </c>
      <c r="CC37" s="4">
        <v>137706</v>
      </c>
      <c r="CD37" s="4">
        <v>82431</v>
      </c>
      <c r="CE37" s="18">
        <v>80903</v>
      </c>
      <c r="CF37" s="4">
        <v>550761.69999999995</v>
      </c>
      <c r="CG37" s="4">
        <v>1157698</v>
      </c>
      <c r="CH37" s="4">
        <v>2084261.1</v>
      </c>
      <c r="CI37" s="4">
        <v>33727680.299999997</v>
      </c>
      <c r="CJ37" s="4">
        <v>13281199.9</v>
      </c>
      <c r="CK37" s="18">
        <v>6924133</v>
      </c>
      <c r="CL37" s="4">
        <v>9600</v>
      </c>
      <c r="CM37" s="4">
        <v>22400</v>
      </c>
      <c r="CN37" s="4">
        <v>46817</v>
      </c>
      <c r="CO37" s="4">
        <v>4416878.5999999996</v>
      </c>
      <c r="CP37" s="4">
        <v>1467890.4000000001</v>
      </c>
      <c r="CQ37" s="18">
        <v>438304.00000000023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18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18">
        <v>0</v>
      </c>
      <c r="DD37" s="4">
        <v>300</v>
      </c>
      <c r="DE37" s="4">
        <v>700</v>
      </c>
      <c r="DF37" s="4">
        <v>1500</v>
      </c>
      <c r="DG37" s="4">
        <v>160938</v>
      </c>
      <c r="DH37" s="4">
        <v>94621.999999999942</v>
      </c>
      <c r="DI37" s="18">
        <v>281492.00000000006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19"/>
      <c r="DQ37" s="33">
        <v>12960000</v>
      </c>
      <c r="DR37" s="33">
        <v>88211469</v>
      </c>
      <c r="DS37" s="33">
        <v>0</v>
      </c>
      <c r="DT37" s="33">
        <v>18930114</v>
      </c>
      <c r="DU37" s="33">
        <v>14147188</v>
      </c>
      <c r="DV37" s="33">
        <v>0</v>
      </c>
      <c r="DW37" s="33">
        <v>0</v>
      </c>
      <c r="DX37" s="33">
        <v>0</v>
      </c>
      <c r="DY37" s="33">
        <v>34794720</v>
      </c>
      <c r="DZ37" s="33">
        <v>10328040</v>
      </c>
      <c r="EA37" s="19"/>
      <c r="EB37" s="4">
        <v>0</v>
      </c>
      <c r="EC37" s="4">
        <v>0</v>
      </c>
      <c r="ED37" s="18">
        <v>0</v>
      </c>
      <c r="EE37" s="26">
        <v>0</v>
      </c>
      <c r="EF37" s="4">
        <v>0</v>
      </c>
      <c r="EG37" s="18">
        <v>0</v>
      </c>
      <c r="EH37" s="4">
        <v>0</v>
      </c>
      <c r="EI37" s="4">
        <v>0</v>
      </c>
      <c r="EJ37" s="4">
        <v>0</v>
      </c>
      <c r="EK37" s="19"/>
      <c r="EL37" s="4">
        <v>122212</v>
      </c>
      <c r="EM37" s="4">
        <v>1197133</v>
      </c>
      <c r="EN37" s="4">
        <v>0</v>
      </c>
      <c r="EO37" s="4">
        <v>0</v>
      </c>
      <c r="EP37" s="11"/>
      <c r="EQ37" s="4">
        <v>0</v>
      </c>
      <c r="ER37" s="4">
        <v>84</v>
      </c>
      <c r="ES37" s="4">
        <v>0</v>
      </c>
      <c r="ET37" s="4">
        <v>0</v>
      </c>
      <c r="EU37" s="75">
        <v>0</v>
      </c>
      <c r="EV37" s="4">
        <v>0</v>
      </c>
      <c r="EW37" s="4">
        <v>0</v>
      </c>
      <c r="EX37" s="4">
        <v>0</v>
      </c>
      <c r="EY37" s="4">
        <v>1649</v>
      </c>
      <c r="EZ37" s="4">
        <v>383579</v>
      </c>
      <c r="FA37" s="11"/>
      <c r="FB37" s="4">
        <f t="shared" si="14"/>
        <v>875954811</v>
      </c>
    </row>
    <row r="38" spans="1:158" x14ac:dyDescent="0.2">
      <c r="A38">
        <v>6</v>
      </c>
      <c r="B38" t="s">
        <v>237</v>
      </c>
      <c r="C38" s="4">
        <v>22182</v>
      </c>
      <c r="D38" s="4">
        <v>40421</v>
      </c>
      <c r="E38" s="4">
        <v>50536</v>
      </c>
      <c r="F38" s="4">
        <v>122871</v>
      </c>
      <c r="G38" s="17">
        <v>0</v>
      </c>
      <c r="H38" s="4">
        <v>0</v>
      </c>
      <c r="I38" s="4">
        <v>0</v>
      </c>
      <c r="J38" s="4">
        <v>0</v>
      </c>
      <c r="K38" s="18">
        <v>0</v>
      </c>
      <c r="L38" s="4">
        <v>0</v>
      </c>
      <c r="M38" s="4">
        <v>0</v>
      </c>
      <c r="N38" s="4">
        <v>0</v>
      </c>
      <c r="O38" s="18">
        <v>0</v>
      </c>
      <c r="P38" s="4">
        <v>0</v>
      </c>
      <c r="Q38" s="4">
        <v>0</v>
      </c>
      <c r="R38" s="4">
        <v>0</v>
      </c>
      <c r="S38" s="18">
        <v>0</v>
      </c>
      <c r="T38" s="4">
        <v>0</v>
      </c>
      <c r="U38" s="4">
        <v>0</v>
      </c>
      <c r="V38" s="4">
        <v>0</v>
      </c>
      <c r="W38" s="4">
        <v>0</v>
      </c>
      <c r="X38" s="19"/>
      <c r="Y38" s="4">
        <v>27324154</v>
      </c>
      <c r="Z38" s="4">
        <v>44542159</v>
      </c>
      <c r="AA38" s="4">
        <v>38814343</v>
      </c>
      <c r="AB38" s="4">
        <v>48233843</v>
      </c>
      <c r="AC38" s="72">
        <v>0</v>
      </c>
      <c r="AD38" s="74">
        <v>7862397</v>
      </c>
      <c r="AE38" s="4">
        <v>188459809</v>
      </c>
      <c r="AF38" s="4">
        <v>102180514</v>
      </c>
      <c r="AG38" s="4">
        <v>126960888</v>
      </c>
      <c r="AH38" s="4">
        <v>12568452</v>
      </c>
      <c r="AI38" s="19"/>
      <c r="AJ38" s="4">
        <v>600</v>
      </c>
      <c r="AK38" s="4">
        <v>1400</v>
      </c>
      <c r="AL38" s="4">
        <v>3000</v>
      </c>
      <c r="AM38" s="4">
        <v>712149.29999999993</v>
      </c>
      <c r="AN38" s="4">
        <v>415191.70000000007</v>
      </c>
      <c r="AO38" s="18">
        <v>235314.00000000003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18">
        <v>0</v>
      </c>
      <c r="AV38" s="4">
        <v>600</v>
      </c>
      <c r="AW38" s="4">
        <v>1400</v>
      </c>
      <c r="AX38" s="4">
        <v>3000</v>
      </c>
      <c r="AY38" s="4">
        <v>2532016</v>
      </c>
      <c r="AZ38" s="4">
        <v>1346399.9999999998</v>
      </c>
      <c r="BA38" s="18">
        <v>1264248.0000000002</v>
      </c>
      <c r="BB38" s="4">
        <v>1800</v>
      </c>
      <c r="BC38" s="4">
        <v>4200</v>
      </c>
      <c r="BD38" s="4">
        <v>9000</v>
      </c>
      <c r="BE38" s="4">
        <v>2184042.2999999998</v>
      </c>
      <c r="BF38" s="4">
        <v>1035537.7000000001</v>
      </c>
      <c r="BG38" s="18">
        <v>275328.00000000012</v>
      </c>
      <c r="BH38" s="4">
        <v>900</v>
      </c>
      <c r="BI38" s="4">
        <v>2100</v>
      </c>
      <c r="BJ38" s="4">
        <v>4500</v>
      </c>
      <c r="BK38" s="4">
        <v>1352596</v>
      </c>
      <c r="BL38" s="4">
        <v>518307.00000000006</v>
      </c>
      <c r="BM38" s="18">
        <v>956145</v>
      </c>
      <c r="BN38" s="4">
        <v>4819</v>
      </c>
      <c r="BO38" s="4">
        <v>11200</v>
      </c>
      <c r="BP38" s="4">
        <v>24000</v>
      </c>
      <c r="BQ38" s="4">
        <v>10044371</v>
      </c>
      <c r="BR38" s="4">
        <v>4254616.0000000009</v>
      </c>
      <c r="BS38" s="18">
        <v>1955440</v>
      </c>
      <c r="BT38" s="4">
        <v>26206</v>
      </c>
      <c r="BU38" s="4">
        <v>59542</v>
      </c>
      <c r="BV38" s="4">
        <v>120161</v>
      </c>
      <c r="BW38" s="4">
        <v>16592525</v>
      </c>
      <c r="BX38" s="4">
        <v>8415466</v>
      </c>
      <c r="BY38" s="18">
        <v>9595244</v>
      </c>
      <c r="BZ38" s="4">
        <v>1200</v>
      </c>
      <c r="CA38" s="4">
        <v>2800</v>
      </c>
      <c r="CB38" s="4">
        <v>5381</v>
      </c>
      <c r="CC38" s="4">
        <v>136347.1</v>
      </c>
      <c r="CD38" s="4">
        <v>82102.899999999965</v>
      </c>
      <c r="CE38" s="18">
        <v>103716.00000000001</v>
      </c>
      <c r="CF38" s="4">
        <v>545740.60000000009</v>
      </c>
      <c r="CG38" s="4">
        <v>1148264</v>
      </c>
      <c r="CH38" s="4">
        <v>2082451.4999999995</v>
      </c>
      <c r="CI38" s="4">
        <v>34758547.200000003</v>
      </c>
      <c r="CJ38" s="4">
        <v>14760852.700000001</v>
      </c>
      <c r="CK38" s="18">
        <v>9064699</v>
      </c>
      <c r="CL38" s="4">
        <v>9300</v>
      </c>
      <c r="CM38" s="4">
        <v>21700</v>
      </c>
      <c r="CN38" s="4">
        <v>45241</v>
      </c>
      <c r="CO38" s="4">
        <v>4331891.3000000007</v>
      </c>
      <c r="CP38" s="4">
        <v>1672245.7000000002</v>
      </c>
      <c r="CQ38" s="18">
        <v>386275.00000000035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18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18">
        <v>0</v>
      </c>
      <c r="DD38" s="4">
        <v>300</v>
      </c>
      <c r="DE38" s="4">
        <v>700</v>
      </c>
      <c r="DF38" s="4">
        <v>1500</v>
      </c>
      <c r="DG38" s="4">
        <v>157651</v>
      </c>
      <c r="DH38" s="4">
        <v>92718.999999999942</v>
      </c>
      <c r="DI38" s="18">
        <v>283751.00000000006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19"/>
      <c r="DQ38" s="33">
        <v>13392000</v>
      </c>
      <c r="DR38" s="33">
        <v>85443010</v>
      </c>
      <c r="DS38" s="33">
        <v>3920077</v>
      </c>
      <c r="DT38" s="33">
        <v>16761228</v>
      </c>
      <c r="DU38" s="33">
        <v>15299556</v>
      </c>
      <c r="DV38" s="33">
        <v>222500</v>
      </c>
      <c r="DW38" s="33">
        <v>0</v>
      </c>
      <c r="DX38" s="33">
        <v>0</v>
      </c>
      <c r="DY38" s="33">
        <v>33386200</v>
      </c>
      <c r="DZ38" s="33">
        <v>8668440</v>
      </c>
      <c r="EA38" s="19"/>
      <c r="EB38" s="4">
        <v>0</v>
      </c>
      <c r="EC38" s="4">
        <v>0</v>
      </c>
      <c r="ED38" s="18">
        <v>0</v>
      </c>
      <c r="EE38" s="26">
        <v>0</v>
      </c>
      <c r="EF38" s="4">
        <v>0</v>
      </c>
      <c r="EG38" s="18">
        <v>0</v>
      </c>
      <c r="EH38" s="4">
        <v>0</v>
      </c>
      <c r="EI38" s="4">
        <v>0</v>
      </c>
      <c r="EJ38" s="4">
        <v>0</v>
      </c>
      <c r="EK38" s="19"/>
      <c r="EL38" s="4">
        <v>113559</v>
      </c>
      <c r="EM38" s="4">
        <v>1341354</v>
      </c>
      <c r="EN38" s="4">
        <v>0</v>
      </c>
      <c r="EO38" s="4">
        <v>0</v>
      </c>
      <c r="EP38" s="11"/>
      <c r="EQ38" s="4">
        <v>0</v>
      </c>
      <c r="ER38" s="4">
        <v>84</v>
      </c>
      <c r="ES38" s="4">
        <v>0</v>
      </c>
      <c r="ET38" s="4">
        <v>0</v>
      </c>
      <c r="EU38" s="75">
        <v>0</v>
      </c>
      <c r="EV38" s="4">
        <v>0</v>
      </c>
      <c r="EW38" s="4">
        <v>0</v>
      </c>
      <c r="EX38" s="4">
        <v>0</v>
      </c>
      <c r="EY38" s="4">
        <v>1649</v>
      </c>
      <c r="EZ38" s="4">
        <v>377780</v>
      </c>
      <c r="FA38" s="11"/>
      <c r="FB38" s="4">
        <f t="shared" si="14"/>
        <v>909768747.00000012</v>
      </c>
    </row>
    <row r="39" spans="1:158" x14ac:dyDescent="0.2">
      <c r="A39">
        <v>7</v>
      </c>
      <c r="B39" t="s">
        <v>238</v>
      </c>
      <c r="C39" s="4">
        <v>21448</v>
      </c>
      <c r="D39" s="4">
        <v>39156</v>
      </c>
      <c r="E39" s="4">
        <v>53054</v>
      </c>
      <c r="F39" s="4">
        <v>119517</v>
      </c>
      <c r="G39" s="17">
        <v>0</v>
      </c>
      <c r="H39" s="4">
        <v>0</v>
      </c>
      <c r="I39" s="4">
        <v>0</v>
      </c>
      <c r="J39" s="4">
        <v>0</v>
      </c>
      <c r="K39" s="18">
        <v>0</v>
      </c>
      <c r="L39" s="4">
        <v>0</v>
      </c>
      <c r="M39" s="4">
        <v>0</v>
      </c>
      <c r="N39" s="4">
        <v>0</v>
      </c>
      <c r="O39" s="18">
        <v>0</v>
      </c>
      <c r="P39" s="4">
        <v>0</v>
      </c>
      <c r="Q39" s="4">
        <v>0</v>
      </c>
      <c r="R39" s="4">
        <v>0</v>
      </c>
      <c r="S39" s="18">
        <v>0</v>
      </c>
      <c r="T39" s="4">
        <v>0</v>
      </c>
      <c r="U39" s="4">
        <v>0</v>
      </c>
      <c r="V39" s="4">
        <v>0</v>
      </c>
      <c r="W39" s="4">
        <v>0</v>
      </c>
      <c r="X39" s="19"/>
      <c r="Y39" s="4">
        <v>29324870</v>
      </c>
      <c r="Z39" s="4">
        <v>44764510</v>
      </c>
      <c r="AA39" s="4">
        <v>38409757</v>
      </c>
      <c r="AB39" s="4">
        <v>45014955</v>
      </c>
      <c r="AC39" s="72">
        <v>1875744</v>
      </c>
      <c r="AD39" s="74">
        <v>5991120</v>
      </c>
      <c r="AE39" s="4">
        <v>189234651</v>
      </c>
      <c r="AF39" s="4">
        <v>107149175</v>
      </c>
      <c r="AG39" s="4">
        <v>119589082</v>
      </c>
      <c r="AH39" s="4">
        <v>14157624</v>
      </c>
      <c r="AI39" s="19"/>
      <c r="AJ39" s="4">
        <v>600</v>
      </c>
      <c r="AK39" s="4">
        <v>1400</v>
      </c>
      <c r="AL39" s="4">
        <v>3000</v>
      </c>
      <c r="AM39" s="4">
        <v>671082.69999999995</v>
      </c>
      <c r="AN39" s="4">
        <v>188932.30000000008</v>
      </c>
      <c r="AO39" s="18">
        <v>20938.000000000011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18">
        <v>0</v>
      </c>
      <c r="AV39" s="4">
        <v>600</v>
      </c>
      <c r="AW39" s="4">
        <v>1400</v>
      </c>
      <c r="AX39" s="4">
        <v>3000</v>
      </c>
      <c r="AY39" s="4">
        <v>3378520</v>
      </c>
      <c r="AZ39" s="4">
        <v>1958880</v>
      </c>
      <c r="BA39" s="18">
        <v>2458440</v>
      </c>
      <c r="BB39" s="4">
        <v>2100</v>
      </c>
      <c r="BC39" s="4">
        <v>4900</v>
      </c>
      <c r="BD39" s="4">
        <v>9227.4</v>
      </c>
      <c r="BE39" s="4">
        <v>1492796.3</v>
      </c>
      <c r="BF39" s="4">
        <v>551501.30000000016</v>
      </c>
      <c r="BG39" s="18">
        <v>385881</v>
      </c>
      <c r="BH39" s="4">
        <v>900</v>
      </c>
      <c r="BI39" s="4">
        <v>2100</v>
      </c>
      <c r="BJ39" s="4">
        <v>4500</v>
      </c>
      <c r="BK39" s="4">
        <v>1295672</v>
      </c>
      <c r="BL39" s="4">
        <v>501428.00000000012</v>
      </c>
      <c r="BM39" s="18">
        <v>677564.99999999988</v>
      </c>
      <c r="BN39" s="4">
        <v>4819</v>
      </c>
      <c r="BO39" s="4">
        <v>11200</v>
      </c>
      <c r="BP39" s="4">
        <v>24000</v>
      </c>
      <c r="BQ39" s="4">
        <v>9001700</v>
      </c>
      <c r="BR39" s="4">
        <v>2650528.9999999995</v>
      </c>
      <c r="BS39" s="18">
        <v>3906006.0000000005</v>
      </c>
      <c r="BT39" s="4">
        <v>29862</v>
      </c>
      <c r="BU39" s="4">
        <v>67721</v>
      </c>
      <c r="BV39" s="4">
        <v>138128</v>
      </c>
      <c r="BW39" s="4">
        <v>14374747</v>
      </c>
      <c r="BX39" s="4">
        <v>6881964</v>
      </c>
      <c r="BY39" s="18">
        <v>8728440</v>
      </c>
      <c r="BZ39" s="4">
        <v>1200</v>
      </c>
      <c r="CA39" s="4">
        <v>2800</v>
      </c>
      <c r="CB39" s="4">
        <v>5400</v>
      </c>
      <c r="CC39" s="4">
        <v>128251.2</v>
      </c>
      <c r="CD39" s="4">
        <v>76825.800000000017</v>
      </c>
      <c r="CE39" s="18">
        <v>82348.000000000015</v>
      </c>
      <c r="CF39" s="4">
        <v>540441.69999999995</v>
      </c>
      <c r="CG39" s="4">
        <v>1134724.6000000001</v>
      </c>
      <c r="CH39" s="4">
        <v>2060152.7999999998</v>
      </c>
      <c r="CI39" s="4">
        <v>36257273.5</v>
      </c>
      <c r="CJ39" s="4">
        <v>15620491.399999999</v>
      </c>
      <c r="CK39" s="18">
        <v>9637241</v>
      </c>
      <c r="CL39" s="4">
        <v>9600</v>
      </c>
      <c r="CM39" s="4">
        <v>22400</v>
      </c>
      <c r="CN39" s="4">
        <v>46464.1</v>
      </c>
      <c r="CO39" s="4">
        <v>4331458.8999999994</v>
      </c>
      <c r="CP39" s="4">
        <v>1289756</v>
      </c>
      <c r="CQ39" s="18">
        <v>259480.0000000002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18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18">
        <v>0</v>
      </c>
      <c r="DD39" s="4">
        <v>300</v>
      </c>
      <c r="DE39" s="4">
        <v>700</v>
      </c>
      <c r="DF39" s="4">
        <v>1500</v>
      </c>
      <c r="DG39" s="4">
        <v>136960</v>
      </c>
      <c r="DH39" s="4">
        <v>0</v>
      </c>
      <c r="DI39" s="18">
        <v>0</v>
      </c>
      <c r="DJ39" s="4">
        <v>300</v>
      </c>
      <c r="DK39" s="4">
        <v>700</v>
      </c>
      <c r="DL39" s="4">
        <v>1500</v>
      </c>
      <c r="DM39" s="4">
        <v>180090</v>
      </c>
      <c r="DN39" s="4">
        <v>105710</v>
      </c>
      <c r="DO39" s="4">
        <v>149366</v>
      </c>
      <c r="DP39" s="19"/>
      <c r="DQ39" s="33">
        <v>12960000</v>
      </c>
      <c r="DR39" s="33">
        <v>84649485</v>
      </c>
      <c r="DS39" s="33">
        <v>933564</v>
      </c>
      <c r="DT39" s="33">
        <v>15599628</v>
      </c>
      <c r="DU39" s="33">
        <v>15198193.20000002</v>
      </c>
      <c r="DV39" s="33">
        <v>0</v>
      </c>
      <c r="DW39" s="33">
        <v>0</v>
      </c>
      <c r="DX39" s="33">
        <v>0</v>
      </c>
      <c r="DY39" s="33">
        <v>34919480</v>
      </c>
      <c r="DZ39" s="33">
        <v>10452240</v>
      </c>
      <c r="EA39" s="19"/>
      <c r="EB39" s="4">
        <v>0</v>
      </c>
      <c r="EC39" s="4">
        <v>0</v>
      </c>
      <c r="ED39" s="18">
        <v>0</v>
      </c>
      <c r="EE39" s="26">
        <v>0</v>
      </c>
      <c r="EF39" s="4">
        <v>0</v>
      </c>
      <c r="EG39" s="18">
        <v>0</v>
      </c>
      <c r="EH39" s="4">
        <v>0</v>
      </c>
      <c r="EI39" s="4">
        <v>0</v>
      </c>
      <c r="EJ39" s="4">
        <v>0</v>
      </c>
      <c r="EK39" s="19"/>
      <c r="EL39" s="4">
        <v>111103</v>
      </c>
      <c r="EM39" s="4">
        <v>1339484</v>
      </c>
      <c r="EN39" s="4">
        <v>0</v>
      </c>
      <c r="EO39" s="4">
        <v>0</v>
      </c>
      <c r="EP39" s="11"/>
      <c r="EQ39" s="4">
        <v>0</v>
      </c>
      <c r="ER39" s="4">
        <v>84</v>
      </c>
      <c r="ES39" s="4">
        <v>0</v>
      </c>
      <c r="ET39" s="4">
        <v>0</v>
      </c>
      <c r="EU39" s="75">
        <v>0</v>
      </c>
      <c r="EV39" s="4">
        <v>0</v>
      </c>
      <c r="EW39" s="4">
        <v>0</v>
      </c>
      <c r="EX39" s="4">
        <v>0</v>
      </c>
      <c r="EY39" s="4">
        <v>1649</v>
      </c>
      <c r="EZ39" s="4">
        <v>385498</v>
      </c>
      <c r="FA39" s="11"/>
      <c r="FB39" s="4">
        <f t="shared" si="14"/>
        <v>903812986.19999993</v>
      </c>
    </row>
    <row r="40" spans="1:158" x14ac:dyDescent="0.2">
      <c r="A40">
        <v>8</v>
      </c>
      <c r="B40" t="s">
        <v>239</v>
      </c>
      <c r="C40" s="4">
        <v>21533</v>
      </c>
      <c r="D40" s="4">
        <v>38995</v>
      </c>
      <c r="E40" s="4">
        <v>52338</v>
      </c>
      <c r="F40" s="4">
        <v>124355</v>
      </c>
      <c r="G40" s="17">
        <v>0</v>
      </c>
      <c r="H40" s="4">
        <v>0</v>
      </c>
      <c r="I40" s="4">
        <v>0</v>
      </c>
      <c r="J40" s="4">
        <v>0</v>
      </c>
      <c r="K40" s="18">
        <v>0</v>
      </c>
      <c r="L40" s="4">
        <v>0</v>
      </c>
      <c r="M40" s="4">
        <v>0</v>
      </c>
      <c r="N40" s="4">
        <v>0</v>
      </c>
      <c r="O40" s="18">
        <v>0</v>
      </c>
      <c r="P40" s="4">
        <v>0</v>
      </c>
      <c r="Q40" s="4">
        <v>0</v>
      </c>
      <c r="R40" s="4">
        <v>0</v>
      </c>
      <c r="S40" s="18">
        <v>0</v>
      </c>
      <c r="T40" s="4">
        <v>0</v>
      </c>
      <c r="U40" s="4">
        <v>0</v>
      </c>
      <c r="V40" s="4">
        <v>0</v>
      </c>
      <c r="W40" s="4">
        <v>0</v>
      </c>
      <c r="X40" s="19"/>
      <c r="Y40" s="4">
        <v>25890891</v>
      </c>
      <c r="Z40" s="4">
        <v>35378437</v>
      </c>
      <c r="AA40" s="4">
        <v>39418395</v>
      </c>
      <c r="AB40" s="4">
        <v>48969998</v>
      </c>
      <c r="AC40" s="72">
        <v>1554768</v>
      </c>
      <c r="AD40" s="74">
        <v>5255784</v>
      </c>
      <c r="AE40" s="4">
        <v>190089295</v>
      </c>
      <c r="AF40" s="4">
        <v>109664014</v>
      </c>
      <c r="AG40" s="4">
        <v>120512610</v>
      </c>
      <c r="AH40" s="4">
        <v>13648994</v>
      </c>
      <c r="AI40" s="19"/>
      <c r="AJ40" s="4">
        <v>600</v>
      </c>
      <c r="AK40" s="4">
        <v>1400</v>
      </c>
      <c r="AL40" s="4">
        <v>3000</v>
      </c>
      <c r="AM40" s="4">
        <v>674863.7</v>
      </c>
      <c r="AN40" s="4">
        <v>393605.3</v>
      </c>
      <c r="AO40" s="18">
        <v>182628.00000000015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18">
        <v>0</v>
      </c>
      <c r="AV40" s="4">
        <v>600</v>
      </c>
      <c r="AW40" s="4">
        <v>1400</v>
      </c>
      <c r="AX40" s="4">
        <v>3000</v>
      </c>
      <c r="AY40" s="4">
        <v>3405880</v>
      </c>
      <c r="AZ40" s="4">
        <v>1974720</v>
      </c>
      <c r="BA40" s="18">
        <v>2684016</v>
      </c>
      <c r="BB40" s="4">
        <v>1800</v>
      </c>
      <c r="BC40" s="4">
        <v>4200</v>
      </c>
      <c r="BD40" s="4">
        <v>9000</v>
      </c>
      <c r="BE40" s="4">
        <v>1622121.7999999998</v>
      </c>
      <c r="BF40" s="4">
        <v>502013.20000000007</v>
      </c>
      <c r="BG40" s="18">
        <v>253230.00000000012</v>
      </c>
      <c r="BH40" s="4">
        <v>900</v>
      </c>
      <c r="BI40" s="4">
        <v>2100</v>
      </c>
      <c r="BJ40" s="4">
        <v>4500</v>
      </c>
      <c r="BK40" s="4">
        <v>1319840</v>
      </c>
      <c r="BL40" s="4">
        <v>668479.00000000012</v>
      </c>
      <c r="BM40" s="18">
        <v>805826.99999999988</v>
      </c>
      <c r="BN40" s="4">
        <v>4847</v>
      </c>
      <c r="BO40" s="4">
        <v>11200</v>
      </c>
      <c r="BP40" s="4">
        <v>24000</v>
      </c>
      <c r="BQ40" s="4">
        <v>9819429</v>
      </c>
      <c r="BR40" s="4">
        <v>2832517</v>
      </c>
      <c r="BS40" s="18">
        <v>2140274.0000000005</v>
      </c>
      <c r="BT40" s="4">
        <v>30757</v>
      </c>
      <c r="BU40" s="4">
        <v>70650</v>
      </c>
      <c r="BV40" s="4">
        <v>143729</v>
      </c>
      <c r="BW40" s="4">
        <v>16551728</v>
      </c>
      <c r="BX40" s="4">
        <v>7362398</v>
      </c>
      <c r="BY40" s="18">
        <v>8163229</v>
      </c>
      <c r="BZ40" s="4">
        <v>1200</v>
      </c>
      <c r="CA40" s="4">
        <v>2800</v>
      </c>
      <c r="CB40" s="4">
        <v>5553.9</v>
      </c>
      <c r="CC40" s="4">
        <v>127565.09999999998</v>
      </c>
      <c r="CD40" s="4">
        <v>76534.999999999985</v>
      </c>
      <c r="CE40" s="18">
        <v>78300.000000000029</v>
      </c>
      <c r="CF40" s="4">
        <v>538320.30000000005</v>
      </c>
      <c r="CG40" s="4">
        <v>1129552</v>
      </c>
      <c r="CH40" s="4">
        <v>2059073.5</v>
      </c>
      <c r="CI40" s="4">
        <v>36816160.899999991</v>
      </c>
      <c r="CJ40" s="4">
        <v>15900269.299999999</v>
      </c>
      <c r="CK40" s="18">
        <v>10206110.000000002</v>
      </c>
      <c r="CL40" s="4">
        <v>9900</v>
      </c>
      <c r="CM40" s="4">
        <v>23100</v>
      </c>
      <c r="CN40" s="4">
        <v>47801.1</v>
      </c>
      <c r="CO40" s="4">
        <v>4654726.2999999989</v>
      </c>
      <c r="CP40" s="4">
        <v>1352638.6</v>
      </c>
      <c r="CQ40" s="18">
        <v>356184.00000000006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18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18">
        <v>0</v>
      </c>
      <c r="DD40" s="4">
        <v>300</v>
      </c>
      <c r="DE40" s="4">
        <v>700</v>
      </c>
      <c r="DF40" s="4">
        <v>1500</v>
      </c>
      <c r="DG40" s="4">
        <v>124001</v>
      </c>
      <c r="DH40" s="4">
        <v>0</v>
      </c>
      <c r="DI40" s="18">
        <v>0</v>
      </c>
      <c r="DJ40" s="4">
        <v>300</v>
      </c>
      <c r="DK40" s="4">
        <v>700</v>
      </c>
      <c r="DL40" s="4">
        <v>1500</v>
      </c>
      <c r="DM40" s="4">
        <v>174333</v>
      </c>
      <c r="DN40" s="4">
        <v>102376.99999999997</v>
      </c>
      <c r="DO40" s="4">
        <v>171538.00000000003</v>
      </c>
      <c r="DP40" s="19"/>
      <c r="DQ40" s="33">
        <v>13392000</v>
      </c>
      <c r="DR40" s="33">
        <v>87000950</v>
      </c>
      <c r="DS40" s="33">
        <v>3109067</v>
      </c>
      <c r="DT40" s="33">
        <v>16478669</v>
      </c>
      <c r="DU40" s="33">
        <v>16385372.449999986</v>
      </c>
      <c r="DV40" s="33">
        <v>0</v>
      </c>
      <c r="DW40" s="33">
        <v>0</v>
      </c>
      <c r="DX40" s="33">
        <v>0</v>
      </c>
      <c r="DY40" s="33">
        <v>33488280</v>
      </c>
      <c r="DZ40" s="33">
        <v>9286200</v>
      </c>
      <c r="EA40" s="19"/>
      <c r="EB40" s="4">
        <v>0</v>
      </c>
      <c r="EC40" s="4">
        <v>0</v>
      </c>
      <c r="ED40" s="18">
        <v>0</v>
      </c>
      <c r="EE40" s="26">
        <v>0</v>
      </c>
      <c r="EF40" s="4">
        <v>0</v>
      </c>
      <c r="EG40" s="18">
        <v>0</v>
      </c>
      <c r="EH40" s="4">
        <v>0</v>
      </c>
      <c r="EI40" s="4">
        <v>0</v>
      </c>
      <c r="EJ40" s="4">
        <v>0</v>
      </c>
      <c r="EK40" s="19"/>
      <c r="EL40" s="4">
        <v>111960</v>
      </c>
      <c r="EM40" s="4">
        <v>1257261</v>
      </c>
      <c r="EN40" s="4">
        <v>0</v>
      </c>
      <c r="EO40" s="4">
        <v>0</v>
      </c>
      <c r="EP40" s="11"/>
      <c r="EQ40" s="4">
        <v>0</v>
      </c>
      <c r="ER40" s="4">
        <v>84</v>
      </c>
      <c r="ES40" s="4">
        <v>0</v>
      </c>
      <c r="ET40" s="4">
        <v>0</v>
      </c>
      <c r="EU40" s="75">
        <v>0</v>
      </c>
      <c r="EV40" s="4">
        <v>0</v>
      </c>
      <c r="EW40" s="4">
        <v>0</v>
      </c>
      <c r="EX40" s="4">
        <v>0</v>
      </c>
      <c r="EY40" s="4">
        <v>1649</v>
      </c>
      <c r="EZ40" s="4">
        <v>386044</v>
      </c>
      <c r="FA40" s="11"/>
      <c r="FB40" s="4">
        <f t="shared" si="14"/>
        <v>907155464.44999981</v>
      </c>
    </row>
    <row r="41" spans="1:158" x14ac:dyDescent="0.2">
      <c r="A41">
        <v>9</v>
      </c>
      <c r="B41" t="s">
        <v>240</v>
      </c>
      <c r="C41" s="4">
        <v>22360</v>
      </c>
      <c r="D41" s="4">
        <v>39172</v>
      </c>
      <c r="E41" s="4">
        <v>48804</v>
      </c>
      <c r="F41" s="4">
        <v>107093</v>
      </c>
      <c r="G41" s="17">
        <v>0</v>
      </c>
      <c r="H41" s="4">
        <v>0</v>
      </c>
      <c r="I41" s="4">
        <v>0</v>
      </c>
      <c r="J41" s="4">
        <v>0</v>
      </c>
      <c r="K41" s="18">
        <v>0</v>
      </c>
      <c r="L41" s="4">
        <v>0</v>
      </c>
      <c r="M41" s="4">
        <v>0</v>
      </c>
      <c r="N41" s="4">
        <v>0</v>
      </c>
      <c r="O41" s="18">
        <v>0</v>
      </c>
      <c r="P41" s="4">
        <v>0</v>
      </c>
      <c r="Q41" s="4">
        <v>0</v>
      </c>
      <c r="R41" s="4">
        <v>0</v>
      </c>
      <c r="S41" s="18">
        <v>0</v>
      </c>
      <c r="T41" s="4">
        <v>0</v>
      </c>
      <c r="U41" s="4">
        <v>0</v>
      </c>
      <c r="V41" s="4">
        <v>0</v>
      </c>
      <c r="W41" s="4">
        <v>0</v>
      </c>
      <c r="X41" s="19"/>
      <c r="Y41" s="4">
        <v>28604968</v>
      </c>
      <c r="Z41" s="4">
        <v>50459709</v>
      </c>
      <c r="AA41" s="4">
        <v>39075714</v>
      </c>
      <c r="AB41" s="4">
        <v>48592877</v>
      </c>
      <c r="AC41" s="72">
        <v>1996812</v>
      </c>
      <c r="AD41" s="74">
        <v>6424056</v>
      </c>
      <c r="AE41" s="4">
        <v>189197548</v>
      </c>
      <c r="AF41" s="4">
        <v>100113072</v>
      </c>
      <c r="AG41" s="4">
        <v>118465815</v>
      </c>
      <c r="AH41" s="4">
        <v>12578186</v>
      </c>
      <c r="AI41" s="19"/>
      <c r="AJ41" s="4">
        <v>300</v>
      </c>
      <c r="AK41" s="4">
        <v>700</v>
      </c>
      <c r="AL41" s="4">
        <v>1500</v>
      </c>
      <c r="AM41" s="4">
        <v>662030.69999999995</v>
      </c>
      <c r="AN41" s="4">
        <v>384728.3</v>
      </c>
      <c r="AO41" s="18">
        <v>119036.00000000007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18">
        <v>0</v>
      </c>
      <c r="AV41" s="4">
        <v>600</v>
      </c>
      <c r="AW41" s="4">
        <v>1400</v>
      </c>
      <c r="AX41" s="4">
        <v>3000</v>
      </c>
      <c r="AY41" s="4">
        <v>3442360</v>
      </c>
      <c r="AZ41" s="4">
        <v>1995839.9999999995</v>
      </c>
      <c r="BA41" s="18">
        <v>1953576.0000000005</v>
      </c>
      <c r="BB41" s="4">
        <v>1800</v>
      </c>
      <c r="BC41" s="4">
        <v>4200</v>
      </c>
      <c r="BD41" s="4">
        <v>9000</v>
      </c>
      <c r="BE41" s="4">
        <v>1660385.9000000001</v>
      </c>
      <c r="BF41" s="4">
        <v>489805.09999999992</v>
      </c>
      <c r="BG41" s="18">
        <v>403989.00000000006</v>
      </c>
      <c r="BH41" s="4">
        <v>900</v>
      </c>
      <c r="BI41" s="4">
        <v>2100</v>
      </c>
      <c r="BJ41" s="4">
        <v>4500</v>
      </c>
      <c r="BK41" s="4">
        <v>1354254</v>
      </c>
      <c r="BL41" s="4">
        <v>499620</v>
      </c>
      <c r="BM41" s="18">
        <v>1052148</v>
      </c>
      <c r="BN41" s="4">
        <v>4800</v>
      </c>
      <c r="BO41" s="4">
        <v>11200</v>
      </c>
      <c r="BP41" s="4">
        <v>23812</v>
      </c>
      <c r="BQ41" s="4">
        <v>9158267</v>
      </c>
      <c r="BR41" s="4">
        <v>2422381</v>
      </c>
      <c r="BS41" s="18">
        <v>2204895</v>
      </c>
      <c r="BT41" s="4">
        <v>30477</v>
      </c>
      <c r="BU41" s="4">
        <v>68817</v>
      </c>
      <c r="BV41" s="4">
        <v>141608</v>
      </c>
      <c r="BW41" s="4">
        <v>16667075</v>
      </c>
      <c r="BX41" s="4">
        <v>7498478</v>
      </c>
      <c r="BY41" s="18">
        <v>8346366</v>
      </c>
      <c r="BZ41" s="4">
        <v>1200</v>
      </c>
      <c r="CA41" s="4">
        <v>2800</v>
      </c>
      <c r="CB41" s="4">
        <v>5591.9</v>
      </c>
      <c r="CC41" s="4">
        <v>130034.1</v>
      </c>
      <c r="CD41" s="4">
        <v>77688</v>
      </c>
      <c r="CE41" s="18">
        <v>69964.000000000015</v>
      </c>
      <c r="CF41" s="4">
        <v>548294.60000000009</v>
      </c>
      <c r="CG41" s="4">
        <v>1141977.8</v>
      </c>
      <c r="CH41" s="4">
        <v>2072953.7000000002</v>
      </c>
      <c r="CI41" s="4">
        <v>37213153.899999999</v>
      </c>
      <c r="CJ41" s="4">
        <v>16052804.999999998</v>
      </c>
      <c r="CK41" s="18">
        <v>9466271</v>
      </c>
      <c r="CL41" s="4">
        <v>9900</v>
      </c>
      <c r="CM41" s="4">
        <v>23100</v>
      </c>
      <c r="CN41" s="4">
        <v>48222</v>
      </c>
      <c r="CO41" s="4">
        <v>4616305.4000000004</v>
      </c>
      <c r="CP41" s="4">
        <v>1499829.6</v>
      </c>
      <c r="CQ41" s="18">
        <v>308050.00000000012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18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18">
        <v>0</v>
      </c>
      <c r="DD41" s="4">
        <v>300</v>
      </c>
      <c r="DE41" s="4">
        <v>700</v>
      </c>
      <c r="DF41" s="4">
        <v>1500</v>
      </c>
      <c r="DG41" s="4">
        <v>129754</v>
      </c>
      <c r="DH41" s="4">
        <v>0</v>
      </c>
      <c r="DI41" s="18">
        <v>0</v>
      </c>
      <c r="DJ41" s="4">
        <v>300</v>
      </c>
      <c r="DK41" s="4">
        <v>700</v>
      </c>
      <c r="DL41" s="4">
        <v>1500</v>
      </c>
      <c r="DM41" s="4">
        <v>196315.99999999997</v>
      </c>
      <c r="DN41" s="4">
        <v>115104</v>
      </c>
      <c r="DO41" s="4">
        <v>63721.000000000036</v>
      </c>
      <c r="DP41" s="19"/>
      <c r="DQ41" s="33">
        <v>13392000</v>
      </c>
      <c r="DR41" s="33">
        <v>88937617</v>
      </c>
      <c r="DS41" s="33">
        <v>1277529</v>
      </c>
      <c r="DT41" s="33">
        <v>17739422</v>
      </c>
      <c r="DU41" s="33">
        <v>15254903</v>
      </c>
      <c r="DV41" s="33">
        <v>0</v>
      </c>
      <c r="DW41" s="33">
        <v>0</v>
      </c>
      <c r="DX41" s="33">
        <v>0</v>
      </c>
      <c r="DY41" s="33">
        <v>36668880</v>
      </c>
      <c r="DZ41" s="33">
        <v>9340200</v>
      </c>
      <c r="EA41" s="19"/>
      <c r="EB41" s="4">
        <v>0</v>
      </c>
      <c r="EC41" s="4">
        <v>0</v>
      </c>
      <c r="ED41" s="18">
        <v>0</v>
      </c>
      <c r="EE41" s="26">
        <v>0</v>
      </c>
      <c r="EF41" s="4">
        <v>0</v>
      </c>
      <c r="EG41" s="18">
        <v>0</v>
      </c>
      <c r="EH41" s="4">
        <v>0</v>
      </c>
      <c r="EI41" s="4">
        <v>0</v>
      </c>
      <c r="EJ41" s="4">
        <v>0</v>
      </c>
      <c r="EK41" s="19"/>
      <c r="EL41" s="4">
        <v>116849</v>
      </c>
      <c r="EM41" s="4">
        <v>1338232</v>
      </c>
      <c r="EN41" s="4">
        <v>0</v>
      </c>
      <c r="EO41" s="4">
        <v>0</v>
      </c>
      <c r="EP41" s="11"/>
      <c r="EQ41" s="4">
        <v>0</v>
      </c>
      <c r="ER41" s="4">
        <v>84</v>
      </c>
      <c r="ES41" s="4">
        <v>0</v>
      </c>
      <c r="ET41" s="4">
        <v>0</v>
      </c>
      <c r="EU41" s="75">
        <v>0</v>
      </c>
      <c r="EV41" s="4">
        <v>0</v>
      </c>
      <c r="EW41" s="4">
        <v>0</v>
      </c>
      <c r="EX41" s="4">
        <v>0</v>
      </c>
      <c r="EY41" s="4">
        <v>1649</v>
      </c>
      <c r="EZ41" s="4">
        <v>386044</v>
      </c>
      <c r="FA41" s="11"/>
      <c r="FB41" s="4">
        <f t="shared" si="14"/>
        <v>914603580</v>
      </c>
    </row>
    <row r="42" spans="1:158" x14ac:dyDescent="0.2">
      <c r="A42">
        <v>10</v>
      </c>
      <c r="B42" t="s">
        <v>241</v>
      </c>
      <c r="C42" s="4">
        <v>21906</v>
      </c>
      <c r="D42" s="4">
        <v>37722</v>
      </c>
      <c r="E42" s="4">
        <v>49303</v>
      </c>
      <c r="F42" s="4">
        <v>104005</v>
      </c>
      <c r="G42" s="17">
        <v>0</v>
      </c>
      <c r="H42" s="4">
        <v>0</v>
      </c>
      <c r="I42" s="4">
        <v>0</v>
      </c>
      <c r="J42" s="4">
        <v>0</v>
      </c>
      <c r="K42" s="18">
        <v>0</v>
      </c>
      <c r="L42" s="4">
        <v>0</v>
      </c>
      <c r="M42" s="4">
        <v>0</v>
      </c>
      <c r="N42" s="4">
        <v>0</v>
      </c>
      <c r="O42" s="18">
        <v>0</v>
      </c>
      <c r="P42" s="4">
        <v>0</v>
      </c>
      <c r="Q42" s="4">
        <v>0</v>
      </c>
      <c r="R42" s="4">
        <v>0</v>
      </c>
      <c r="S42" s="18">
        <v>0</v>
      </c>
      <c r="T42" s="4">
        <v>0</v>
      </c>
      <c r="U42" s="4">
        <v>0</v>
      </c>
      <c r="V42" s="4">
        <v>0</v>
      </c>
      <c r="W42" s="4">
        <v>0</v>
      </c>
      <c r="X42" s="19"/>
      <c r="Y42" s="4">
        <v>22608645</v>
      </c>
      <c r="Z42" s="4">
        <v>42792132</v>
      </c>
      <c r="AA42" s="4">
        <v>37594411</v>
      </c>
      <c r="AB42" s="4">
        <v>44495948</v>
      </c>
      <c r="AC42" s="72">
        <v>1681164</v>
      </c>
      <c r="AD42" s="74">
        <v>5835060</v>
      </c>
      <c r="AE42" s="4">
        <v>175503811</v>
      </c>
      <c r="AF42" s="4">
        <v>110145179</v>
      </c>
      <c r="AG42" s="4">
        <v>115850746</v>
      </c>
      <c r="AH42" s="4">
        <v>12762343</v>
      </c>
      <c r="AI42" s="19"/>
      <c r="AJ42" s="4">
        <v>311</v>
      </c>
      <c r="AK42" s="4">
        <v>700</v>
      </c>
      <c r="AL42" s="4">
        <v>1500</v>
      </c>
      <c r="AM42" s="4">
        <v>656733.49999999988</v>
      </c>
      <c r="AN42" s="4">
        <v>381661.50000000006</v>
      </c>
      <c r="AO42" s="18">
        <v>62682.000000000044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18">
        <v>0</v>
      </c>
      <c r="AV42" s="4">
        <v>600</v>
      </c>
      <c r="AW42" s="4">
        <v>1400</v>
      </c>
      <c r="AX42" s="4">
        <v>3000</v>
      </c>
      <c r="AY42" s="4">
        <v>3332920</v>
      </c>
      <c r="AZ42" s="4">
        <v>1932480</v>
      </c>
      <c r="BA42" s="18">
        <v>2248728</v>
      </c>
      <c r="BB42" s="4">
        <v>1800</v>
      </c>
      <c r="BC42" s="4">
        <v>4200</v>
      </c>
      <c r="BD42" s="4">
        <v>9000</v>
      </c>
      <c r="BE42" s="4">
        <v>1628592.2999999998</v>
      </c>
      <c r="BF42" s="4">
        <v>729240.70000000007</v>
      </c>
      <c r="BG42" s="18">
        <v>318922.00000000012</v>
      </c>
      <c r="BH42" s="4">
        <v>900</v>
      </c>
      <c r="BI42" s="4">
        <v>2100</v>
      </c>
      <c r="BJ42" s="4">
        <v>4500</v>
      </c>
      <c r="BK42" s="4">
        <v>1282874</v>
      </c>
      <c r="BL42" s="4">
        <v>456720.00000000012</v>
      </c>
      <c r="BM42" s="18">
        <v>1150386</v>
      </c>
      <c r="BN42" s="4">
        <v>4800</v>
      </c>
      <c r="BO42" s="4">
        <v>11183</v>
      </c>
      <c r="BP42" s="4">
        <v>22500</v>
      </c>
      <c r="BQ42" s="4">
        <v>9372948</v>
      </c>
      <c r="BR42" s="4">
        <v>2952550.0000000009</v>
      </c>
      <c r="BS42" s="18">
        <v>2709248.9999999995</v>
      </c>
      <c r="BT42" s="4">
        <v>31056</v>
      </c>
      <c r="BU42" s="4">
        <v>70581</v>
      </c>
      <c r="BV42" s="4">
        <v>142556</v>
      </c>
      <c r="BW42" s="4">
        <v>16924014</v>
      </c>
      <c r="BX42" s="4">
        <v>7585481</v>
      </c>
      <c r="BY42" s="18">
        <v>7800255</v>
      </c>
      <c r="BZ42" s="4">
        <v>1200</v>
      </c>
      <c r="CA42" s="4">
        <v>2800</v>
      </c>
      <c r="CB42" s="4">
        <v>5503</v>
      </c>
      <c r="CC42" s="4">
        <v>122063.29999999999</v>
      </c>
      <c r="CD42" s="4">
        <v>72937.699999999983</v>
      </c>
      <c r="CE42" s="18">
        <v>50340.000000000036</v>
      </c>
      <c r="CF42" s="4">
        <v>545604.10000000009</v>
      </c>
      <c r="CG42" s="4">
        <v>1143941.1999999997</v>
      </c>
      <c r="CH42" s="4">
        <v>2081094.8</v>
      </c>
      <c r="CI42" s="4">
        <v>37798388.399999999</v>
      </c>
      <c r="CJ42" s="4">
        <v>15600632.5</v>
      </c>
      <c r="CK42" s="18">
        <v>10585445</v>
      </c>
      <c r="CL42" s="4">
        <v>9900</v>
      </c>
      <c r="CM42" s="4">
        <v>23100</v>
      </c>
      <c r="CN42" s="4">
        <v>47697.7</v>
      </c>
      <c r="CO42" s="4">
        <v>4520870</v>
      </c>
      <c r="CP42" s="4">
        <v>1334352.3000000003</v>
      </c>
      <c r="CQ42" s="18">
        <v>323785.00000000012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18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18">
        <v>0</v>
      </c>
      <c r="DD42" s="4">
        <v>300</v>
      </c>
      <c r="DE42" s="4">
        <v>700</v>
      </c>
      <c r="DF42" s="4">
        <v>1500</v>
      </c>
      <c r="DG42" s="4">
        <v>124462</v>
      </c>
      <c r="DH42" s="4">
        <v>0</v>
      </c>
      <c r="DI42" s="18">
        <v>0</v>
      </c>
      <c r="DJ42" s="4">
        <v>300</v>
      </c>
      <c r="DK42" s="4">
        <v>700</v>
      </c>
      <c r="DL42" s="4">
        <v>1500</v>
      </c>
      <c r="DM42" s="4">
        <v>178342</v>
      </c>
      <c r="DN42" s="4">
        <v>104697.99999999997</v>
      </c>
      <c r="DO42" s="4">
        <v>152341.00000000003</v>
      </c>
      <c r="DP42" s="19"/>
      <c r="DQ42" s="33">
        <v>12925853</v>
      </c>
      <c r="DR42" s="33">
        <v>80101651</v>
      </c>
      <c r="DS42" s="33">
        <v>6551820</v>
      </c>
      <c r="DT42" s="33">
        <v>15521679</v>
      </c>
      <c r="DU42" s="33">
        <v>14368878</v>
      </c>
      <c r="DV42" s="33">
        <v>0</v>
      </c>
      <c r="DW42" s="33">
        <v>0</v>
      </c>
      <c r="DX42" s="33">
        <v>0</v>
      </c>
      <c r="DY42" s="33">
        <v>33523720</v>
      </c>
      <c r="DZ42" s="33">
        <v>9244800</v>
      </c>
      <c r="EA42" s="19"/>
      <c r="EB42" s="4">
        <v>0</v>
      </c>
      <c r="EC42" s="4">
        <v>0</v>
      </c>
      <c r="ED42" s="18">
        <v>0</v>
      </c>
      <c r="EE42" s="26">
        <v>0</v>
      </c>
      <c r="EF42" s="4">
        <v>0</v>
      </c>
      <c r="EG42" s="18">
        <v>0</v>
      </c>
      <c r="EH42" s="4">
        <v>0</v>
      </c>
      <c r="EI42" s="4">
        <v>0</v>
      </c>
      <c r="EJ42" s="4">
        <v>0</v>
      </c>
      <c r="EK42" s="19"/>
      <c r="EL42" s="4">
        <v>107039</v>
      </c>
      <c r="EM42" s="4">
        <v>1272620</v>
      </c>
      <c r="EN42" s="4">
        <v>0</v>
      </c>
      <c r="EO42" s="4">
        <v>0</v>
      </c>
      <c r="EP42" s="11"/>
      <c r="EQ42" s="4">
        <v>0</v>
      </c>
      <c r="ER42" s="4">
        <v>84</v>
      </c>
      <c r="ES42" s="4">
        <v>0</v>
      </c>
      <c r="ET42" s="4">
        <v>0</v>
      </c>
      <c r="EU42" s="75">
        <v>0</v>
      </c>
      <c r="EV42" s="4">
        <v>0</v>
      </c>
      <c r="EW42" s="4">
        <v>0</v>
      </c>
      <c r="EX42" s="4">
        <v>0</v>
      </c>
      <c r="EY42" s="4">
        <v>1649</v>
      </c>
      <c r="EZ42" s="4">
        <v>393251</v>
      </c>
      <c r="FA42" s="11"/>
      <c r="FB42" s="4">
        <f t="shared" si="14"/>
        <v>880169041</v>
      </c>
    </row>
    <row r="43" spans="1:158" x14ac:dyDescent="0.2">
      <c r="A43">
        <v>11</v>
      </c>
      <c r="B43" t="s">
        <v>242</v>
      </c>
      <c r="C43" s="4">
        <v>22018</v>
      </c>
      <c r="D43" s="4">
        <v>39917</v>
      </c>
      <c r="E43" s="4">
        <v>48997</v>
      </c>
      <c r="F43" s="18">
        <v>102048</v>
      </c>
      <c r="G43" s="17">
        <v>0</v>
      </c>
      <c r="H43" s="4">
        <v>0</v>
      </c>
      <c r="I43" s="4">
        <v>0</v>
      </c>
      <c r="J43" s="4">
        <v>0</v>
      </c>
      <c r="K43" s="18">
        <v>0</v>
      </c>
      <c r="L43" s="4">
        <v>0</v>
      </c>
      <c r="M43" s="4">
        <v>0</v>
      </c>
      <c r="N43" s="4">
        <v>0</v>
      </c>
      <c r="O43" s="18">
        <v>0</v>
      </c>
      <c r="P43" s="4">
        <v>0</v>
      </c>
      <c r="Q43" s="4">
        <v>0</v>
      </c>
      <c r="R43" s="4">
        <v>0</v>
      </c>
      <c r="S43" s="18">
        <v>0</v>
      </c>
      <c r="T43" s="4">
        <v>0</v>
      </c>
      <c r="U43" s="4">
        <v>0</v>
      </c>
      <c r="V43" s="4">
        <v>0</v>
      </c>
      <c r="W43" s="4">
        <v>0</v>
      </c>
      <c r="X43" s="19"/>
      <c r="Y43" s="4">
        <v>30640710</v>
      </c>
      <c r="Z43" s="4">
        <v>41135311</v>
      </c>
      <c r="AA43" s="4">
        <v>41469446</v>
      </c>
      <c r="AB43" s="4">
        <v>47106988</v>
      </c>
      <c r="AC43" s="72">
        <v>0</v>
      </c>
      <c r="AD43" s="74">
        <v>8636868</v>
      </c>
      <c r="AE43" s="4">
        <v>177320344</v>
      </c>
      <c r="AF43" s="4">
        <v>102069960</v>
      </c>
      <c r="AG43" s="4">
        <v>108902615</v>
      </c>
      <c r="AH43" s="4">
        <v>12191652</v>
      </c>
      <c r="AI43" s="19"/>
      <c r="AJ43" s="4">
        <v>600</v>
      </c>
      <c r="AK43" s="4">
        <v>1400</v>
      </c>
      <c r="AL43" s="4">
        <v>3000</v>
      </c>
      <c r="AM43" s="4">
        <v>741796.9</v>
      </c>
      <c r="AN43" s="4">
        <v>420909.1</v>
      </c>
      <c r="AO43" s="18">
        <v>105064.99999999997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18">
        <v>0</v>
      </c>
      <c r="AV43" s="4">
        <v>600</v>
      </c>
      <c r="AW43" s="4">
        <v>1400</v>
      </c>
      <c r="AX43" s="4">
        <v>3000</v>
      </c>
      <c r="AY43" s="4">
        <v>2393560</v>
      </c>
      <c r="AZ43" s="4">
        <v>1388640</v>
      </c>
      <c r="BA43" s="18">
        <v>1667232</v>
      </c>
      <c r="BB43" s="4">
        <v>1500</v>
      </c>
      <c r="BC43" s="4">
        <v>3500</v>
      </c>
      <c r="BD43" s="4">
        <v>7500</v>
      </c>
      <c r="BE43" s="4">
        <v>1674126.3</v>
      </c>
      <c r="BF43" s="4">
        <v>520463.69999999995</v>
      </c>
      <c r="BG43" s="18">
        <v>331210.00000000012</v>
      </c>
      <c r="BH43" s="4">
        <v>900</v>
      </c>
      <c r="BI43" s="4">
        <v>2100</v>
      </c>
      <c r="BJ43" s="4">
        <v>4500</v>
      </c>
      <c r="BK43" s="4">
        <v>1306920</v>
      </c>
      <c r="BL43" s="4">
        <v>533614</v>
      </c>
      <c r="BM43" s="18">
        <v>950526</v>
      </c>
      <c r="BN43" s="4">
        <v>4800</v>
      </c>
      <c r="BO43" s="4">
        <v>11200</v>
      </c>
      <c r="BP43" s="4">
        <v>24000</v>
      </c>
      <c r="BQ43" s="4">
        <v>9518809</v>
      </c>
      <c r="BR43" s="4">
        <v>2874188</v>
      </c>
      <c r="BS43" s="18">
        <v>3076922.0000000005</v>
      </c>
      <c r="BT43" s="4">
        <v>30785</v>
      </c>
      <c r="BU43" s="4">
        <v>70084</v>
      </c>
      <c r="BV43" s="4">
        <v>142550</v>
      </c>
      <c r="BW43" s="4">
        <v>16629873</v>
      </c>
      <c r="BX43" s="4">
        <v>7617138</v>
      </c>
      <c r="BY43" s="18">
        <v>8079971</v>
      </c>
      <c r="BZ43" s="4">
        <v>1200</v>
      </c>
      <c r="CA43" s="4">
        <v>2800</v>
      </c>
      <c r="CB43" s="4">
        <v>6000</v>
      </c>
      <c r="CC43" s="4">
        <v>119705.4</v>
      </c>
      <c r="CD43" s="4">
        <v>71675.60000000002</v>
      </c>
      <c r="CE43" s="18">
        <v>94450</v>
      </c>
      <c r="CF43" s="4">
        <v>553842.80000000005</v>
      </c>
      <c r="CG43" s="4">
        <v>1170436.5</v>
      </c>
      <c r="CH43" s="4">
        <v>2109393.4</v>
      </c>
      <c r="CI43" s="4">
        <v>37439906.300000004</v>
      </c>
      <c r="CJ43" s="4">
        <v>15194808.999999996</v>
      </c>
      <c r="CK43" s="18">
        <v>9893173</v>
      </c>
      <c r="CL43" s="4">
        <v>9900</v>
      </c>
      <c r="CM43" s="4">
        <v>23100</v>
      </c>
      <c r="CN43" s="4">
        <v>48090.6</v>
      </c>
      <c r="CO43" s="4">
        <v>4459913.9999999981</v>
      </c>
      <c r="CP43" s="4">
        <v>1488057.4</v>
      </c>
      <c r="CQ43" s="18">
        <v>308022.00000000029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18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18">
        <v>0</v>
      </c>
      <c r="DD43" s="4">
        <v>300</v>
      </c>
      <c r="DE43" s="4">
        <v>700</v>
      </c>
      <c r="DF43" s="4">
        <v>1500</v>
      </c>
      <c r="DG43" s="4">
        <v>182370</v>
      </c>
      <c r="DH43" s="4">
        <v>107030</v>
      </c>
      <c r="DI43" s="18">
        <v>265447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19"/>
      <c r="DQ43" s="33">
        <v>13392000</v>
      </c>
      <c r="DR43" s="33">
        <v>89423577</v>
      </c>
      <c r="DS43" s="33">
        <v>1444022</v>
      </c>
      <c r="DT43" s="33">
        <v>16276109</v>
      </c>
      <c r="DU43" s="33">
        <v>17132192</v>
      </c>
      <c r="DV43" s="33">
        <v>0</v>
      </c>
      <c r="DW43" s="33">
        <v>0</v>
      </c>
      <c r="DX43" s="33">
        <v>0</v>
      </c>
      <c r="DY43" s="33">
        <v>36511920</v>
      </c>
      <c r="DZ43" s="33">
        <v>10629360</v>
      </c>
      <c r="EA43" s="19"/>
      <c r="EB43" s="4">
        <v>0</v>
      </c>
      <c r="EC43" s="4">
        <v>0</v>
      </c>
      <c r="ED43" s="18">
        <v>0</v>
      </c>
      <c r="EE43" s="26">
        <v>0</v>
      </c>
      <c r="EF43" s="4">
        <v>0</v>
      </c>
      <c r="EG43" s="18">
        <v>0</v>
      </c>
      <c r="EH43" s="4">
        <v>0</v>
      </c>
      <c r="EI43" s="4">
        <v>0</v>
      </c>
      <c r="EJ43" s="4">
        <v>0</v>
      </c>
      <c r="EK43" s="19"/>
      <c r="EL43" s="4">
        <v>114318</v>
      </c>
      <c r="EM43" s="4">
        <v>1170289</v>
      </c>
      <c r="EN43" s="4">
        <v>0</v>
      </c>
      <c r="EO43" s="4">
        <v>0</v>
      </c>
      <c r="EP43" s="11"/>
      <c r="EQ43" s="4">
        <v>0</v>
      </c>
      <c r="ER43" s="4">
        <v>84</v>
      </c>
      <c r="ES43" s="4">
        <v>0</v>
      </c>
      <c r="ET43" s="4">
        <v>0</v>
      </c>
      <c r="EU43" s="75">
        <v>0</v>
      </c>
      <c r="EV43" s="4">
        <v>0</v>
      </c>
      <c r="EW43" s="4">
        <v>0</v>
      </c>
      <c r="EX43" s="4">
        <v>0</v>
      </c>
      <c r="EY43" s="4">
        <v>1649</v>
      </c>
      <c r="EZ43" s="4">
        <v>387600</v>
      </c>
      <c r="FA43" s="11"/>
      <c r="FB43" s="4">
        <f t="shared" si="14"/>
        <v>889866199.99999988</v>
      </c>
    </row>
    <row r="44" spans="1:158" x14ac:dyDescent="0.2">
      <c r="A44">
        <v>12</v>
      </c>
      <c r="B44" t="s">
        <v>243</v>
      </c>
      <c r="C44" s="4">
        <v>22546</v>
      </c>
      <c r="D44" s="4">
        <v>42820</v>
      </c>
      <c r="E44" s="4">
        <v>56838</v>
      </c>
      <c r="F44" s="18">
        <v>125094</v>
      </c>
      <c r="G44" s="17">
        <v>0</v>
      </c>
      <c r="H44" s="4">
        <v>0</v>
      </c>
      <c r="I44" s="4">
        <v>0</v>
      </c>
      <c r="J44" s="4">
        <v>0</v>
      </c>
      <c r="K44" s="18">
        <v>0</v>
      </c>
      <c r="L44" s="4">
        <v>0</v>
      </c>
      <c r="M44" s="4">
        <v>0</v>
      </c>
      <c r="N44" s="4">
        <v>0</v>
      </c>
      <c r="O44" s="18">
        <v>0</v>
      </c>
      <c r="P44" s="4">
        <v>0</v>
      </c>
      <c r="Q44" s="4">
        <v>0</v>
      </c>
      <c r="R44" s="4">
        <v>0</v>
      </c>
      <c r="S44" s="18">
        <v>0</v>
      </c>
      <c r="T44" s="4">
        <v>0</v>
      </c>
      <c r="U44" s="4">
        <v>0</v>
      </c>
      <c r="V44" s="4">
        <v>0</v>
      </c>
      <c r="W44" s="4">
        <v>0</v>
      </c>
      <c r="X44" s="19"/>
      <c r="Y44" s="4">
        <v>28776680</v>
      </c>
      <c r="Z44" s="4">
        <v>41118232</v>
      </c>
      <c r="AA44" s="4">
        <v>38366946</v>
      </c>
      <c r="AB44" s="4">
        <v>45948936</v>
      </c>
      <c r="AC44" s="72">
        <v>0</v>
      </c>
      <c r="AD44" s="74">
        <v>7899890</v>
      </c>
      <c r="AE44" s="4">
        <v>175341893</v>
      </c>
      <c r="AF44" s="4">
        <v>98213854</v>
      </c>
      <c r="AG44" s="4">
        <v>104677859</v>
      </c>
      <c r="AH44" s="4">
        <v>12254342</v>
      </c>
      <c r="AI44" s="19"/>
      <c r="AJ44" s="4">
        <v>600</v>
      </c>
      <c r="AK44" s="4">
        <v>1400</v>
      </c>
      <c r="AL44" s="4">
        <v>3000</v>
      </c>
      <c r="AM44" s="4">
        <v>711453.7</v>
      </c>
      <c r="AN44" s="4">
        <v>398082.30000000005</v>
      </c>
      <c r="AO44" s="18">
        <v>129306.00000000003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18">
        <v>0</v>
      </c>
      <c r="AV44" s="4">
        <v>600</v>
      </c>
      <c r="AW44" s="4">
        <v>1400</v>
      </c>
      <c r="AX44" s="4">
        <v>3000</v>
      </c>
      <c r="AY44" s="4">
        <v>2402680</v>
      </c>
      <c r="AZ44" s="4">
        <v>1393919.9999999998</v>
      </c>
      <c r="BA44" s="18">
        <v>1890024.0000000002</v>
      </c>
      <c r="BB44" s="4">
        <v>1800</v>
      </c>
      <c r="BC44" s="4">
        <v>4200</v>
      </c>
      <c r="BD44" s="4">
        <v>9000</v>
      </c>
      <c r="BE44" s="4">
        <v>1732656</v>
      </c>
      <c r="BF44" s="4">
        <v>546647.00000000012</v>
      </c>
      <c r="BG44" s="18">
        <v>473414</v>
      </c>
      <c r="BH44" s="4">
        <v>1200</v>
      </c>
      <c r="BI44" s="4">
        <v>2800</v>
      </c>
      <c r="BJ44" s="4">
        <v>6000</v>
      </c>
      <c r="BK44" s="4">
        <v>1948520</v>
      </c>
      <c r="BL44" s="4">
        <v>585143.00000000023</v>
      </c>
      <c r="BM44" s="18">
        <v>1067816.9999999998</v>
      </c>
      <c r="BN44" s="4">
        <v>5100</v>
      </c>
      <c r="BO44" s="4">
        <v>11900</v>
      </c>
      <c r="BP44" s="4">
        <v>25500</v>
      </c>
      <c r="BQ44" s="4">
        <v>10137562</v>
      </c>
      <c r="BR44" s="4">
        <v>3156003.9999999995</v>
      </c>
      <c r="BS44" s="18">
        <v>4013487.0000000009</v>
      </c>
      <c r="BT44" s="4">
        <v>30504</v>
      </c>
      <c r="BU44" s="4">
        <v>69935</v>
      </c>
      <c r="BV44" s="4">
        <v>143162</v>
      </c>
      <c r="BW44" s="4">
        <v>16095906</v>
      </c>
      <c r="BX44" s="4">
        <v>7073855</v>
      </c>
      <c r="BY44" s="18">
        <v>7688005.0000000009</v>
      </c>
      <c r="BZ44" s="4">
        <v>1200</v>
      </c>
      <c r="CA44" s="4">
        <v>2800</v>
      </c>
      <c r="CB44" s="4">
        <v>6000</v>
      </c>
      <c r="CC44" s="4">
        <v>133292.29999999999</v>
      </c>
      <c r="CD44" s="4">
        <v>81952.699999999983</v>
      </c>
      <c r="CE44" s="18">
        <v>78423.000000000029</v>
      </c>
      <c r="CF44" s="4">
        <v>550333.80000000005</v>
      </c>
      <c r="CG44" s="4">
        <v>1178661.8000000003</v>
      </c>
      <c r="CH44" s="4">
        <v>2164340.2999999998</v>
      </c>
      <c r="CI44" s="4">
        <v>36065728.400000006</v>
      </c>
      <c r="CJ44" s="4">
        <v>15595747.699999999</v>
      </c>
      <c r="CK44" s="18">
        <v>9679022.0000000019</v>
      </c>
      <c r="CL44" s="4">
        <v>9900</v>
      </c>
      <c r="CM44" s="4">
        <v>23100</v>
      </c>
      <c r="CN44" s="4">
        <v>48420</v>
      </c>
      <c r="CO44" s="4">
        <v>4457377.8</v>
      </c>
      <c r="CP44" s="4">
        <v>1820379.2</v>
      </c>
      <c r="CQ44" s="18">
        <v>382709.00000000006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18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18">
        <v>0</v>
      </c>
      <c r="DD44" s="4">
        <v>300</v>
      </c>
      <c r="DE44" s="4">
        <v>700</v>
      </c>
      <c r="DF44" s="4">
        <v>1500</v>
      </c>
      <c r="DG44" s="4">
        <v>151818</v>
      </c>
      <c r="DH44" s="4">
        <v>89342.000000000029</v>
      </c>
      <c r="DI44" s="18">
        <v>211583.99999999997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19"/>
      <c r="DQ44" s="33">
        <v>12960000</v>
      </c>
      <c r="DR44" s="33">
        <v>77752612</v>
      </c>
      <c r="DS44" s="33">
        <v>0</v>
      </c>
      <c r="DT44" s="33">
        <v>15272357</v>
      </c>
      <c r="DU44" s="33">
        <v>15209657</v>
      </c>
      <c r="DV44" s="33">
        <v>0</v>
      </c>
      <c r="DW44" s="33">
        <v>0</v>
      </c>
      <c r="DX44" s="33">
        <v>0</v>
      </c>
      <c r="DY44" s="33">
        <v>34938000</v>
      </c>
      <c r="DZ44" s="33">
        <v>9991080</v>
      </c>
      <c r="EA44" s="19"/>
      <c r="EB44" s="4">
        <v>0</v>
      </c>
      <c r="EC44" s="4">
        <v>0</v>
      </c>
      <c r="ED44" s="18">
        <v>0</v>
      </c>
      <c r="EE44" s="26">
        <v>0</v>
      </c>
      <c r="EF44" s="4">
        <v>0</v>
      </c>
      <c r="EG44" s="18">
        <v>0</v>
      </c>
      <c r="EH44" s="4">
        <v>0</v>
      </c>
      <c r="EI44" s="4">
        <v>0</v>
      </c>
      <c r="EJ44" s="4">
        <v>0</v>
      </c>
      <c r="EK44" s="19"/>
      <c r="EL44" s="4">
        <v>120594</v>
      </c>
      <c r="EM44" s="4">
        <v>1292314</v>
      </c>
      <c r="EN44" s="4">
        <v>0</v>
      </c>
      <c r="EO44" s="4">
        <v>0</v>
      </c>
      <c r="EP44" s="11"/>
      <c r="EQ44" s="4">
        <v>0</v>
      </c>
      <c r="ER44" s="4">
        <v>84</v>
      </c>
      <c r="ES44" s="4">
        <v>0</v>
      </c>
      <c r="ET44" s="4">
        <v>0</v>
      </c>
      <c r="EU44" s="75">
        <v>0</v>
      </c>
      <c r="EV44" s="4">
        <v>0</v>
      </c>
      <c r="EW44" s="4">
        <v>0</v>
      </c>
      <c r="EX44" s="4">
        <v>0</v>
      </c>
      <c r="EY44" s="4">
        <v>1649</v>
      </c>
      <c r="EZ44" s="4">
        <v>385936</v>
      </c>
      <c r="FA44" s="11"/>
      <c r="FB44" s="4">
        <f t="shared" si="14"/>
        <v>855270427.99999988</v>
      </c>
    </row>
    <row r="45" spans="1:158" x14ac:dyDescent="0.2">
      <c r="A45" s="8"/>
      <c r="B45" s="11"/>
      <c r="C45" s="11"/>
      <c r="D45" s="11"/>
      <c r="E45" s="11"/>
      <c r="F45" s="14"/>
      <c r="G45" s="16"/>
      <c r="H45" s="11"/>
      <c r="I45" s="11"/>
      <c r="J45" s="11"/>
      <c r="K45" s="14"/>
      <c r="L45" s="11"/>
      <c r="M45" s="11"/>
      <c r="N45" s="11"/>
      <c r="O45" s="14"/>
      <c r="P45" s="11"/>
      <c r="Q45" s="11"/>
      <c r="R45" s="11"/>
      <c r="S45" s="14"/>
      <c r="T45" s="11"/>
      <c r="U45" s="11"/>
      <c r="V45" s="11"/>
      <c r="W45" s="11"/>
      <c r="X45" s="11"/>
      <c r="Y45" s="11"/>
      <c r="Z45" s="11"/>
      <c r="AA45" s="11"/>
      <c r="AB45" s="11"/>
      <c r="AC45" s="27"/>
      <c r="AD45" s="14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4"/>
      <c r="AP45" s="11"/>
      <c r="AQ45" s="11"/>
      <c r="AR45" s="11"/>
      <c r="AS45" s="11"/>
      <c r="AT45" s="11"/>
      <c r="AU45" s="14"/>
      <c r="AV45" s="11"/>
      <c r="AW45" s="11"/>
      <c r="AX45" s="11"/>
      <c r="AY45" s="11"/>
      <c r="AZ45" s="11"/>
      <c r="BA45" s="14"/>
      <c r="BB45" s="11"/>
      <c r="BC45" s="11"/>
      <c r="BD45" s="11"/>
      <c r="BE45" s="11"/>
      <c r="BF45" s="11"/>
      <c r="BG45" s="14"/>
      <c r="BH45" s="11"/>
      <c r="BI45" s="11"/>
      <c r="BJ45" s="11"/>
      <c r="BK45" s="11"/>
      <c r="BL45" s="11"/>
      <c r="BM45" s="14"/>
      <c r="BN45" s="11"/>
      <c r="BO45" s="11"/>
      <c r="BP45" s="11"/>
      <c r="BQ45" s="11"/>
      <c r="BR45" s="11"/>
      <c r="BS45" s="14"/>
      <c r="BT45" s="11"/>
      <c r="BU45" s="11"/>
      <c r="BV45" s="11"/>
      <c r="BW45" s="11"/>
      <c r="BX45" s="11"/>
      <c r="BY45" s="14"/>
      <c r="BZ45" s="11"/>
      <c r="CA45" s="11"/>
      <c r="CB45" s="11"/>
      <c r="CC45" s="11"/>
      <c r="CD45" s="11"/>
      <c r="CE45" s="14"/>
      <c r="CF45" s="11"/>
      <c r="CG45" s="11"/>
      <c r="CH45" s="11"/>
      <c r="CI45" s="11"/>
      <c r="CJ45" s="11"/>
      <c r="CK45" s="14"/>
      <c r="CL45" s="11"/>
      <c r="CM45" s="11"/>
      <c r="CN45" s="11"/>
      <c r="CO45" s="11"/>
      <c r="CP45" s="11"/>
      <c r="CQ45" s="14"/>
      <c r="CR45" s="11"/>
      <c r="CS45" s="11"/>
      <c r="CT45" s="11"/>
      <c r="CU45" s="11"/>
      <c r="CV45" s="11"/>
      <c r="CW45" s="14"/>
      <c r="CX45" s="11"/>
      <c r="CY45" s="11"/>
      <c r="CZ45" s="11"/>
      <c r="DA45" s="11"/>
      <c r="DB45" s="11"/>
      <c r="DC45" s="14"/>
      <c r="DD45" s="11"/>
      <c r="DE45" s="11"/>
      <c r="DF45" s="11"/>
      <c r="DG45" s="11"/>
      <c r="DH45" s="11"/>
      <c r="DI45" s="14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4"/>
      <c r="EE45" s="27"/>
      <c r="EF45" s="11"/>
      <c r="EG45" s="14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</row>
    <row r="46" spans="1:158" x14ac:dyDescent="0.2">
      <c r="B46" t="s">
        <v>30</v>
      </c>
      <c r="C46" s="344" t="str">
        <f>C31</f>
        <v>CSN0</v>
      </c>
      <c r="D46" s="344"/>
      <c r="E46" s="344"/>
      <c r="F46" s="345"/>
      <c r="G46" s="15" t="str">
        <f>G31</f>
        <v>CSN2</v>
      </c>
      <c r="H46" s="343" t="str">
        <f>H31</f>
        <v>CSN7</v>
      </c>
      <c r="I46" s="344"/>
      <c r="J46" s="344"/>
      <c r="K46" s="345"/>
      <c r="L46" s="343" t="str">
        <f>L31</f>
        <v>CSN8</v>
      </c>
      <c r="M46" s="344"/>
      <c r="N46" s="344"/>
      <c r="O46" s="345"/>
      <c r="P46" s="343" t="str">
        <f>P31</f>
        <v>CSN9</v>
      </c>
      <c r="Q46" s="344"/>
      <c r="R46" s="344"/>
      <c r="S46" s="345"/>
      <c r="T46" s="343" t="str">
        <f>T31</f>
        <v>SFOC</v>
      </c>
      <c r="U46" s="344"/>
      <c r="V46" s="344"/>
      <c r="W46" s="344"/>
      <c r="X46" s="11"/>
      <c r="Y46" t="str">
        <f t="shared" ref="Y46:AH46" si="15">Y31</f>
        <v>HBA0</v>
      </c>
      <c r="Z46" t="str">
        <f t="shared" si="15"/>
        <v>HBN0</v>
      </c>
      <c r="AA46" t="str">
        <f t="shared" si="15"/>
        <v>HCA0</v>
      </c>
      <c r="AB46" t="str">
        <f t="shared" si="15"/>
        <v>HCN0</v>
      </c>
      <c r="AC46" s="25" t="str">
        <f t="shared" si="15"/>
        <v>HCN3</v>
      </c>
      <c r="AD46" s="13" t="str">
        <f t="shared" si="15"/>
        <v>HCN3</v>
      </c>
      <c r="AE46" t="str">
        <f t="shared" si="15"/>
        <v>HDN0</v>
      </c>
      <c r="AF46" t="str">
        <f t="shared" si="15"/>
        <v>HPN0</v>
      </c>
      <c r="AG46" t="str">
        <f t="shared" si="15"/>
        <v>HSN0</v>
      </c>
      <c r="AH46" t="str">
        <f t="shared" si="15"/>
        <v>HSS0</v>
      </c>
      <c r="AI46" s="11"/>
      <c r="AJ46" s="344" t="str">
        <f>AJ31</f>
        <v>LBA0</v>
      </c>
      <c r="AK46" s="344"/>
      <c r="AL46" s="344"/>
      <c r="AM46" s="344"/>
      <c r="AN46" s="344"/>
      <c r="AO46" s="345"/>
      <c r="AP46" s="343" t="str">
        <f>AP31</f>
        <v>LBAM</v>
      </c>
      <c r="AQ46" s="344"/>
      <c r="AR46" s="344"/>
      <c r="AS46" s="344"/>
      <c r="AT46" s="344"/>
      <c r="AU46" s="345"/>
      <c r="AV46" s="343" t="str">
        <f>AV31</f>
        <v>LBN0</v>
      </c>
      <c r="AW46" s="344"/>
      <c r="AX46" s="344"/>
      <c r="AY46" s="344"/>
      <c r="AZ46" s="344"/>
      <c r="BA46" s="345"/>
      <c r="BB46" s="343" t="str">
        <f>BB31</f>
        <v>LCA0</v>
      </c>
      <c r="BC46" s="344"/>
      <c r="BD46" s="344"/>
      <c r="BE46" s="344"/>
      <c r="BF46" s="344"/>
      <c r="BG46" s="345"/>
      <c r="BH46" s="343" t="str">
        <f>BH31</f>
        <v>LCN0</v>
      </c>
      <c r="BI46" s="344"/>
      <c r="BJ46" s="344"/>
      <c r="BK46" s="344"/>
      <c r="BL46" s="344"/>
      <c r="BM46" s="345"/>
      <c r="BN46" s="343" t="str">
        <f>BN31</f>
        <v>LDN0</v>
      </c>
      <c r="BO46" s="344"/>
      <c r="BP46" s="344"/>
      <c r="BQ46" s="344"/>
      <c r="BR46" s="344"/>
      <c r="BS46" s="345"/>
      <c r="BT46" s="343" t="str">
        <f>BT31</f>
        <v>LPN0</v>
      </c>
      <c r="BU46" s="344"/>
      <c r="BV46" s="344"/>
      <c r="BW46" s="344"/>
      <c r="BX46" s="344"/>
      <c r="BY46" s="345"/>
      <c r="BZ46" s="343" t="str">
        <f>BZ31</f>
        <v>LPA0</v>
      </c>
      <c r="CA46" s="344"/>
      <c r="CB46" s="344"/>
      <c r="CC46" s="344"/>
      <c r="CD46" s="344"/>
      <c r="CE46" s="345"/>
      <c r="CF46" s="343" t="str">
        <f>CF31</f>
        <v>LSN0</v>
      </c>
      <c r="CG46" s="344"/>
      <c r="CH46" s="344"/>
      <c r="CI46" s="344"/>
      <c r="CJ46" s="344"/>
      <c r="CK46" s="345"/>
      <c r="CL46" s="343" t="str">
        <f>CL31</f>
        <v>LSS0</v>
      </c>
      <c r="CM46" s="344"/>
      <c r="CN46" s="344"/>
      <c r="CO46" s="344"/>
      <c r="CP46" s="344"/>
      <c r="CQ46" s="345"/>
      <c r="CR46" s="343" t="str">
        <f>CR31</f>
        <v>LSN4</v>
      </c>
      <c r="CS46" s="344"/>
      <c r="CT46" s="344"/>
      <c r="CU46" s="344"/>
      <c r="CV46" s="344"/>
      <c r="CW46" s="345"/>
      <c r="CX46" s="343" t="str">
        <f>CX31</f>
        <v>LSN2</v>
      </c>
      <c r="CY46" s="344"/>
      <c r="CZ46" s="344"/>
      <c r="DA46" s="344"/>
      <c r="DB46" s="344"/>
      <c r="DC46" s="345"/>
      <c r="DD46" s="343" t="str">
        <f>DD31</f>
        <v>LSN3 - Peak</v>
      </c>
      <c r="DE46" s="344"/>
      <c r="DF46" s="344"/>
      <c r="DG46" s="344"/>
      <c r="DH46" s="344"/>
      <c r="DI46" s="344"/>
      <c r="DJ46" s="343" t="str">
        <f>DJ31</f>
        <v>LSN3 - Off Peak</v>
      </c>
      <c r="DK46" s="344"/>
      <c r="DL46" s="344"/>
      <c r="DM46" s="344"/>
      <c r="DN46" s="344"/>
      <c r="DO46" s="344"/>
      <c r="DP46" s="11"/>
      <c r="DQ46" t="str">
        <f>DQ31</f>
        <v>NUCF</v>
      </c>
      <c r="DR46" t="str">
        <f t="shared" ref="DR46:DZ46" si="16">DR31</f>
        <v>NUIF</v>
      </c>
      <c r="DS46" t="str">
        <f t="shared" si="16"/>
        <v>NUID</v>
      </c>
      <c r="DT46" t="str">
        <f t="shared" si="16"/>
        <v>NUCS</v>
      </c>
      <c r="DU46" t="str">
        <f t="shared" si="16"/>
        <v>SAES</v>
      </c>
      <c r="DV46" t="str">
        <f t="shared" si="16"/>
        <v>SASN</v>
      </c>
      <c r="DW46" t="str">
        <f t="shared" si="16"/>
        <v>SPUF</v>
      </c>
      <c r="DX46" t="str">
        <f t="shared" si="16"/>
        <v>SPUR</v>
      </c>
      <c r="DY46" t="str">
        <f t="shared" si="16"/>
        <v>SDEH</v>
      </c>
      <c r="DZ46" t="str">
        <f t="shared" si="16"/>
        <v>SDED</v>
      </c>
      <c r="EA46" s="11"/>
      <c r="EB46" s="344" t="str">
        <f t="shared" ref="EB46:EJ47" si="17">EB31</f>
        <v>RSN0</v>
      </c>
      <c r="EC46" s="344"/>
      <c r="ED46" s="345"/>
      <c r="EE46" s="343" t="str">
        <f>EE31</f>
        <v>RSN2</v>
      </c>
      <c r="EF46" s="344"/>
      <c r="EG46" s="345"/>
      <c r="EH46" s="344" t="str">
        <f>EH31</f>
        <v>RSN4</v>
      </c>
      <c r="EI46" s="344"/>
      <c r="EJ46" s="344"/>
      <c r="EK46" s="11"/>
      <c r="EL46" t="str">
        <f>EL31</f>
        <v xml:space="preserve">SWP </v>
      </c>
      <c r="EO46" t="str">
        <f>EO31</f>
        <v>SWPM</v>
      </c>
      <c r="EP46" s="11"/>
      <c r="EQ46" t="str">
        <f t="shared" ref="EQ46:EZ46" si="18">EQ31</f>
        <v>MHLS</v>
      </c>
      <c r="ER46" t="str">
        <f>ER31</f>
        <v>SFS</v>
      </c>
      <c r="ES46" t="str">
        <f t="shared" si="18"/>
        <v>SMLC</v>
      </c>
      <c r="ET46" t="str">
        <f t="shared" si="18"/>
        <v>SMLP</v>
      </c>
      <c r="EU46" t="str">
        <f t="shared" si="18"/>
        <v>SMPC</v>
      </c>
      <c r="EV46" t="str">
        <f t="shared" si="18"/>
        <v>SMS</v>
      </c>
      <c r="EW46" t="str">
        <f t="shared" si="18"/>
        <v>SSLC</v>
      </c>
      <c r="EX46" t="str">
        <f t="shared" si="18"/>
        <v>SSLP</v>
      </c>
      <c r="EY46" t="str">
        <f t="shared" si="18"/>
        <v>STS</v>
      </c>
      <c r="EZ46" t="str">
        <f t="shared" si="18"/>
        <v>UOLS</v>
      </c>
      <c r="FA46" s="11"/>
    </row>
    <row r="47" spans="1:158" x14ac:dyDescent="0.2">
      <c r="C47" t="str">
        <f t="shared" ref="C47:W47" si="19">C32</f>
        <v>First 300</v>
      </c>
      <c r="D47" t="str">
        <f t="shared" si="19"/>
        <v>Next 700</v>
      </c>
      <c r="E47" t="str">
        <f t="shared" si="19"/>
        <v>Next 1500</v>
      </c>
      <c r="F47" s="13" t="str">
        <f t="shared" si="19"/>
        <v>Over 2500</v>
      </c>
      <c r="G47" s="15"/>
      <c r="H47" t="str">
        <f t="shared" si="19"/>
        <v>First 300</v>
      </c>
      <c r="I47" t="str">
        <f t="shared" si="19"/>
        <v>Next 700</v>
      </c>
      <c r="J47" t="str">
        <f t="shared" si="19"/>
        <v>Next 1500</v>
      </c>
      <c r="K47" s="13" t="str">
        <f t="shared" si="19"/>
        <v>Over 2500</v>
      </c>
      <c r="L47" t="str">
        <f t="shared" si="19"/>
        <v>First 300</v>
      </c>
      <c r="M47" t="str">
        <f t="shared" si="19"/>
        <v>Next 700</v>
      </c>
      <c r="N47" t="str">
        <f t="shared" si="19"/>
        <v>Next 1500</v>
      </c>
      <c r="O47" s="13" t="str">
        <f t="shared" si="19"/>
        <v>Over 2500</v>
      </c>
      <c r="P47" t="str">
        <f t="shared" si="19"/>
        <v>First 300</v>
      </c>
      <c r="Q47" t="str">
        <f t="shared" si="19"/>
        <v>Next 700</v>
      </c>
      <c r="R47" t="str">
        <f t="shared" si="19"/>
        <v>Next 1500</v>
      </c>
      <c r="S47" s="13" t="str">
        <f t="shared" si="19"/>
        <v>Over 2500</v>
      </c>
      <c r="T47" t="str">
        <f t="shared" si="19"/>
        <v>First 300</v>
      </c>
      <c r="U47" t="str">
        <f t="shared" si="19"/>
        <v>Next 700</v>
      </c>
      <c r="V47" t="str">
        <f t="shared" si="19"/>
        <v>Next 1500</v>
      </c>
      <c r="W47" t="str">
        <f t="shared" si="19"/>
        <v>Over 2500</v>
      </c>
      <c r="X47" s="11"/>
      <c r="AC47" s="25" t="str">
        <f>AC32</f>
        <v>On Peak</v>
      </c>
      <c r="AD47" s="13" t="str">
        <f>AD32</f>
        <v>Off Peak</v>
      </c>
      <c r="AI47" s="11"/>
      <c r="AJ47" t="str">
        <f>AJ32</f>
        <v>First 300 kWh</v>
      </c>
      <c r="AK47" t="str">
        <f>AK32</f>
        <v>Next 700 kWh</v>
      </c>
      <c r="AL47" t="str">
        <f>AL32</f>
        <v>Next 1500 kWh</v>
      </c>
      <c r="AM47" t="str">
        <f>AM32</f>
        <v>Over 2500 kWh</v>
      </c>
      <c r="AN47" t="str">
        <f>AN32</f>
        <v>KWH_NEXT110</v>
      </c>
      <c r="AO47" s="13" t="str">
        <f>AO32</f>
        <v>KWH_300+</v>
      </c>
      <c r="AP47" t="str">
        <f>AP32</f>
        <v>First 300 kWh</v>
      </c>
      <c r="AQ47" t="str">
        <f>AQ32</f>
        <v>Next 700 kWh</v>
      </c>
      <c r="AR47" t="str">
        <f>AR32</f>
        <v>Next 1500 kWh</v>
      </c>
      <c r="AS47" t="str">
        <f>AS32</f>
        <v>Over 2500 kWh</v>
      </c>
      <c r="AT47" t="str">
        <f>AT32</f>
        <v>KWH_NEXT110</v>
      </c>
      <c r="AU47" s="13" t="str">
        <f>AU32</f>
        <v>KWH_300+</v>
      </c>
      <c r="AV47" t="str">
        <f>AV32</f>
        <v>First 300 kWh</v>
      </c>
      <c r="AW47" t="str">
        <f>AW32</f>
        <v>Next 700 kWh</v>
      </c>
      <c r="AX47" t="str">
        <f>AX32</f>
        <v>Next 1500 kWh</v>
      </c>
      <c r="AY47" t="str">
        <f>AY32</f>
        <v>Over 2500 kWh</v>
      </c>
      <c r="AZ47" t="str">
        <f>AZ32</f>
        <v>KWH_NEXT110</v>
      </c>
      <c r="BA47" s="13" t="str">
        <f>BA32</f>
        <v>KWH_300+</v>
      </c>
      <c r="BB47" t="str">
        <f>BB32</f>
        <v>First 300 kWh</v>
      </c>
      <c r="BC47" t="str">
        <f>BC32</f>
        <v>Next 700 kWh</v>
      </c>
      <c r="BD47" t="str">
        <f>BD32</f>
        <v>Next 1500 kWh</v>
      </c>
      <c r="BE47" t="str">
        <f>BE32</f>
        <v>Over 2500 kWh</v>
      </c>
      <c r="BF47" t="str">
        <f>BF32</f>
        <v>KWH_NEXT110</v>
      </c>
      <c r="BG47" s="13" t="str">
        <f>BG32</f>
        <v>KWH_300+</v>
      </c>
      <c r="BH47" t="str">
        <f>BH32</f>
        <v>First 300 kWh</v>
      </c>
      <c r="BI47" t="str">
        <f>BI32</f>
        <v>Next 700 kWh</v>
      </c>
      <c r="BJ47" t="str">
        <f>BJ32</f>
        <v>Next 1500 kWh</v>
      </c>
      <c r="BK47" t="str">
        <f>BK32</f>
        <v>Over 2500 kWh</v>
      </c>
      <c r="BL47" t="str">
        <f>BL32</f>
        <v>KWH_NEXT110</v>
      </c>
      <c r="BM47" s="13" t="str">
        <f>BM32</f>
        <v>KWH_300+</v>
      </c>
      <c r="BN47" t="str">
        <f>BN32</f>
        <v>First 300 kWh</v>
      </c>
      <c r="BO47" t="str">
        <f>BO32</f>
        <v>Next 700 kWh</v>
      </c>
      <c r="BP47" t="str">
        <f>BP32</f>
        <v>Next 1500 kWh</v>
      </c>
      <c r="BQ47" t="str">
        <f>BQ32</f>
        <v>Over 2500 kWh</v>
      </c>
      <c r="BR47" t="str">
        <f>BR32</f>
        <v>KWH_NEXT110</v>
      </c>
      <c r="BS47" s="13" t="str">
        <f>BS32</f>
        <v>KWH_300+</v>
      </c>
      <c r="BT47" t="str">
        <f>BT32</f>
        <v>First 300 kWh</v>
      </c>
      <c r="BU47" t="str">
        <f>BU32</f>
        <v>Next 700 kWh</v>
      </c>
      <c r="BV47" t="str">
        <f>BV32</f>
        <v>Next 1500 kWh</v>
      </c>
      <c r="BW47" t="str">
        <f>BW32</f>
        <v>Over 2500 kWh</v>
      </c>
      <c r="BX47" t="str">
        <f>BX32</f>
        <v>KWH_NEXT110</v>
      </c>
      <c r="BY47" s="13" t="str">
        <f>BY32</f>
        <v>KWH_300+</v>
      </c>
      <c r="BZ47" t="str">
        <f>BZ32</f>
        <v>First 300 kWh</v>
      </c>
      <c r="CA47" t="str">
        <f>CA32</f>
        <v>Next 700 kWh</v>
      </c>
      <c r="CB47" t="str">
        <f>CB32</f>
        <v>Next 1500 kWh</v>
      </c>
      <c r="CC47" t="str">
        <f>CC32</f>
        <v>Over 2500 kWh</v>
      </c>
      <c r="CD47" t="str">
        <f>CD32</f>
        <v>KWH_NEXT110</v>
      </c>
      <c r="CE47" s="13" t="str">
        <f>CE32</f>
        <v>KWH_300+</v>
      </c>
      <c r="CF47" t="str">
        <f>CF32</f>
        <v>First 300 kWh</v>
      </c>
      <c r="CG47" t="str">
        <f>CG32</f>
        <v>Next 700 kWh</v>
      </c>
      <c r="CH47" t="str">
        <f>CH32</f>
        <v>Next 1500 kWh</v>
      </c>
      <c r="CI47" t="str">
        <f>CI32</f>
        <v>Over 2500 kWh</v>
      </c>
      <c r="CJ47" t="str">
        <f>CJ32</f>
        <v>KWH_NEXT110</v>
      </c>
      <c r="CK47" s="13" t="str">
        <f>CK32</f>
        <v>KWH_300+</v>
      </c>
      <c r="CL47" t="str">
        <f>CL32</f>
        <v>First 300 kWh</v>
      </c>
      <c r="CM47" t="str">
        <f>CM32</f>
        <v>Next 700 kWh</v>
      </c>
      <c r="CN47" t="str">
        <f>CN32</f>
        <v>Next 1500 kWh</v>
      </c>
      <c r="CO47" t="str">
        <f>CO32</f>
        <v>Over 2500 kWh</v>
      </c>
      <c r="CP47" t="str">
        <f>CP32</f>
        <v>KWH_NEXT110</v>
      </c>
      <c r="CQ47" s="13" t="str">
        <f>CQ32</f>
        <v>KWH_300+</v>
      </c>
      <c r="CR47" t="str">
        <f>CR32</f>
        <v>First 300 kWh</v>
      </c>
      <c r="CS47" t="str">
        <f>CS32</f>
        <v>Next 700 kWh</v>
      </c>
      <c r="CT47" t="str">
        <f>CT32</f>
        <v>Next 1500 kWh</v>
      </c>
      <c r="CU47" t="str">
        <f>CU32</f>
        <v>Over 2500 kWh</v>
      </c>
      <c r="CV47" t="str">
        <f>CV32</f>
        <v>KWH_NEXT110</v>
      </c>
      <c r="CW47" s="13" t="str">
        <f>CW32</f>
        <v>KWH_300+</v>
      </c>
      <c r="CX47" t="str">
        <f>CX32</f>
        <v>First 300 kWh</v>
      </c>
      <c r="CY47" t="str">
        <f>CY32</f>
        <v>Next 700 kWh</v>
      </c>
      <c r="CZ47" t="str">
        <f>CZ32</f>
        <v>Next 1500 kWh</v>
      </c>
      <c r="DA47" t="str">
        <f>DA32</f>
        <v>Over 2500 kWh</v>
      </c>
      <c r="DB47" t="str">
        <f>DB32</f>
        <v>KWH_NEXT110</v>
      </c>
      <c r="DC47" s="13" t="str">
        <f>DC32</f>
        <v>KWH_300+</v>
      </c>
      <c r="DD47" t="str">
        <f>DD32</f>
        <v>First 300 kWh</v>
      </c>
      <c r="DE47" t="str">
        <f>DE32</f>
        <v>Next 700 kWh</v>
      </c>
      <c r="DF47" t="str">
        <f>DF32</f>
        <v>Next 1500 kWh</v>
      </c>
      <c r="DG47" t="str">
        <f>DG32</f>
        <v>Over 2500 kWh</v>
      </c>
      <c r="DH47" t="str">
        <f>DH32</f>
        <v>KWH_NEXT110</v>
      </c>
      <c r="DI47" s="13" t="str">
        <f>DI32</f>
        <v>KWH_300+</v>
      </c>
      <c r="DJ47" t="str">
        <f t="shared" ref="DJ47:DO47" si="20">DJ32</f>
        <v>First 300 kWh</v>
      </c>
      <c r="DK47" t="str">
        <f t="shared" si="20"/>
        <v>Next 700 kWh</v>
      </c>
      <c r="DL47" t="str">
        <f t="shared" si="20"/>
        <v>Next 1500 kWh</v>
      </c>
      <c r="DM47" t="str">
        <f t="shared" si="20"/>
        <v>Over 2500 kWh</v>
      </c>
      <c r="DN47" t="str">
        <f t="shared" si="20"/>
        <v>KWH_NEXT110</v>
      </c>
      <c r="DO47" t="str">
        <f t="shared" si="20"/>
        <v>KWH_300+</v>
      </c>
      <c r="DP47" s="11"/>
      <c r="EA47" s="11"/>
      <c r="EB47" t="str">
        <f t="shared" si="17"/>
        <v>First 300 kWh</v>
      </c>
      <c r="EC47" t="str">
        <f t="shared" si="17"/>
        <v>Next 700 kWh</v>
      </c>
      <c r="ED47" s="13" t="str">
        <f t="shared" si="17"/>
        <v>Over 1000 kWh</v>
      </c>
      <c r="EE47" s="25" t="str">
        <f t="shared" si="17"/>
        <v>First 300 kWh</v>
      </c>
      <c r="EF47" t="str">
        <f t="shared" si="17"/>
        <v>Next 700 kWh</v>
      </c>
      <c r="EG47" s="13" t="str">
        <f t="shared" si="17"/>
        <v>Over 1000 kWh</v>
      </c>
      <c r="EH47" t="str">
        <f t="shared" si="17"/>
        <v>First 300 kWh</v>
      </c>
      <c r="EI47" t="str">
        <f t="shared" si="17"/>
        <v>Next 700 kWh</v>
      </c>
      <c r="EJ47" t="str">
        <f t="shared" si="17"/>
        <v>Over 1000 kWh</v>
      </c>
      <c r="EK47" s="11"/>
      <c r="EP47" s="11"/>
      <c r="FA47" s="11"/>
    </row>
    <row r="48" spans="1:158" x14ac:dyDescent="0.2">
      <c r="A48">
        <v>1</v>
      </c>
      <c r="B48" t="s">
        <v>232</v>
      </c>
      <c r="C48" s="4">
        <v>959576</v>
      </c>
      <c r="D48" s="4">
        <v>1505915</v>
      </c>
      <c r="E48" s="4">
        <v>1750900</v>
      </c>
      <c r="F48" s="4">
        <v>2942983</v>
      </c>
      <c r="G48" s="17">
        <v>1494</v>
      </c>
      <c r="H48" s="4">
        <v>0</v>
      </c>
      <c r="I48" s="4">
        <v>0</v>
      </c>
      <c r="J48" s="4">
        <v>0</v>
      </c>
      <c r="K48" s="18">
        <v>0</v>
      </c>
      <c r="L48" s="4">
        <v>0</v>
      </c>
      <c r="M48" s="4">
        <v>0</v>
      </c>
      <c r="N48" s="4">
        <v>0</v>
      </c>
      <c r="O48" s="18">
        <v>0</v>
      </c>
      <c r="P48" s="4">
        <v>560</v>
      </c>
      <c r="Q48" s="4">
        <v>0</v>
      </c>
      <c r="R48" s="4">
        <v>0</v>
      </c>
      <c r="S48" s="18">
        <v>0</v>
      </c>
      <c r="T48" s="4">
        <v>0</v>
      </c>
      <c r="U48" s="4">
        <v>0</v>
      </c>
      <c r="V48" s="4">
        <v>0</v>
      </c>
      <c r="W48" s="4">
        <v>0</v>
      </c>
      <c r="X48" s="19"/>
      <c r="Y48" s="4">
        <v>0</v>
      </c>
      <c r="Z48" s="4">
        <v>0</v>
      </c>
      <c r="AA48" s="4">
        <v>0</v>
      </c>
      <c r="AB48" s="4">
        <v>7160380</v>
      </c>
      <c r="AC48" s="72">
        <v>0</v>
      </c>
      <c r="AD48" s="74">
        <v>0</v>
      </c>
      <c r="AE48" s="4">
        <v>0</v>
      </c>
      <c r="AF48" s="4">
        <v>34108679</v>
      </c>
      <c r="AG48" s="4">
        <v>22400127</v>
      </c>
      <c r="AH48" s="4">
        <v>6311660</v>
      </c>
      <c r="AI48" s="19"/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18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18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18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18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18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18">
        <v>0</v>
      </c>
      <c r="BT48" s="4">
        <v>5100</v>
      </c>
      <c r="BU48" s="4">
        <v>11040</v>
      </c>
      <c r="BV48" s="4">
        <v>21596</v>
      </c>
      <c r="BW48" s="4">
        <v>1314057</v>
      </c>
      <c r="BX48" s="4">
        <v>631182</v>
      </c>
      <c r="BY48" s="18">
        <v>500492.00000000012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18">
        <v>0</v>
      </c>
      <c r="CF48" s="4">
        <v>556210.39999999991</v>
      </c>
      <c r="CG48" s="4">
        <v>1150251</v>
      </c>
      <c r="CH48" s="4">
        <v>2104533.1999999993</v>
      </c>
      <c r="CI48" s="4">
        <v>31066419</v>
      </c>
      <c r="CJ48" s="4">
        <v>16899524.399999999</v>
      </c>
      <c r="CK48" s="18">
        <v>10379274</v>
      </c>
      <c r="CL48" s="4">
        <v>5926.1</v>
      </c>
      <c r="CM48" s="4">
        <v>13300</v>
      </c>
      <c r="CN48" s="4">
        <v>26477.9</v>
      </c>
      <c r="CO48" s="4">
        <v>1396473.6</v>
      </c>
      <c r="CP48" s="4">
        <v>717262.39999999991</v>
      </c>
      <c r="CQ48" s="18">
        <v>483803.00000000017</v>
      </c>
      <c r="CR48" s="4">
        <v>300</v>
      </c>
      <c r="CS48" s="4">
        <v>700</v>
      </c>
      <c r="CT48" s="4">
        <v>1500</v>
      </c>
      <c r="CU48" s="4">
        <v>235.99999999999955</v>
      </c>
      <c r="CV48" s="4">
        <v>1584.0000000000005</v>
      </c>
      <c r="CW48" s="18">
        <v>2040</v>
      </c>
      <c r="CX48" s="4">
        <v>4800</v>
      </c>
      <c r="CY48" s="4">
        <v>11200</v>
      </c>
      <c r="CZ48" s="4">
        <v>24000</v>
      </c>
      <c r="DA48" s="4">
        <v>628648</v>
      </c>
      <c r="DB48" s="4">
        <v>387112</v>
      </c>
      <c r="DC48" s="18">
        <v>427598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18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19"/>
      <c r="DQ48" s="33">
        <v>0</v>
      </c>
      <c r="DR48" s="33">
        <v>0</v>
      </c>
      <c r="DS48" s="33">
        <v>0</v>
      </c>
      <c r="DT48" s="33">
        <v>0</v>
      </c>
      <c r="DU48" s="33">
        <v>0</v>
      </c>
      <c r="DV48" s="33">
        <v>0</v>
      </c>
      <c r="DW48" s="33">
        <v>8241524</v>
      </c>
      <c r="DX48" s="33">
        <v>1327556.8000000026</v>
      </c>
      <c r="DY48" s="33">
        <v>0</v>
      </c>
      <c r="DZ48" s="33">
        <v>0</v>
      </c>
      <c r="EA48" s="19"/>
      <c r="EB48" s="4">
        <v>96983</v>
      </c>
      <c r="EC48" s="4">
        <v>102812</v>
      </c>
      <c r="ED48" s="18">
        <v>152657</v>
      </c>
      <c r="EE48" s="26">
        <v>300</v>
      </c>
      <c r="EF48" s="4">
        <v>699.99999999999989</v>
      </c>
      <c r="EG48" s="18">
        <v>5651</v>
      </c>
      <c r="EH48" s="4">
        <v>2023</v>
      </c>
      <c r="EI48" s="4">
        <v>2597</v>
      </c>
      <c r="EJ48" s="4">
        <v>5228</v>
      </c>
      <c r="EK48" s="19"/>
      <c r="EL48" s="4">
        <v>1341407</v>
      </c>
      <c r="EM48" s="4">
        <v>10124655</v>
      </c>
      <c r="EN48" s="4">
        <v>341</v>
      </c>
      <c r="EO48" s="4">
        <v>0</v>
      </c>
      <c r="EP48" s="11"/>
      <c r="EQ48" s="4">
        <v>48583</v>
      </c>
      <c r="ER48" s="4">
        <v>39980</v>
      </c>
      <c r="ES48" s="4">
        <v>104167</v>
      </c>
      <c r="ET48" s="4">
        <v>0</v>
      </c>
      <c r="EU48" s="4">
        <v>0</v>
      </c>
      <c r="EV48" s="4">
        <v>232677</v>
      </c>
      <c r="EW48" s="4">
        <v>0</v>
      </c>
      <c r="EX48" s="4">
        <v>403</v>
      </c>
      <c r="EY48" s="4">
        <v>518295</v>
      </c>
      <c r="EZ48" s="4">
        <v>756826</v>
      </c>
      <c r="FA48" s="11"/>
      <c r="FB48" s="4">
        <f t="shared" ref="FB48:FB59" si="21">SUM(C48:EZ48)</f>
        <v>169020279.80000001</v>
      </c>
    </row>
    <row r="49" spans="1:158" x14ac:dyDescent="0.2">
      <c r="A49">
        <v>2</v>
      </c>
      <c r="B49" t="s">
        <v>233</v>
      </c>
      <c r="C49" s="4">
        <v>918898</v>
      </c>
      <c r="D49" s="4">
        <v>1401148</v>
      </c>
      <c r="E49" s="4">
        <v>1546991</v>
      </c>
      <c r="F49" s="4">
        <v>2229446</v>
      </c>
      <c r="G49" s="17">
        <v>1186</v>
      </c>
      <c r="H49" s="4">
        <v>0</v>
      </c>
      <c r="I49" s="4">
        <v>0</v>
      </c>
      <c r="J49" s="4">
        <v>0</v>
      </c>
      <c r="K49" s="18">
        <v>0</v>
      </c>
      <c r="L49" s="4">
        <v>0</v>
      </c>
      <c r="M49" s="4">
        <v>0</v>
      </c>
      <c r="N49" s="4">
        <v>0</v>
      </c>
      <c r="O49" s="18">
        <v>0</v>
      </c>
      <c r="P49" s="4">
        <v>500</v>
      </c>
      <c r="Q49" s="4">
        <v>0</v>
      </c>
      <c r="R49" s="4">
        <v>0</v>
      </c>
      <c r="S49" s="18">
        <v>0</v>
      </c>
      <c r="T49" s="4">
        <v>0</v>
      </c>
      <c r="U49" s="4">
        <v>0</v>
      </c>
      <c r="V49" s="4">
        <v>0</v>
      </c>
      <c r="W49" s="4">
        <v>0</v>
      </c>
      <c r="X49" s="19"/>
      <c r="Y49" s="4">
        <v>0</v>
      </c>
      <c r="Z49" s="4">
        <v>0</v>
      </c>
      <c r="AA49" s="4">
        <v>0</v>
      </c>
      <c r="AB49" s="4">
        <v>6347235</v>
      </c>
      <c r="AC49" s="72">
        <v>0</v>
      </c>
      <c r="AD49" s="74">
        <v>0</v>
      </c>
      <c r="AE49" s="4">
        <v>0</v>
      </c>
      <c r="AF49" s="4">
        <v>32288983</v>
      </c>
      <c r="AG49" s="4">
        <v>20304913</v>
      </c>
      <c r="AH49" s="4">
        <v>5803556</v>
      </c>
      <c r="AI49" s="19"/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18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18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18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18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18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18">
        <v>0</v>
      </c>
      <c r="BT49" s="4">
        <v>4800</v>
      </c>
      <c r="BU49" s="4">
        <v>10340</v>
      </c>
      <c r="BV49" s="4">
        <v>21000</v>
      </c>
      <c r="BW49" s="4">
        <v>1223167</v>
      </c>
      <c r="BX49" s="4">
        <v>609812</v>
      </c>
      <c r="BY49" s="18">
        <v>427058.00000000012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18">
        <v>0</v>
      </c>
      <c r="CF49" s="4">
        <v>552705.30000000005</v>
      </c>
      <c r="CG49" s="4">
        <v>1147034.3999999994</v>
      </c>
      <c r="CH49" s="4">
        <v>2068231.3999999997</v>
      </c>
      <c r="CI49" s="4">
        <v>31107303.399999999</v>
      </c>
      <c r="CJ49" s="4">
        <v>15833178.499999996</v>
      </c>
      <c r="CK49" s="18">
        <v>7429699</v>
      </c>
      <c r="CL49" s="4">
        <v>5926.1</v>
      </c>
      <c r="CM49" s="4">
        <v>13300</v>
      </c>
      <c r="CN49" s="4">
        <v>26070.7</v>
      </c>
      <c r="CO49" s="4">
        <v>1407620.9</v>
      </c>
      <c r="CP49" s="4">
        <v>710790.29999999993</v>
      </c>
      <c r="CQ49" s="18">
        <v>490835.00000000012</v>
      </c>
      <c r="CR49" s="4">
        <v>300</v>
      </c>
      <c r="CS49" s="4">
        <v>700</v>
      </c>
      <c r="CT49" s="4">
        <v>1500</v>
      </c>
      <c r="CU49" s="4">
        <v>615.99999999999955</v>
      </c>
      <c r="CV49" s="4">
        <v>1803.9999999999998</v>
      </c>
      <c r="CW49" s="18">
        <v>320.00000000000074</v>
      </c>
      <c r="CX49" s="4">
        <v>4800</v>
      </c>
      <c r="CY49" s="4">
        <v>11200</v>
      </c>
      <c r="CZ49" s="4">
        <v>24000</v>
      </c>
      <c r="DA49" s="4">
        <v>651117</v>
      </c>
      <c r="DB49" s="4">
        <v>356251.99999999994</v>
      </c>
      <c r="DC49" s="18">
        <v>253925.00000000009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18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19"/>
      <c r="DQ49" s="33">
        <v>0</v>
      </c>
      <c r="DR49" s="33">
        <v>0</v>
      </c>
      <c r="DS49" s="33">
        <v>0</v>
      </c>
      <c r="DT49" s="33">
        <v>0</v>
      </c>
      <c r="DU49" s="33">
        <v>0</v>
      </c>
      <c r="DV49" s="33">
        <v>0</v>
      </c>
      <c r="DW49" s="33">
        <v>10306483.199999988</v>
      </c>
      <c r="DX49" s="33">
        <v>492895.20000000007</v>
      </c>
      <c r="DY49" s="33">
        <v>0</v>
      </c>
      <c r="DZ49" s="33">
        <v>0</v>
      </c>
      <c r="EA49" s="19"/>
      <c r="EB49" s="4">
        <v>93161</v>
      </c>
      <c r="EC49" s="4">
        <v>81014</v>
      </c>
      <c r="ED49" s="18">
        <v>110312</v>
      </c>
      <c r="EE49" s="26">
        <v>300</v>
      </c>
      <c r="EF49" s="4">
        <v>700</v>
      </c>
      <c r="EG49" s="18">
        <v>13106</v>
      </c>
      <c r="EH49" s="4">
        <v>2100</v>
      </c>
      <c r="EI49" s="4">
        <v>4146.0000000000009</v>
      </c>
      <c r="EJ49" s="4">
        <v>4498.9999999999991</v>
      </c>
      <c r="EK49" s="19"/>
      <c r="EL49" s="4">
        <v>1352554</v>
      </c>
      <c r="EM49" s="4">
        <v>9298316</v>
      </c>
      <c r="EN49" s="4">
        <v>295</v>
      </c>
      <c r="EO49" s="4">
        <v>0</v>
      </c>
      <c r="EP49" s="11"/>
      <c r="EQ49" s="4">
        <v>44004</v>
      </c>
      <c r="ER49" s="4">
        <v>39980</v>
      </c>
      <c r="ES49" s="4">
        <v>88915</v>
      </c>
      <c r="ET49" s="4">
        <v>0</v>
      </c>
      <c r="EU49" s="4">
        <v>0</v>
      </c>
      <c r="EV49" s="4">
        <v>195454</v>
      </c>
      <c r="EW49" s="4">
        <v>0</v>
      </c>
      <c r="EX49" s="4">
        <v>403</v>
      </c>
      <c r="EY49" s="4">
        <v>518351</v>
      </c>
      <c r="EZ49" s="4">
        <v>754517</v>
      </c>
      <c r="FA49" s="11"/>
      <c r="FB49" s="4">
        <f t="shared" si="21"/>
        <v>158639767.39999998</v>
      </c>
    </row>
    <row r="50" spans="1:158" x14ac:dyDescent="0.2">
      <c r="A50">
        <v>3</v>
      </c>
      <c r="B50" t="s">
        <v>234</v>
      </c>
      <c r="C50" s="4">
        <v>915276</v>
      </c>
      <c r="D50" s="4">
        <v>1338028</v>
      </c>
      <c r="E50" s="4">
        <v>1353717</v>
      </c>
      <c r="F50" s="4">
        <v>1653664</v>
      </c>
      <c r="G50" s="17">
        <v>715</v>
      </c>
      <c r="H50" s="4">
        <v>0</v>
      </c>
      <c r="I50" s="4">
        <v>0</v>
      </c>
      <c r="J50" s="4">
        <v>0</v>
      </c>
      <c r="K50" s="18">
        <v>0</v>
      </c>
      <c r="L50" s="4">
        <v>0</v>
      </c>
      <c r="M50" s="4">
        <v>0</v>
      </c>
      <c r="N50" s="4">
        <v>0</v>
      </c>
      <c r="O50" s="18">
        <v>0</v>
      </c>
      <c r="P50" s="4">
        <v>502</v>
      </c>
      <c r="Q50" s="4">
        <v>0</v>
      </c>
      <c r="R50" s="4">
        <v>0</v>
      </c>
      <c r="S50" s="18">
        <v>0</v>
      </c>
      <c r="T50" s="4">
        <v>0</v>
      </c>
      <c r="U50" s="4">
        <v>0</v>
      </c>
      <c r="V50" s="4">
        <v>0</v>
      </c>
      <c r="W50" s="4">
        <v>0</v>
      </c>
      <c r="X50" s="19"/>
      <c r="Y50" s="4">
        <v>0</v>
      </c>
      <c r="Z50" s="4">
        <v>0</v>
      </c>
      <c r="AA50" s="4">
        <v>0</v>
      </c>
      <c r="AB50" s="4">
        <v>7158606</v>
      </c>
      <c r="AC50" s="72">
        <v>0</v>
      </c>
      <c r="AD50" s="74">
        <v>0</v>
      </c>
      <c r="AE50" s="4">
        <v>0</v>
      </c>
      <c r="AF50" s="4">
        <v>31146106</v>
      </c>
      <c r="AG50" s="4">
        <v>19836818</v>
      </c>
      <c r="AH50" s="4">
        <v>5764508</v>
      </c>
      <c r="AI50" s="19"/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18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18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18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18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18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18">
        <v>0</v>
      </c>
      <c r="BT50" s="4">
        <v>5100</v>
      </c>
      <c r="BU50" s="4">
        <v>11515</v>
      </c>
      <c r="BV50" s="4">
        <v>21683.4</v>
      </c>
      <c r="BW50" s="4">
        <v>1277503</v>
      </c>
      <c r="BX50" s="4">
        <v>641042.6</v>
      </c>
      <c r="BY50" s="18">
        <v>389814.00000000012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18">
        <v>0</v>
      </c>
      <c r="CF50" s="4">
        <v>560625.30000000005</v>
      </c>
      <c r="CG50" s="4">
        <v>1159079.5</v>
      </c>
      <c r="CH50" s="4">
        <v>2102484.2000000002</v>
      </c>
      <c r="CI50" s="4">
        <v>32202406.199999999</v>
      </c>
      <c r="CJ50" s="4">
        <v>13921166.800000001</v>
      </c>
      <c r="CK50" s="18">
        <v>5188140</v>
      </c>
      <c r="CL50" s="4">
        <v>5926.1</v>
      </c>
      <c r="CM50" s="4">
        <v>13300</v>
      </c>
      <c r="CN50" s="4">
        <v>25998.799999999999</v>
      </c>
      <c r="CO50" s="4">
        <v>1440243.8999999997</v>
      </c>
      <c r="CP50" s="4">
        <v>720866.20000000007</v>
      </c>
      <c r="CQ50" s="18">
        <v>369636.00000000012</v>
      </c>
      <c r="CR50" s="4">
        <v>300</v>
      </c>
      <c r="CS50" s="4">
        <v>700</v>
      </c>
      <c r="CT50" s="4">
        <v>1432</v>
      </c>
      <c r="CU50" s="4">
        <v>0</v>
      </c>
      <c r="CV50" s="4">
        <v>1408</v>
      </c>
      <c r="CW50" s="18">
        <v>40</v>
      </c>
      <c r="CX50" s="4">
        <v>4800</v>
      </c>
      <c r="CY50" s="4">
        <v>11200</v>
      </c>
      <c r="CZ50" s="4">
        <v>24000</v>
      </c>
      <c r="DA50" s="4">
        <v>554700</v>
      </c>
      <c r="DB50" s="4">
        <v>293462</v>
      </c>
      <c r="DC50" s="18">
        <v>210226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18">
        <v>0</v>
      </c>
      <c r="DJ50" s="4">
        <v>0</v>
      </c>
      <c r="DK50" s="4">
        <v>0</v>
      </c>
      <c r="DL50" s="4">
        <v>0</v>
      </c>
      <c r="DM50" s="4">
        <v>0</v>
      </c>
      <c r="DN50" s="4">
        <v>0</v>
      </c>
      <c r="DO50" s="4">
        <v>0</v>
      </c>
      <c r="DP50" s="19"/>
      <c r="DQ50" s="33">
        <v>0</v>
      </c>
      <c r="DR50" s="33">
        <v>0</v>
      </c>
      <c r="DS50" s="33">
        <v>0</v>
      </c>
      <c r="DT50" s="33">
        <v>0</v>
      </c>
      <c r="DU50" s="33">
        <v>0</v>
      </c>
      <c r="DV50" s="33">
        <v>0</v>
      </c>
      <c r="DW50" s="33">
        <v>9621547.9999999925</v>
      </c>
      <c r="DX50" s="33">
        <v>441018.40000000008</v>
      </c>
      <c r="DY50" s="33">
        <v>0</v>
      </c>
      <c r="DZ50" s="33">
        <v>0</v>
      </c>
      <c r="EA50" s="19"/>
      <c r="EB50" s="4">
        <v>92950</v>
      </c>
      <c r="EC50" s="4">
        <v>73989</v>
      </c>
      <c r="ED50" s="18">
        <v>79144</v>
      </c>
      <c r="EE50" s="26">
        <v>600</v>
      </c>
      <c r="EF50" s="4">
        <v>1400.0000000000002</v>
      </c>
      <c r="EG50" s="18">
        <v>5854</v>
      </c>
      <c r="EH50" s="4">
        <v>1935</v>
      </c>
      <c r="EI50" s="4">
        <v>2864</v>
      </c>
      <c r="EJ50" s="4">
        <v>3080</v>
      </c>
      <c r="EK50" s="19"/>
      <c r="EL50" s="4">
        <v>1368375</v>
      </c>
      <c r="EM50" s="4">
        <v>8709984</v>
      </c>
      <c r="EN50" s="4">
        <v>567</v>
      </c>
      <c r="EO50" s="4">
        <v>0</v>
      </c>
      <c r="EP50" s="11"/>
      <c r="EQ50" s="4">
        <v>41461</v>
      </c>
      <c r="ER50" s="4">
        <v>39980</v>
      </c>
      <c r="ES50" s="4">
        <v>73834</v>
      </c>
      <c r="ET50" s="4">
        <v>0</v>
      </c>
      <c r="EU50" s="4">
        <v>0</v>
      </c>
      <c r="EV50" s="4">
        <v>195566</v>
      </c>
      <c r="EW50" s="4">
        <v>0</v>
      </c>
      <c r="EX50" s="4">
        <v>403</v>
      </c>
      <c r="EY50" s="4">
        <v>517519</v>
      </c>
      <c r="EZ50" s="4">
        <v>757049</v>
      </c>
      <c r="FA50" s="11"/>
      <c r="FB50" s="4">
        <f t="shared" si="21"/>
        <v>152355859.40000001</v>
      </c>
    </row>
    <row r="51" spans="1:158" x14ac:dyDescent="0.2">
      <c r="A51">
        <v>4</v>
      </c>
      <c r="B51" t="s">
        <v>235</v>
      </c>
      <c r="C51" s="4">
        <v>933957</v>
      </c>
      <c r="D51" s="4">
        <v>1350708</v>
      </c>
      <c r="E51" s="4">
        <v>1347469</v>
      </c>
      <c r="F51" s="4">
        <v>1575425</v>
      </c>
      <c r="G51" s="17">
        <v>855</v>
      </c>
      <c r="H51" s="4">
        <v>0</v>
      </c>
      <c r="I51" s="4">
        <v>0</v>
      </c>
      <c r="J51" s="4">
        <v>0</v>
      </c>
      <c r="K51" s="18">
        <v>0</v>
      </c>
      <c r="L51" s="4">
        <v>0</v>
      </c>
      <c r="M51" s="4">
        <v>0</v>
      </c>
      <c r="N51" s="4">
        <v>0</v>
      </c>
      <c r="O51" s="18">
        <v>0</v>
      </c>
      <c r="P51" s="4">
        <v>544</v>
      </c>
      <c r="Q51" s="4">
        <v>0</v>
      </c>
      <c r="R51" s="4">
        <v>0</v>
      </c>
      <c r="S51" s="18">
        <v>0</v>
      </c>
      <c r="T51" s="4">
        <v>0</v>
      </c>
      <c r="U51" s="4">
        <v>0</v>
      </c>
      <c r="V51" s="4">
        <v>0</v>
      </c>
      <c r="W51" s="4">
        <v>0</v>
      </c>
      <c r="X51" s="19"/>
      <c r="Y51" s="4">
        <v>0</v>
      </c>
      <c r="Z51" s="4">
        <v>0</v>
      </c>
      <c r="AA51" s="4">
        <v>0</v>
      </c>
      <c r="AB51" s="4">
        <v>6800010</v>
      </c>
      <c r="AC51" s="72">
        <v>0</v>
      </c>
      <c r="AD51" s="74">
        <v>0</v>
      </c>
      <c r="AE51" s="4">
        <v>0</v>
      </c>
      <c r="AF51" s="4">
        <v>33445533</v>
      </c>
      <c r="AG51" s="4">
        <v>20616256</v>
      </c>
      <c r="AH51" s="4">
        <v>6024580</v>
      </c>
      <c r="AI51" s="19"/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18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18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18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18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18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18">
        <v>0</v>
      </c>
      <c r="BT51" s="4">
        <v>4800</v>
      </c>
      <c r="BU51" s="4">
        <v>11126</v>
      </c>
      <c r="BV51" s="4">
        <v>22500</v>
      </c>
      <c r="BW51" s="4">
        <v>1239283.9999999998</v>
      </c>
      <c r="BX51" s="4">
        <v>604104</v>
      </c>
      <c r="BY51" s="18">
        <v>508116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18">
        <v>0</v>
      </c>
      <c r="CF51" s="4">
        <v>573167.5</v>
      </c>
      <c r="CG51" s="4">
        <v>1194153.2</v>
      </c>
      <c r="CH51" s="4">
        <v>2162323.9000000004</v>
      </c>
      <c r="CI51" s="4">
        <v>32703290.499999993</v>
      </c>
      <c r="CJ51" s="4">
        <v>12817345.899999997</v>
      </c>
      <c r="CK51" s="18">
        <v>4900436</v>
      </c>
      <c r="CL51" s="4">
        <v>6000</v>
      </c>
      <c r="CM51" s="4">
        <v>13317.5</v>
      </c>
      <c r="CN51" s="4">
        <v>25004</v>
      </c>
      <c r="CO51" s="4">
        <v>1435505.0999999999</v>
      </c>
      <c r="CP51" s="4">
        <v>640069.4</v>
      </c>
      <c r="CQ51" s="18">
        <v>278411.00000000006</v>
      </c>
      <c r="CR51" s="4">
        <v>300</v>
      </c>
      <c r="CS51" s="4">
        <v>700</v>
      </c>
      <c r="CT51" s="4">
        <v>1128</v>
      </c>
      <c r="CU51" s="4">
        <v>0</v>
      </c>
      <c r="CV51" s="4">
        <v>1231.9999999999998</v>
      </c>
      <c r="CW51" s="18">
        <v>640.00000000000023</v>
      </c>
      <c r="CX51" s="4">
        <v>4800</v>
      </c>
      <c r="CY51" s="4">
        <v>11200</v>
      </c>
      <c r="CZ51" s="4">
        <v>24000</v>
      </c>
      <c r="DA51" s="4">
        <v>524566</v>
      </c>
      <c r="DB51" s="4">
        <v>292552</v>
      </c>
      <c r="DC51" s="18">
        <v>190153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18">
        <v>0</v>
      </c>
      <c r="DJ51" s="4">
        <v>0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19"/>
      <c r="DQ51" s="33">
        <v>0</v>
      </c>
      <c r="DR51" s="33">
        <v>0</v>
      </c>
      <c r="DS51" s="33">
        <v>0</v>
      </c>
      <c r="DT51" s="33">
        <v>0</v>
      </c>
      <c r="DU51" s="33">
        <v>0</v>
      </c>
      <c r="DV51" s="33">
        <v>0</v>
      </c>
      <c r="DW51" s="33">
        <v>9905347.9999999981</v>
      </c>
      <c r="DX51" s="33">
        <v>3804983.1999999979</v>
      </c>
      <c r="DY51" s="33">
        <v>0</v>
      </c>
      <c r="DZ51" s="33">
        <v>0</v>
      </c>
      <c r="EA51" s="19"/>
      <c r="EB51" s="4">
        <v>93020</v>
      </c>
      <c r="EC51" s="4">
        <v>75130.999999999985</v>
      </c>
      <c r="ED51" s="18">
        <v>76220</v>
      </c>
      <c r="EE51" s="26">
        <v>300</v>
      </c>
      <c r="EF51" s="4">
        <v>700.00000000000011</v>
      </c>
      <c r="EG51" s="18">
        <v>2357</v>
      </c>
      <c r="EH51" s="4">
        <v>2100</v>
      </c>
      <c r="EI51" s="4">
        <v>3375.0000000000005</v>
      </c>
      <c r="EJ51" s="4">
        <v>2080</v>
      </c>
      <c r="EK51" s="19"/>
      <c r="EL51" s="4">
        <v>1266135</v>
      </c>
      <c r="EM51" s="4">
        <v>8539519</v>
      </c>
      <c r="EN51" s="4">
        <v>349</v>
      </c>
      <c r="EO51" s="4">
        <v>0</v>
      </c>
      <c r="EP51" s="11"/>
      <c r="EQ51" s="4">
        <v>37492</v>
      </c>
      <c r="ER51" s="4">
        <v>39980</v>
      </c>
      <c r="ES51" s="4">
        <v>79539</v>
      </c>
      <c r="ET51" s="4">
        <v>0</v>
      </c>
      <c r="EU51" s="4">
        <v>0</v>
      </c>
      <c r="EV51" s="4">
        <v>197953</v>
      </c>
      <c r="EW51" s="4">
        <v>0</v>
      </c>
      <c r="EX51" s="4">
        <v>403</v>
      </c>
      <c r="EY51" s="4">
        <v>517519</v>
      </c>
      <c r="EZ51" s="4">
        <v>756575</v>
      </c>
      <c r="FA51" s="11"/>
      <c r="FB51" s="4">
        <f t="shared" si="21"/>
        <v>157686640.19999996</v>
      </c>
    </row>
    <row r="52" spans="1:158" x14ac:dyDescent="0.2">
      <c r="A52">
        <v>5</v>
      </c>
      <c r="B52" t="s">
        <v>236</v>
      </c>
      <c r="C52" s="4">
        <v>914483</v>
      </c>
      <c r="D52" s="4">
        <v>1233339</v>
      </c>
      <c r="E52" s="4">
        <v>1137797</v>
      </c>
      <c r="F52" s="4">
        <v>1151675</v>
      </c>
      <c r="G52" s="17">
        <v>399</v>
      </c>
      <c r="H52" s="4">
        <v>0</v>
      </c>
      <c r="I52" s="4">
        <v>0</v>
      </c>
      <c r="J52" s="4">
        <v>0</v>
      </c>
      <c r="K52" s="18">
        <v>0</v>
      </c>
      <c r="L52" s="4">
        <v>0</v>
      </c>
      <c r="M52" s="4">
        <v>0</v>
      </c>
      <c r="N52" s="4">
        <v>0</v>
      </c>
      <c r="O52" s="18">
        <v>0</v>
      </c>
      <c r="P52" s="4">
        <v>494</v>
      </c>
      <c r="Q52" s="4">
        <v>0</v>
      </c>
      <c r="R52" s="4">
        <v>0</v>
      </c>
      <c r="S52" s="18">
        <v>0</v>
      </c>
      <c r="T52" s="4">
        <v>0</v>
      </c>
      <c r="U52" s="4">
        <v>0</v>
      </c>
      <c r="V52" s="4">
        <v>0</v>
      </c>
      <c r="W52" s="4">
        <v>0</v>
      </c>
      <c r="X52" s="19"/>
      <c r="Y52" s="4">
        <v>0</v>
      </c>
      <c r="Z52" s="4">
        <v>0</v>
      </c>
      <c r="AA52" s="4">
        <v>0</v>
      </c>
      <c r="AB52" s="4">
        <v>7855372</v>
      </c>
      <c r="AC52" s="72">
        <v>0</v>
      </c>
      <c r="AD52" s="74">
        <v>0</v>
      </c>
      <c r="AE52" s="4">
        <v>0</v>
      </c>
      <c r="AF52" s="4">
        <v>34144994</v>
      </c>
      <c r="AG52" s="4">
        <v>19957162</v>
      </c>
      <c r="AH52" s="4">
        <v>6241427</v>
      </c>
      <c r="AI52" s="19"/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18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18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18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18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18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18">
        <v>0</v>
      </c>
      <c r="BT52" s="4">
        <v>4800</v>
      </c>
      <c r="BU52" s="4">
        <v>11200</v>
      </c>
      <c r="BV52" s="4">
        <v>23113</v>
      </c>
      <c r="BW52" s="4">
        <v>1695036</v>
      </c>
      <c r="BX52" s="4">
        <v>647407</v>
      </c>
      <c r="BY52" s="18">
        <v>228409.00000000003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18">
        <v>0</v>
      </c>
      <c r="CF52" s="4">
        <v>566155.20000000019</v>
      </c>
      <c r="CG52" s="4">
        <v>1172578.9000000004</v>
      </c>
      <c r="CH52" s="4">
        <v>2147999.1</v>
      </c>
      <c r="CI52" s="4">
        <v>38329786.399999991</v>
      </c>
      <c r="CJ52" s="4">
        <v>13421371.399999995</v>
      </c>
      <c r="CK52" s="18">
        <v>4004576</v>
      </c>
      <c r="CL52" s="4">
        <v>6000</v>
      </c>
      <c r="CM52" s="4">
        <v>13054.3</v>
      </c>
      <c r="CN52" s="4">
        <v>26283</v>
      </c>
      <c r="CO52" s="4">
        <v>1846620.3</v>
      </c>
      <c r="CP52" s="4">
        <v>761806.4</v>
      </c>
      <c r="CQ52" s="18">
        <v>248170.00000000012</v>
      </c>
      <c r="CR52" s="4">
        <v>300</v>
      </c>
      <c r="CS52" s="4">
        <v>700</v>
      </c>
      <c r="CT52" s="4">
        <v>800</v>
      </c>
      <c r="CU52" s="4">
        <v>0</v>
      </c>
      <c r="CV52" s="4">
        <v>0</v>
      </c>
      <c r="CW52" s="18">
        <v>0</v>
      </c>
      <c r="CX52" s="4">
        <v>4200</v>
      </c>
      <c r="CY52" s="4">
        <v>9800</v>
      </c>
      <c r="CZ52" s="4">
        <v>21000</v>
      </c>
      <c r="DA52" s="4">
        <v>455333</v>
      </c>
      <c r="DB52" s="4">
        <v>203210</v>
      </c>
      <c r="DC52" s="18">
        <v>167557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18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19"/>
      <c r="DQ52" s="33">
        <v>0</v>
      </c>
      <c r="DR52" s="33">
        <v>0</v>
      </c>
      <c r="DS52" s="33">
        <v>0</v>
      </c>
      <c r="DT52" s="33">
        <v>0</v>
      </c>
      <c r="DU52" s="33">
        <v>0</v>
      </c>
      <c r="DV52" s="33">
        <v>0</v>
      </c>
      <c r="DW52" s="33">
        <v>8129508.0000000019</v>
      </c>
      <c r="DX52" s="33">
        <v>4263981.5999999996</v>
      </c>
      <c r="DY52" s="33">
        <v>0</v>
      </c>
      <c r="DZ52" s="33">
        <v>0</v>
      </c>
      <c r="EA52" s="19"/>
      <c r="EB52" s="4">
        <v>93977</v>
      </c>
      <c r="EC52" s="4">
        <v>92643</v>
      </c>
      <c r="ED52" s="18">
        <v>38351</v>
      </c>
      <c r="EE52" s="26">
        <v>300</v>
      </c>
      <c r="EF52" s="4">
        <v>700</v>
      </c>
      <c r="EG52" s="18">
        <v>3103</v>
      </c>
      <c r="EH52" s="4">
        <v>1646</v>
      </c>
      <c r="EI52" s="4">
        <v>1772.0000000000002</v>
      </c>
      <c r="EJ52" s="4">
        <v>1760</v>
      </c>
      <c r="EK52" s="19"/>
      <c r="EL52" s="4">
        <v>1223663</v>
      </c>
      <c r="EM52" s="4">
        <v>8507931</v>
      </c>
      <c r="EN52" s="4">
        <v>410</v>
      </c>
      <c r="EO52" s="4">
        <v>0</v>
      </c>
      <c r="EP52" s="11"/>
      <c r="EQ52" s="4">
        <v>32754</v>
      </c>
      <c r="ER52" s="4">
        <v>39938</v>
      </c>
      <c r="ES52" s="4">
        <v>66470</v>
      </c>
      <c r="ET52" s="4">
        <v>2560</v>
      </c>
      <c r="EU52" s="4">
        <v>0</v>
      </c>
      <c r="EV52" s="4">
        <v>180564</v>
      </c>
      <c r="EW52" s="4">
        <v>0</v>
      </c>
      <c r="EX52" s="4">
        <v>403</v>
      </c>
      <c r="EY52" s="4">
        <v>517519</v>
      </c>
      <c r="EZ52" s="4">
        <v>755970</v>
      </c>
      <c r="FA52" s="11"/>
      <c r="FB52" s="4">
        <f t="shared" si="21"/>
        <v>162610331.60000002</v>
      </c>
    </row>
    <row r="53" spans="1:158" x14ac:dyDescent="0.2">
      <c r="A53">
        <v>6</v>
      </c>
      <c r="B53" t="s">
        <v>237</v>
      </c>
      <c r="C53" s="4">
        <v>910374</v>
      </c>
      <c r="D53" s="4">
        <v>1307925</v>
      </c>
      <c r="E53" s="4">
        <v>1415669</v>
      </c>
      <c r="F53" s="4">
        <v>1797912</v>
      </c>
      <c r="G53" s="17">
        <v>543</v>
      </c>
      <c r="H53" s="4">
        <v>0</v>
      </c>
      <c r="I53" s="4">
        <v>0</v>
      </c>
      <c r="J53" s="4">
        <v>0</v>
      </c>
      <c r="K53" s="18">
        <v>0</v>
      </c>
      <c r="L53" s="4">
        <v>0</v>
      </c>
      <c r="M53" s="4">
        <v>0</v>
      </c>
      <c r="N53" s="4">
        <v>0</v>
      </c>
      <c r="O53" s="18">
        <v>0</v>
      </c>
      <c r="P53" s="4">
        <v>518</v>
      </c>
      <c r="Q53" s="4">
        <v>0</v>
      </c>
      <c r="R53" s="4">
        <v>0</v>
      </c>
      <c r="S53" s="18">
        <v>0</v>
      </c>
      <c r="T53" s="4">
        <v>0</v>
      </c>
      <c r="U53" s="4">
        <v>0</v>
      </c>
      <c r="V53" s="4">
        <v>0</v>
      </c>
      <c r="W53" s="4">
        <v>0</v>
      </c>
      <c r="X53" s="19"/>
      <c r="Y53" s="4">
        <v>0</v>
      </c>
      <c r="Z53" s="4">
        <v>0</v>
      </c>
      <c r="AA53" s="4">
        <v>0</v>
      </c>
      <c r="AB53" s="4">
        <v>8165206</v>
      </c>
      <c r="AC53" s="72">
        <v>0</v>
      </c>
      <c r="AD53" s="74">
        <v>0</v>
      </c>
      <c r="AE53" s="4">
        <v>0</v>
      </c>
      <c r="AF53" s="4">
        <v>42282628</v>
      </c>
      <c r="AG53" s="4">
        <v>23164624</v>
      </c>
      <c r="AH53" s="4">
        <v>7200453</v>
      </c>
      <c r="AI53" s="19"/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18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18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18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18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18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18">
        <v>0</v>
      </c>
      <c r="BT53" s="4">
        <v>4800</v>
      </c>
      <c r="BU53" s="4">
        <v>11200</v>
      </c>
      <c r="BV53" s="4">
        <v>22868</v>
      </c>
      <c r="BW53" s="4">
        <v>1915698</v>
      </c>
      <c r="BX53" s="4">
        <v>832750</v>
      </c>
      <c r="BY53" s="18">
        <v>753806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18">
        <v>0</v>
      </c>
      <c r="CF53" s="4">
        <v>566034.80000000005</v>
      </c>
      <c r="CG53" s="4">
        <v>1178435</v>
      </c>
      <c r="CH53" s="4">
        <v>2175256.5</v>
      </c>
      <c r="CI53" s="4">
        <v>39401325.199999996</v>
      </c>
      <c r="CJ53" s="4">
        <v>16558928.5</v>
      </c>
      <c r="CK53" s="18">
        <v>8160429</v>
      </c>
      <c r="CL53" s="4">
        <v>5926.1</v>
      </c>
      <c r="CM53" s="4">
        <v>12706</v>
      </c>
      <c r="CN53" s="4">
        <v>26116.9</v>
      </c>
      <c r="CO53" s="4">
        <v>2160466.9</v>
      </c>
      <c r="CP53" s="4">
        <v>1001933.1</v>
      </c>
      <c r="CQ53" s="18">
        <v>353234.00000000012</v>
      </c>
      <c r="CR53" s="4">
        <v>300</v>
      </c>
      <c r="CS53" s="4">
        <v>340</v>
      </c>
      <c r="CT53" s="4">
        <v>0</v>
      </c>
      <c r="CU53" s="4">
        <v>0</v>
      </c>
      <c r="CV53" s="4">
        <v>0</v>
      </c>
      <c r="CW53" s="18">
        <v>0</v>
      </c>
      <c r="CX53" s="4">
        <v>4800</v>
      </c>
      <c r="CY53" s="4">
        <v>11200</v>
      </c>
      <c r="CZ53" s="4">
        <v>24000</v>
      </c>
      <c r="DA53" s="4">
        <v>460575</v>
      </c>
      <c r="DB53" s="4">
        <v>245114.99999999994</v>
      </c>
      <c r="DC53" s="18">
        <v>288611.00000000006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18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19"/>
      <c r="DQ53" s="33">
        <v>0</v>
      </c>
      <c r="DR53" s="33">
        <v>0</v>
      </c>
      <c r="DS53" s="33">
        <v>0</v>
      </c>
      <c r="DT53" s="33">
        <v>0</v>
      </c>
      <c r="DU53" s="33">
        <v>0</v>
      </c>
      <c r="DV53" s="33">
        <v>0</v>
      </c>
      <c r="DW53" s="33">
        <v>9467526.4000000004</v>
      </c>
      <c r="DX53" s="33">
        <v>3065352.7999999975</v>
      </c>
      <c r="DY53" s="33">
        <v>0</v>
      </c>
      <c r="DZ53" s="33">
        <v>0</v>
      </c>
      <c r="EA53" s="19"/>
      <c r="EB53" s="4">
        <v>102294.99999999999</v>
      </c>
      <c r="EC53" s="4">
        <v>154831.00000000003</v>
      </c>
      <c r="ED53" s="18">
        <v>101229</v>
      </c>
      <c r="EE53" s="26">
        <v>600</v>
      </c>
      <c r="EF53" s="4">
        <v>1400</v>
      </c>
      <c r="EG53" s="18">
        <v>409</v>
      </c>
      <c r="EH53" s="4">
        <v>1192</v>
      </c>
      <c r="EI53" s="4">
        <v>535</v>
      </c>
      <c r="EJ53" s="4">
        <v>0</v>
      </c>
      <c r="EK53" s="19"/>
      <c r="EL53" s="4">
        <v>1175453</v>
      </c>
      <c r="EM53" s="4">
        <v>9420902</v>
      </c>
      <c r="EN53" s="4">
        <v>532</v>
      </c>
      <c r="EO53" s="4">
        <v>0</v>
      </c>
      <c r="EP53" s="11"/>
      <c r="EQ53" s="4">
        <v>31260</v>
      </c>
      <c r="ER53" s="4">
        <v>39938</v>
      </c>
      <c r="ES53" s="4">
        <v>62495</v>
      </c>
      <c r="ET53" s="4">
        <v>3600</v>
      </c>
      <c r="EU53" s="4">
        <v>0</v>
      </c>
      <c r="EV53" s="4">
        <v>184126</v>
      </c>
      <c r="EW53" s="4">
        <v>0</v>
      </c>
      <c r="EX53" s="4">
        <v>403</v>
      </c>
      <c r="EY53" s="4">
        <v>517519</v>
      </c>
      <c r="EZ53" s="4">
        <v>753689</v>
      </c>
      <c r="FA53" s="11"/>
      <c r="FB53" s="4">
        <f t="shared" si="21"/>
        <v>187507994.20000002</v>
      </c>
    </row>
    <row r="54" spans="1:158" x14ac:dyDescent="0.2">
      <c r="A54">
        <v>7</v>
      </c>
      <c r="B54" t="s">
        <v>238</v>
      </c>
      <c r="C54" s="4">
        <v>929873</v>
      </c>
      <c r="D54" s="4">
        <v>1341372</v>
      </c>
      <c r="E54" s="4">
        <v>1517675</v>
      </c>
      <c r="F54" s="4">
        <v>1977114</v>
      </c>
      <c r="G54" s="17">
        <v>539</v>
      </c>
      <c r="H54" s="4">
        <v>0</v>
      </c>
      <c r="I54" s="4">
        <v>0</v>
      </c>
      <c r="J54" s="4">
        <v>0</v>
      </c>
      <c r="K54" s="18">
        <v>0</v>
      </c>
      <c r="L54" s="4">
        <v>0</v>
      </c>
      <c r="M54" s="4">
        <v>0</v>
      </c>
      <c r="N54" s="4">
        <v>0</v>
      </c>
      <c r="O54" s="18">
        <v>0</v>
      </c>
      <c r="P54" s="4">
        <v>514</v>
      </c>
      <c r="Q54" s="4">
        <v>0</v>
      </c>
      <c r="R54" s="4">
        <v>0</v>
      </c>
      <c r="S54" s="18">
        <v>0</v>
      </c>
      <c r="T54" s="4">
        <v>0</v>
      </c>
      <c r="U54" s="4">
        <v>0</v>
      </c>
      <c r="V54" s="4">
        <v>0</v>
      </c>
      <c r="W54" s="4">
        <v>0</v>
      </c>
      <c r="X54" s="19"/>
      <c r="Y54" s="4">
        <v>0</v>
      </c>
      <c r="Z54" s="4">
        <v>0</v>
      </c>
      <c r="AA54" s="4">
        <v>0</v>
      </c>
      <c r="AB54" s="4">
        <v>8423596</v>
      </c>
      <c r="AC54" s="72">
        <v>0</v>
      </c>
      <c r="AD54" s="74">
        <v>0</v>
      </c>
      <c r="AE54" s="4">
        <v>0</v>
      </c>
      <c r="AF54" s="4">
        <v>44080282</v>
      </c>
      <c r="AG54" s="4">
        <v>23754030</v>
      </c>
      <c r="AH54" s="4">
        <v>7495548</v>
      </c>
      <c r="AI54" s="19"/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18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18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18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18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18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18">
        <v>0</v>
      </c>
      <c r="BT54" s="4">
        <v>5100</v>
      </c>
      <c r="BU54" s="4">
        <v>11900</v>
      </c>
      <c r="BV54" s="4">
        <v>25185</v>
      </c>
      <c r="BW54" s="4">
        <v>1595395</v>
      </c>
      <c r="BX54" s="4">
        <v>781731</v>
      </c>
      <c r="BY54" s="18">
        <v>707069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18">
        <v>0</v>
      </c>
      <c r="CF54" s="4">
        <v>565003.29999999981</v>
      </c>
      <c r="CG54" s="4">
        <v>1184102.7</v>
      </c>
      <c r="CH54" s="4">
        <v>2202288.4000000004</v>
      </c>
      <c r="CI54" s="4">
        <v>33231978.399999999</v>
      </c>
      <c r="CJ54" s="4">
        <v>15466731.200000003</v>
      </c>
      <c r="CK54" s="18">
        <v>10566322</v>
      </c>
      <c r="CL54" s="4">
        <v>6171.2</v>
      </c>
      <c r="CM54" s="4">
        <v>12775</v>
      </c>
      <c r="CN54" s="4">
        <v>26738.2</v>
      </c>
      <c r="CO54" s="4">
        <v>1438208.7999999996</v>
      </c>
      <c r="CP54" s="4">
        <v>639113.80000000005</v>
      </c>
      <c r="CQ54" s="18">
        <v>527742.00000000012</v>
      </c>
      <c r="CR54" s="4">
        <v>300</v>
      </c>
      <c r="CS54" s="4">
        <v>700</v>
      </c>
      <c r="CT54" s="4">
        <v>160</v>
      </c>
      <c r="CU54" s="4">
        <v>0</v>
      </c>
      <c r="CV54" s="4">
        <v>0</v>
      </c>
      <c r="CW54" s="18">
        <v>0</v>
      </c>
      <c r="CX54" s="4">
        <v>5100</v>
      </c>
      <c r="CY54" s="4">
        <v>11900</v>
      </c>
      <c r="CZ54" s="4">
        <v>25500</v>
      </c>
      <c r="DA54" s="4">
        <v>467821</v>
      </c>
      <c r="DB54" s="4">
        <v>273275</v>
      </c>
      <c r="DC54" s="18">
        <v>356524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18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19"/>
      <c r="DQ54" s="33">
        <v>0</v>
      </c>
      <c r="DR54" s="33">
        <v>0</v>
      </c>
      <c r="DS54" s="33">
        <v>0</v>
      </c>
      <c r="DT54" s="33">
        <v>0</v>
      </c>
      <c r="DU54" s="33">
        <v>0</v>
      </c>
      <c r="DV54" s="33">
        <v>0</v>
      </c>
      <c r="DW54" s="33">
        <v>9998464.8000000026</v>
      </c>
      <c r="DX54" s="33">
        <v>2596859.9999999981</v>
      </c>
      <c r="DY54" s="33">
        <v>0</v>
      </c>
      <c r="DZ54" s="33">
        <v>0</v>
      </c>
      <c r="EA54" s="19"/>
      <c r="EB54" s="4">
        <v>137932</v>
      </c>
      <c r="EC54" s="4">
        <v>173650</v>
      </c>
      <c r="ED54" s="18">
        <v>104155</v>
      </c>
      <c r="EE54" s="26">
        <v>300</v>
      </c>
      <c r="EF54" s="4">
        <v>700</v>
      </c>
      <c r="EG54" s="18">
        <v>738</v>
      </c>
      <c r="EH54" s="4">
        <v>1257</v>
      </c>
      <c r="EI54" s="4">
        <v>880.00000000000023</v>
      </c>
      <c r="EJ54" s="4">
        <v>253</v>
      </c>
      <c r="EK54" s="19"/>
      <c r="EL54" s="4">
        <v>1198806</v>
      </c>
      <c r="EM54" s="4">
        <v>9600353</v>
      </c>
      <c r="EN54" s="4">
        <v>470</v>
      </c>
      <c r="EO54" s="4">
        <v>0</v>
      </c>
      <c r="EP54" s="11"/>
      <c r="EQ54" s="4">
        <v>30469</v>
      </c>
      <c r="ER54" s="4">
        <v>39980</v>
      </c>
      <c r="ES54" s="4">
        <v>51463</v>
      </c>
      <c r="ET54" s="4">
        <v>3680</v>
      </c>
      <c r="EU54" s="4">
        <v>0</v>
      </c>
      <c r="EV54" s="4">
        <v>189069</v>
      </c>
      <c r="EW54" s="4">
        <v>0</v>
      </c>
      <c r="EX54" s="4">
        <v>403</v>
      </c>
      <c r="EY54" s="4">
        <v>518403</v>
      </c>
      <c r="EZ54" s="4">
        <v>758185</v>
      </c>
      <c r="FA54" s="11"/>
      <c r="FB54" s="4">
        <f t="shared" si="21"/>
        <v>185061848.80000001</v>
      </c>
    </row>
    <row r="55" spans="1:158" x14ac:dyDescent="0.2">
      <c r="A55">
        <v>8</v>
      </c>
      <c r="B55" t="s">
        <v>239</v>
      </c>
      <c r="C55" s="4">
        <v>913491</v>
      </c>
      <c r="D55" s="4">
        <v>1332680</v>
      </c>
      <c r="E55" s="4">
        <v>1522426</v>
      </c>
      <c r="F55" s="4">
        <v>2002335</v>
      </c>
      <c r="G55" s="17">
        <v>574</v>
      </c>
      <c r="H55" s="4">
        <v>0</v>
      </c>
      <c r="I55" s="4">
        <v>0</v>
      </c>
      <c r="J55" s="4">
        <v>0</v>
      </c>
      <c r="K55" s="18">
        <v>0</v>
      </c>
      <c r="L55" s="4">
        <v>0</v>
      </c>
      <c r="M55" s="4">
        <v>0</v>
      </c>
      <c r="N55" s="4">
        <v>0</v>
      </c>
      <c r="O55" s="18">
        <v>0</v>
      </c>
      <c r="P55" s="4">
        <v>487</v>
      </c>
      <c r="Q55" s="4">
        <v>0</v>
      </c>
      <c r="R55" s="4">
        <v>0</v>
      </c>
      <c r="S55" s="18">
        <v>0</v>
      </c>
      <c r="T55" s="4">
        <v>0</v>
      </c>
      <c r="U55" s="4">
        <v>0</v>
      </c>
      <c r="V55" s="4">
        <v>0</v>
      </c>
      <c r="W55" s="4">
        <v>0</v>
      </c>
      <c r="X55" s="19"/>
      <c r="Y55" s="4">
        <v>0</v>
      </c>
      <c r="Z55" s="4">
        <v>0</v>
      </c>
      <c r="AA55" s="4">
        <v>0</v>
      </c>
      <c r="AB55" s="4">
        <v>8266180</v>
      </c>
      <c r="AC55" s="72">
        <v>0</v>
      </c>
      <c r="AD55" s="74">
        <v>0</v>
      </c>
      <c r="AE55" s="4">
        <v>0</v>
      </c>
      <c r="AF55" s="4">
        <v>42081462</v>
      </c>
      <c r="AG55" s="4">
        <v>22782527</v>
      </c>
      <c r="AH55" s="4">
        <v>7830452</v>
      </c>
      <c r="AI55" s="19"/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18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18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18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18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18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18">
        <v>0</v>
      </c>
      <c r="BT55" s="4">
        <v>5100</v>
      </c>
      <c r="BU55" s="4">
        <v>11900</v>
      </c>
      <c r="BV55" s="4">
        <v>25356</v>
      </c>
      <c r="BW55" s="4">
        <v>1821641</v>
      </c>
      <c r="BX55" s="4">
        <v>763737</v>
      </c>
      <c r="BY55" s="18">
        <v>832053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18">
        <v>0</v>
      </c>
      <c r="CF55" s="4">
        <v>559174.89999999991</v>
      </c>
      <c r="CG55" s="4">
        <v>1166214.0000000005</v>
      </c>
      <c r="CH55" s="4">
        <v>2187280.5</v>
      </c>
      <c r="CI55" s="4">
        <v>40654394.399999991</v>
      </c>
      <c r="CJ55" s="4">
        <v>17500991.199999999</v>
      </c>
      <c r="CK55" s="18">
        <v>8087028</v>
      </c>
      <c r="CL55" s="4">
        <v>5910</v>
      </c>
      <c r="CM55" s="4">
        <v>12913</v>
      </c>
      <c r="CN55" s="4">
        <v>27000</v>
      </c>
      <c r="CO55" s="4">
        <v>1964646.5999999999</v>
      </c>
      <c r="CP55" s="4">
        <v>841026.39999999991</v>
      </c>
      <c r="CQ55" s="18">
        <v>355312.00000000017</v>
      </c>
      <c r="CR55" s="4">
        <v>300</v>
      </c>
      <c r="CS55" s="4">
        <v>660</v>
      </c>
      <c r="CT55" s="4">
        <v>0</v>
      </c>
      <c r="CU55" s="4">
        <v>0</v>
      </c>
      <c r="CV55" s="4">
        <v>0</v>
      </c>
      <c r="CW55" s="18">
        <v>0</v>
      </c>
      <c r="CX55" s="4">
        <v>5100</v>
      </c>
      <c r="CY55" s="4">
        <v>11900</v>
      </c>
      <c r="CZ55" s="4">
        <v>25500</v>
      </c>
      <c r="DA55" s="4">
        <v>489443</v>
      </c>
      <c r="DB55" s="4">
        <v>251022</v>
      </c>
      <c r="DC55" s="18">
        <v>336302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18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19"/>
      <c r="DQ55" s="33">
        <v>0</v>
      </c>
      <c r="DR55" s="33">
        <v>0</v>
      </c>
      <c r="DS55" s="33">
        <v>0</v>
      </c>
      <c r="DT55" s="33">
        <v>0</v>
      </c>
      <c r="DU55" s="33">
        <v>0</v>
      </c>
      <c r="DV55" s="33">
        <v>0</v>
      </c>
      <c r="DW55" s="33">
        <v>11375516.79999999</v>
      </c>
      <c r="DX55" s="33">
        <v>2920841.5999999987</v>
      </c>
      <c r="DY55" s="33">
        <v>0</v>
      </c>
      <c r="DZ55" s="33">
        <v>0</v>
      </c>
      <c r="EA55" s="19"/>
      <c r="EB55" s="4">
        <v>135957</v>
      </c>
      <c r="EC55" s="4">
        <v>172830.00000000003</v>
      </c>
      <c r="ED55" s="18">
        <v>101232</v>
      </c>
      <c r="EE55" s="26">
        <v>300</v>
      </c>
      <c r="EF55" s="4">
        <v>700</v>
      </c>
      <c r="EG55" s="18">
        <v>273</v>
      </c>
      <c r="EH55" s="4">
        <v>988</v>
      </c>
      <c r="EI55" s="4">
        <v>839.99999999999989</v>
      </c>
      <c r="EJ55" s="4">
        <v>240</v>
      </c>
      <c r="EK55" s="19"/>
      <c r="EL55" s="4">
        <v>1120366</v>
      </c>
      <c r="EM55" s="4">
        <v>8963616</v>
      </c>
      <c r="EN55" s="4">
        <v>462</v>
      </c>
      <c r="EO55" s="4">
        <v>0</v>
      </c>
      <c r="EP55" s="11"/>
      <c r="EQ55" s="4">
        <v>30820</v>
      </c>
      <c r="ER55" s="4">
        <v>39980</v>
      </c>
      <c r="ES55" s="4">
        <v>54083</v>
      </c>
      <c r="ET55" s="4">
        <v>4000</v>
      </c>
      <c r="EU55" s="4">
        <v>366</v>
      </c>
      <c r="EV55" s="4">
        <v>187052</v>
      </c>
      <c r="EW55" s="4">
        <v>0</v>
      </c>
      <c r="EX55" s="4">
        <v>403</v>
      </c>
      <c r="EY55" s="4">
        <v>518295</v>
      </c>
      <c r="EZ55" s="4">
        <v>757240</v>
      </c>
      <c r="FA55" s="11"/>
      <c r="FB55" s="4">
        <f t="shared" si="21"/>
        <v>191060920.39999998</v>
      </c>
    </row>
    <row r="56" spans="1:158" x14ac:dyDescent="0.2">
      <c r="A56">
        <v>9</v>
      </c>
      <c r="B56" t="s">
        <v>240</v>
      </c>
      <c r="C56" s="4">
        <v>914002</v>
      </c>
      <c r="D56" s="4">
        <v>1283825</v>
      </c>
      <c r="E56" s="4">
        <v>1349834</v>
      </c>
      <c r="F56" s="4">
        <v>1485693</v>
      </c>
      <c r="G56" s="17">
        <v>537</v>
      </c>
      <c r="H56" s="4">
        <v>0</v>
      </c>
      <c r="I56" s="4">
        <v>0</v>
      </c>
      <c r="J56" s="4">
        <v>0</v>
      </c>
      <c r="K56" s="18">
        <v>0</v>
      </c>
      <c r="L56" s="4">
        <v>0</v>
      </c>
      <c r="M56" s="4">
        <v>0</v>
      </c>
      <c r="N56" s="4">
        <v>0</v>
      </c>
      <c r="O56" s="18">
        <v>0</v>
      </c>
      <c r="P56" s="4">
        <v>494</v>
      </c>
      <c r="Q56" s="4">
        <v>0</v>
      </c>
      <c r="R56" s="4">
        <v>0</v>
      </c>
      <c r="S56" s="18">
        <v>0</v>
      </c>
      <c r="T56" s="4">
        <v>0</v>
      </c>
      <c r="U56" s="4">
        <v>0</v>
      </c>
      <c r="V56" s="4">
        <v>0</v>
      </c>
      <c r="W56" s="4">
        <v>0</v>
      </c>
      <c r="X56" s="19"/>
      <c r="Y56" s="4">
        <v>0</v>
      </c>
      <c r="Z56" s="4">
        <v>0</v>
      </c>
      <c r="AA56" s="4">
        <v>0</v>
      </c>
      <c r="AB56" s="4">
        <v>7576652</v>
      </c>
      <c r="AC56" s="72">
        <v>0</v>
      </c>
      <c r="AD56" s="74">
        <v>0</v>
      </c>
      <c r="AE56" s="4">
        <v>0</v>
      </c>
      <c r="AF56" s="4">
        <v>42855741</v>
      </c>
      <c r="AG56" s="4">
        <v>22261451</v>
      </c>
      <c r="AH56" s="4">
        <v>7114937</v>
      </c>
      <c r="AI56" s="19"/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18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18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18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18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18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18">
        <v>0</v>
      </c>
      <c r="BT56" s="4">
        <v>5100</v>
      </c>
      <c r="BU56" s="4">
        <v>11900</v>
      </c>
      <c r="BV56" s="4">
        <v>24357</v>
      </c>
      <c r="BW56" s="4">
        <v>1980124.9999999998</v>
      </c>
      <c r="BX56" s="4">
        <v>857213</v>
      </c>
      <c r="BY56" s="18">
        <v>498837.00000000012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18">
        <v>0</v>
      </c>
      <c r="CF56" s="4">
        <v>559680.89999999991</v>
      </c>
      <c r="CG56" s="4">
        <v>1166042.8999999997</v>
      </c>
      <c r="CH56" s="4">
        <v>2163360.7999999998</v>
      </c>
      <c r="CI56" s="4">
        <v>42837126.600000001</v>
      </c>
      <c r="CJ56" s="4">
        <v>18085994.799999997</v>
      </c>
      <c r="CK56" s="18">
        <v>7466644</v>
      </c>
      <c r="CL56" s="4">
        <v>6000</v>
      </c>
      <c r="CM56" s="4">
        <v>13576</v>
      </c>
      <c r="CN56" s="4">
        <v>27379</v>
      </c>
      <c r="CO56" s="4">
        <v>2129360.3999999994</v>
      </c>
      <c r="CP56" s="4">
        <v>1039087.6</v>
      </c>
      <c r="CQ56" s="18">
        <v>455015.00000000012</v>
      </c>
      <c r="CR56" s="4">
        <v>300</v>
      </c>
      <c r="CS56" s="4">
        <v>380</v>
      </c>
      <c r="CT56" s="4">
        <v>0</v>
      </c>
      <c r="CU56" s="4">
        <v>0</v>
      </c>
      <c r="CV56" s="4">
        <v>0</v>
      </c>
      <c r="CW56" s="18">
        <v>0</v>
      </c>
      <c r="CX56" s="4">
        <v>5100</v>
      </c>
      <c r="CY56" s="4">
        <v>11900</v>
      </c>
      <c r="CZ56" s="4">
        <v>25500</v>
      </c>
      <c r="DA56" s="4">
        <v>491406</v>
      </c>
      <c r="DB56" s="4">
        <v>231526.99999999994</v>
      </c>
      <c r="DC56" s="18">
        <v>329442.00000000006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18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19"/>
      <c r="DQ56" s="33">
        <v>0</v>
      </c>
      <c r="DR56" s="33">
        <v>0</v>
      </c>
      <c r="DS56" s="33">
        <v>0</v>
      </c>
      <c r="DT56" s="33">
        <v>0</v>
      </c>
      <c r="DU56" s="33">
        <v>0</v>
      </c>
      <c r="DV56" s="33">
        <v>0</v>
      </c>
      <c r="DW56" s="33">
        <v>11352612.799999993</v>
      </c>
      <c r="DX56" s="33">
        <v>1811502.4</v>
      </c>
      <c r="DY56" s="33">
        <v>0</v>
      </c>
      <c r="DZ56" s="33">
        <v>0</v>
      </c>
      <c r="EA56" s="19"/>
      <c r="EB56" s="4">
        <v>133253</v>
      </c>
      <c r="EC56" s="4">
        <v>139418</v>
      </c>
      <c r="ED56" s="18">
        <v>66910</v>
      </c>
      <c r="EE56" s="26">
        <v>300</v>
      </c>
      <c r="EF56" s="4">
        <v>699.99999999999989</v>
      </c>
      <c r="EG56" s="18">
        <v>46.000000000000114</v>
      </c>
      <c r="EH56" s="4">
        <v>1052</v>
      </c>
      <c r="EI56" s="4">
        <v>224.00000000000003</v>
      </c>
      <c r="EJ56" s="4">
        <v>0</v>
      </c>
      <c r="EK56" s="19"/>
      <c r="EL56" s="4">
        <v>1130249</v>
      </c>
      <c r="EM56" s="4">
        <v>9446971</v>
      </c>
      <c r="EN56" s="4">
        <v>360</v>
      </c>
      <c r="EO56" s="4">
        <v>0</v>
      </c>
      <c r="EP56" s="11"/>
      <c r="EQ56" s="4">
        <v>27230</v>
      </c>
      <c r="ER56" s="4">
        <v>39980</v>
      </c>
      <c r="ES56" s="4">
        <v>60137</v>
      </c>
      <c r="ET56" s="4">
        <v>3520</v>
      </c>
      <c r="EU56" s="4">
        <v>1120</v>
      </c>
      <c r="EV56" s="4">
        <v>194815</v>
      </c>
      <c r="EW56" s="4">
        <v>0</v>
      </c>
      <c r="EX56" s="4">
        <v>403</v>
      </c>
      <c r="EY56" s="4">
        <v>518295</v>
      </c>
      <c r="EZ56" s="4">
        <v>757240</v>
      </c>
      <c r="FA56" s="11"/>
      <c r="FB56" s="4">
        <f t="shared" si="21"/>
        <v>190951859.19999999</v>
      </c>
    </row>
    <row r="57" spans="1:158" x14ac:dyDescent="0.2">
      <c r="A57">
        <v>10</v>
      </c>
      <c r="B57" t="s">
        <v>241</v>
      </c>
      <c r="C57" s="4">
        <v>909199</v>
      </c>
      <c r="D57" s="4">
        <v>1238066</v>
      </c>
      <c r="E57" s="4">
        <v>1239951</v>
      </c>
      <c r="F57" s="4">
        <v>1282526</v>
      </c>
      <c r="G57" s="17">
        <v>528</v>
      </c>
      <c r="H57" s="4">
        <v>0</v>
      </c>
      <c r="I57" s="4">
        <v>0</v>
      </c>
      <c r="J57" s="4">
        <v>0</v>
      </c>
      <c r="K57" s="18">
        <v>0</v>
      </c>
      <c r="L57" s="4">
        <v>0</v>
      </c>
      <c r="M57" s="4">
        <v>0</v>
      </c>
      <c r="N57" s="4">
        <v>0</v>
      </c>
      <c r="O57" s="18">
        <v>0</v>
      </c>
      <c r="P57" s="4">
        <v>512</v>
      </c>
      <c r="Q57" s="4">
        <v>0</v>
      </c>
      <c r="R57" s="4">
        <v>0</v>
      </c>
      <c r="S57" s="18">
        <v>0</v>
      </c>
      <c r="T57" s="4">
        <v>0</v>
      </c>
      <c r="U57" s="4">
        <v>0</v>
      </c>
      <c r="V57" s="4">
        <v>0</v>
      </c>
      <c r="W57" s="4">
        <v>0</v>
      </c>
      <c r="X57" s="19"/>
      <c r="Y57" s="4">
        <v>0</v>
      </c>
      <c r="Z57" s="4">
        <v>0</v>
      </c>
      <c r="AA57" s="4">
        <v>0</v>
      </c>
      <c r="AB57" s="4">
        <v>7336580</v>
      </c>
      <c r="AC57" s="72">
        <v>0</v>
      </c>
      <c r="AD57" s="74">
        <v>0</v>
      </c>
      <c r="AE57" s="4">
        <v>0</v>
      </c>
      <c r="AF57" s="4">
        <v>41242250</v>
      </c>
      <c r="AG57" s="4">
        <v>20892436</v>
      </c>
      <c r="AH57" s="4">
        <v>6811507</v>
      </c>
      <c r="AI57" s="19"/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18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18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18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18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18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18">
        <v>0</v>
      </c>
      <c r="BT57" s="4">
        <v>5100</v>
      </c>
      <c r="BU57" s="4">
        <v>11900</v>
      </c>
      <c r="BV57" s="4">
        <v>24364</v>
      </c>
      <c r="BW57" s="4">
        <v>1879973</v>
      </c>
      <c r="BX57" s="4">
        <v>843667</v>
      </c>
      <c r="BY57" s="18">
        <v>662564.00000000012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18">
        <v>0</v>
      </c>
      <c r="CF57" s="4">
        <v>562404</v>
      </c>
      <c r="CG57" s="4">
        <v>1160985.2999999998</v>
      </c>
      <c r="CH57" s="4">
        <v>2138357.6999999993</v>
      </c>
      <c r="CI57" s="4">
        <v>41550072.299999997</v>
      </c>
      <c r="CJ57" s="4">
        <v>16187447.699999997</v>
      </c>
      <c r="CK57" s="18">
        <v>5722535</v>
      </c>
      <c r="CL57" s="4">
        <v>6000</v>
      </c>
      <c r="CM57" s="4">
        <v>13759</v>
      </c>
      <c r="CN57" s="4">
        <v>27526</v>
      </c>
      <c r="CO57" s="4">
        <v>2174327.6</v>
      </c>
      <c r="CP57" s="4">
        <v>1066169.3999999999</v>
      </c>
      <c r="CQ57" s="18">
        <v>267475.00000000012</v>
      </c>
      <c r="CR57" s="4">
        <v>300</v>
      </c>
      <c r="CS57" s="4">
        <v>700</v>
      </c>
      <c r="CT57" s="4">
        <v>80</v>
      </c>
      <c r="CU57" s="4">
        <v>0</v>
      </c>
      <c r="CV57" s="4">
        <v>0</v>
      </c>
      <c r="CW57" s="18">
        <v>0</v>
      </c>
      <c r="CX57" s="4">
        <v>5100</v>
      </c>
      <c r="CY57" s="4">
        <v>11900</v>
      </c>
      <c r="CZ57" s="4">
        <v>25500</v>
      </c>
      <c r="DA57" s="4">
        <v>458642</v>
      </c>
      <c r="DB57" s="4">
        <v>252492</v>
      </c>
      <c r="DC57" s="18">
        <v>322333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18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19"/>
      <c r="DQ57" s="33">
        <v>0</v>
      </c>
      <c r="DR57" s="33">
        <v>0</v>
      </c>
      <c r="DS57" s="33">
        <v>0</v>
      </c>
      <c r="DT57" s="33">
        <v>0</v>
      </c>
      <c r="DU57" s="33">
        <v>0</v>
      </c>
      <c r="DV57" s="33">
        <v>0</v>
      </c>
      <c r="DW57" s="33">
        <v>9113545.5999999996</v>
      </c>
      <c r="DX57" s="33">
        <v>6447557.6000000052</v>
      </c>
      <c r="DY57" s="33">
        <v>0</v>
      </c>
      <c r="DZ57" s="33">
        <v>0</v>
      </c>
      <c r="EA57" s="19"/>
      <c r="EB57" s="4">
        <v>132331</v>
      </c>
      <c r="EC57" s="4">
        <v>131642</v>
      </c>
      <c r="ED57" s="18">
        <v>59242</v>
      </c>
      <c r="EE57" s="26">
        <v>300</v>
      </c>
      <c r="EF57" s="4">
        <v>700</v>
      </c>
      <c r="EG57" s="18">
        <v>44</v>
      </c>
      <c r="EH57" s="4">
        <v>896</v>
      </c>
      <c r="EI57" s="4">
        <v>219.99999999999997</v>
      </c>
      <c r="EJ57" s="4">
        <v>0</v>
      </c>
      <c r="EK57" s="19"/>
      <c r="EL57" s="4">
        <v>1110400</v>
      </c>
      <c r="EM57" s="4">
        <v>8374279</v>
      </c>
      <c r="EN57" s="4">
        <v>405</v>
      </c>
      <c r="EO57" s="4">
        <v>0</v>
      </c>
      <c r="EP57" s="11"/>
      <c r="EQ57" s="4">
        <v>37170</v>
      </c>
      <c r="ER57" s="4">
        <v>39980</v>
      </c>
      <c r="ES57" s="4">
        <v>67063</v>
      </c>
      <c r="ET57" s="4">
        <v>3680</v>
      </c>
      <c r="EU57" s="4">
        <v>1636</v>
      </c>
      <c r="EV57" s="4">
        <v>192503</v>
      </c>
      <c r="EW57" s="4">
        <v>0</v>
      </c>
      <c r="EX57" s="4">
        <v>403</v>
      </c>
      <c r="EY57" s="4">
        <v>518295</v>
      </c>
      <c r="EZ57" s="4">
        <v>757716</v>
      </c>
      <c r="FA57" s="11"/>
      <c r="FB57" s="4">
        <f t="shared" si="21"/>
        <v>183325237.19999999</v>
      </c>
    </row>
    <row r="58" spans="1:158" x14ac:dyDescent="0.2">
      <c r="A58">
        <v>11</v>
      </c>
      <c r="B58" t="s">
        <v>242</v>
      </c>
      <c r="C58" s="4">
        <v>923966</v>
      </c>
      <c r="D58" s="4">
        <v>1269535</v>
      </c>
      <c r="E58" s="4">
        <v>1185647</v>
      </c>
      <c r="F58" s="18">
        <v>1132737</v>
      </c>
      <c r="G58" s="17">
        <v>512</v>
      </c>
      <c r="H58" s="4">
        <v>0</v>
      </c>
      <c r="I58" s="4">
        <v>0</v>
      </c>
      <c r="J58" s="4">
        <v>0</v>
      </c>
      <c r="K58" s="18">
        <v>0</v>
      </c>
      <c r="L58" s="4">
        <v>0</v>
      </c>
      <c r="M58" s="4">
        <v>0</v>
      </c>
      <c r="N58" s="4">
        <v>0</v>
      </c>
      <c r="O58" s="18">
        <v>0</v>
      </c>
      <c r="P58" s="4">
        <v>501</v>
      </c>
      <c r="Q58" s="4">
        <v>0</v>
      </c>
      <c r="R58" s="4">
        <v>0</v>
      </c>
      <c r="S58" s="18">
        <v>0</v>
      </c>
      <c r="T58" s="4">
        <v>0</v>
      </c>
      <c r="U58" s="4">
        <v>0</v>
      </c>
      <c r="V58" s="4">
        <v>0</v>
      </c>
      <c r="W58" s="4">
        <v>0</v>
      </c>
      <c r="X58" s="19"/>
      <c r="Y58" s="4">
        <v>0</v>
      </c>
      <c r="Z58" s="4">
        <v>0</v>
      </c>
      <c r="AA58" s="4">
        <v>0</v>
      </c>
      <c r="AB58" s="4">
        <v>6402994</v>
      </c>
      <c r="AC58" s="72">
        <v>0</v>
      </c>
      <c r="AD58" s="74">
        <v>0</v>
      </c>
      <c r="AE58" s="4">
        <v>0</v>
      </c>
      <c r="AF58" s="4">
        <v>35714890</v>
      </c>
      <c r="AG58" s="4">
        <v>19187079</v>
      </c>
      <c r="AH58" s="4">
        <v>5595702</v>
      </c>
      <c r="AI58" s="19"/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18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18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18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18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18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18">
        <v>0</v>
      </c>
      <c r="BT58" s="4">
        <v>5100</v>
      </c>
      <c r="BU58" s="4">
        <v>11356</v>
      </c>
      <c r="BV58" s="4">
        <v>23552</v>
      </c>
      <c r="BW58" s="4">
        <v>1625478</v>
      </c>
      <c r="BX58" s="4">
        <v>788226</v>
      </c>
      <c r="BY58" s="18">
        <v>514103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18">
        <v>0</v>
      </c>
      <c r="CF58" s="4">
        <v>561601.79999999981</v>
      </c>
      <c r="CG58" s="4">
        <v>1162239.5</v>
      </c>
      <c r="CH58" s="4">
        <v>2095852.9999999998</v>
      </c>
      <c r="CI58" s="4">
        <v>34296298.100000001</v>
      </c>
      <c r="CJ58" s="4">
        <v>13127598.599999996</v>
      </c>
      <c r="CK58" s="18">
        <v>4198844.0000000009</v>
      </c>
      <c r="CL58" s="4">
        <v>5926.1</v>
      </c>
      <c r="CM58" s="4">
        <v>13137</v>
      </c>
      <c r="CN58" s="4">
        <v>27000</v>
      </c>
      <c r="CO58" s="4">
        <v>1736285.2999999998</v>
      </c>
      <c r="CP58" s="4">
        <v>625208.60000000009</v>
      </c>
      <c r="CQ58" s="18">
        <v>238583.00000000006</v>
      </c>
      <c r="CR58" s="4">
        <v>300</v>
      </c>
      <c r="CS58" s="4">
        <v>540</v>
      </c>
      <c r="CT58" s="4">
        <v>0</v>
      </c>
      <c r="CU58" s="4">
        <v>0</v>
      </c>
      <c r="CV58" s="4">
        <v>0</v>
      </c>
      <c r="CW58" s="18">
        <v>0</v>
      </c>
      <c r="CX58" s="4">
        <v>5100</v>
      </c>
      <c r="CY58" s="4">
        <v>11900</v>
      </c>
      <c r="CZ58" s="4">
        <v>25500</v>
      </c>
      <c r="DA58" s="4">
        <v>506476</v>
      </c>
      <c r="DB58" s="4">
        <v>232744</v>
      </c>
      <c r="DC58" s="18">
        <v>256367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18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19"/>
      <c r="DQ58" s="33">
        <v>0</v>
      </c>
      <c r="DR58" s="33">
        <v>0</v>
      </c>
      <c r="DS58" s="33">
        <v>0</v>
      </c>
      <c r="DT58" s="33">
        <v>0</v>
      </c>
      <c r="DU58" s="33">
        <v>0</v>
      </c>
      <c r="DV58" s="33">
        <v>0</v>
      </c>
      <c r="DW58" s="33">
        <v>8957103.1999999993</v>
      </c>
      <c r="DX58" s="33">
        <v>7389966.4000000004</v>
      </c>
      <c r="DY58" s="33">
        <v>0</v>
      </c>
      <c r="DZ58" s="33">
        <v>0</v>
      </c>
      <c r="EA58" s="19"/>
      <c r="EB58" s="4">
        <v>107769</v>
      </c>
      <c r="EC58" s="4">
        <v>81945</v>
      </c>
      <c r="ED58" s="18">
        <v>54237</v>
      </c>
      <c r="EE58" s="26">
        <v>300</v>
      </c>
      <c r="EF58" s="4">
        <v>700.00000000000011</v>
      </c>
      <c r="EG58" s="18">
        <v>2086</v>
      </c>
      <c r="EH58" s="4">
        <v>1005</v>
      </c>
      <c r="EI58" s="4">
        <v>700</v>
      </c>
      <c r="EJ58" s="4">
        <v>160</v>
      </c>
      <c r="EK58" s="19"/>
      <c r="EL58" s="4">
        <v>1191456</v>
      </c>
      <c r="EM58" s="4">
        <v>8106116</v>
      </c>
      <c r="EN58" s="4">
        <v>383</v>
      </c>
      <c r="EO58" s="4">
        <v>0</v>
      </c>
      <c r="EP58" s="11"/>
      <c r="EQ58" s="4">
        <v>43315</v>
      </c>
      <c r="ER58" s="4">
        <v>39980</v>
      </c>
      <c r="ES58" s="4">
        <v>83176</v>
      </c>
      <c r="ET58" s="4">
        <v>1440</v>
      </c>
      <c r="EU58" s="4">
        <v>1183</v>
      </c>
      <c r="EV58" s="4">
        <v>202447</v>
      </c>
      <c r="EW58" s="4">
        <v>0</v>
      </c>
      <c r="EX58" s="4">
        <v>403</v>
      </c>
      <c r="EY58" s="4">
        <v>518295</v>
      </c>
      <c r="EZ58" s="4">
        <v>756791</v>
      </c>
      <c r="FA58" s="11"/>
      <c r="FB58" s="4">
        <f t="shared" si="21"/>
        <v>161049836.59999999</v>
      </c>
    </row>
    <row r="59" spans="1:158" x14ac:dyDescent="0.2">
      <c r="A59">
        <v>12</v>
      </c>
      <c r="B59" t="s">
        <v>243</v>
      </c>
      <c r="C59" s="4">
        <v>941325</v>
      </c>
      <c r="D59" s="4">
        <v>1384712</v>
      </c>
      <c r="E59" s="4">
        <v>1441055</v>
      </c>
      <c r="F59" s="18">
        <v>1727789</v>
      </c>
      <c r="G59" s="17">
        <v>759</v>
      </c>
      <c r="H59" s="4">
        <v>0</v>
      </c>
      <c r="I59" s="4">
        <v>0</v>
      </c>
      <c r="J59" s="4">
        <v>0</v>
      </c>
      <c r="K59" s="18">
        <v>0</v>
      </c>
      <c r="L59" s="4">
        <v>0</v>
      </c>
      <c r="M59" s="4">
        <v>0</v>
      </c>
      <c r="N59" s="4">
        <v>0</v>
      </c>
      <c r="O59" s="18">
        <v>0</v>
      </c>
      <c r="P59" s="4">
        <v>532</v>
      </c>
      <c r="Q59" s="4">
        <v>0</v>
      </c>
      <c r="R59" s="4">
        <v>0</v>
      </c>
      <c r="S59" s="18">
        <v>0</v>
      </c>
      <c r="T59" s="4">
        <v>0</v>
      </c>
      <c r="U59" s="4">
        <v>0</v>
      </c>
      <c r="V59" s="4">
        <v>0</v>
      </c>
      <c r="W59" s="4">
        <v>0</v>
      </c>
      <c r="X59" s="19"/>
      <c r="Y59" s="4">
        <v>0</v>
      </c>
      <c r="Z59" s="4">
        <v>0</v>
      </c>
      <c r="AA59" s="4">
        <v>0</v>
      </c>
      <c r="AB59" s="4">
        <v>6821554</v>
      </c>
      <c r="AC59" s="72">
        <v>0</v>
      </c>
      <c r="AD59" s="74">
        <v>0</v>
      </c>
      <c r="AE59" s="4">
        <v>0</v>
      </c>
      <c r="AF59" s="4">
        <v>34371788</v>
      </c>
      <c r="AG59" s="4">
        <v>20127182</v>
      </c>
      <c r="AH59" s="4">
        <v>5621286</v>
      </c>
      <c r="AI59" s="19"/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18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18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18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18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18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18">
        <v>0</v>
      </c>
      <c r="BT59" s="4">
        <v>5100</v>
      </c>
      <c r="BU59" s="4">
        <v>11594</v>
      </c>
      <c r="BV59" s="4">
        <v>21710</v>
      </c>
      <c r="BW59" s="4">
        <v>1391204</v>
      </c>
      <c r="BX59" s="4">
        <v>734484</v>
      </c>
      <c r="BY59" s="18">
        <v>472073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18">
        <v>0</v>
      </c>
      <c r="CF59" s="4">
        <v>552059</v>
      </c>
      <c r="CG59" s="4">
        <v>1132785.0000000002</v>
      </c>
      <c r="CH59" s="4">
        <v>2036617.4000000004</v>
      </c>
      <c r="CI59" s="4">
        <v>31333483.699999999</v>
      </c>
      <c r="CJ59" s="4">
        <v>14746160.900000006</v>
      </c>
      <c r="CK59" s="18">
        <v>6307690</v>
      </c>
      <c r="CL59" s="4">
        <v>5926.1</v>
      </c>
      <c r="CM59" s="4">
        <v>13076</v>
      </c>
      <c r="CN59" s="4">
        <v>26061.8</v>
      </c>
      <c r="CO59" s="4">
        <v>1491667.7</v>
      </c>
      <c r="CP59" s="4">
        <v>703722.39999999991</v>
      </c>
      <c r="CQ59" s="18">
        <v>465547.00000000017</v>
      </c>
      <c r="CR59" s="4">
        <v>300</v>
      </c>
      <c r="CS59" s="4">
        <v>700</v>
      </c>
      <c r="CT59" s="4">
        <v>900</v>
      </c>
      <c r="CU59" s="4">
        <v>0</v>
      </c>
      <c r="CV59" s="4">
        <v>1100</v>
      </c>
      <c r="CW59" s="18">
        <v>40</v>
      </c>
      <c r="CX59" s="4">
        <v>4800</v>
      </c>
      <c r="CY59" s="4">
        <v>11200</v>
      </c>
      <c r="CZ59" s="4">
        <v>24000</v>
      </c>
      <c r="DA59" s="4">
        <v>536517</v>
      </c>
      <c r="DB59" s="4">
        <v>317253</v>
      </c>
      <c r="DC59" s="18">
        <v>229989.00000000003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18">
        <v>0</v>
      </c>
      <c r="DJ59" s="4">
        <v>0</v>
      </c>
      <c r="DK59" s="4">
        <v>0</v>
      </c>
      <c r="DL59" s="4">
        <v>0</v>
      </c>
      <c r="DM59" s="4">
        <v>0</v>
      </c>
      <c r="DN59" s="4">
        <v>0</v>
      </c>
      <c r="DO59" s="4">
        <v>0</v>
      </c>
      <c r="DP59" s="19"/>
      <c r="DQ59" s="33">
        <v>0</v>
      </c>
      <c r="DR59" s="33">
        <v>0</v>
      </c>
      <c r="DS59" s="33">
        <v>0</v>
      </c>
      <c r="DT59" s="33">
        <v>0</v>
      </c>
      <c r="DU59" s="33">
        <v>0</v>
      </c>
      <c r="DV59" s="33">
        <v>0</v>
      </c>
      <c r="DW59" s="33">
        <v>7977669.6000000006</v>
      </c>
      <c r="DX59" s="33">
        <v>3784058.3999999962</v>
      </c>
      <c r="DY59" s="33">
        <v>0</v>
      </c>
      <c r="DZ59" s="33">
        <v>0</v>
      </c>
      <c r="EA59" s="19"/>
      <c r="EB59" s="4">
        <v>94300</v>
      </c>
      <c r="EC59" s="4">
        <v>82881</v>
      </c>
      <c r="ED59" s="18">
        <v>65558</v>
      </c>
      <c r="EE59" s="26">
        <v>300</v>
      </c>
      <c r="EF59" s="4">
        <v>700</v>
      </c>
      <c r="EG59" s="18">
        <v>2409</v>
      </c>
      <c r="EH59" s="4">
        <v>2100</v>
      </c>
      <c r="EI59" s="4">
        <v>2548</v>
      </c>
      <c r="EJ59" s="4">
        <v>2191</v>
      </c>
      <c r="EK59" s="19"/>
      <c r="EL59" s="4">
        <v>1229361</v>
      </c>
      <c r="EM59" s="4">
        <v>8713796</v>
      </c>
      <c r="EN59" s="4">
        <v>436</v>
      </c>
      <c r="EO59" s="4">
        <v>0</v>
      </c>
      <c r="EP59" s="11"/>
      <c r="EQ59" s="4">
        <v>46411</v>
      </c>
      <c r="ER59" s="4">
        <v>39980</v>
      </c>
      <c r="ES59" s="4">
        <v>84609</v>
      </c>
      <c r="ET59" s="4">
        <v>0</v>
      </c>
      <c r="EU59" s="4">
        <v>0</v>
      </c>
      <c r="EV59" s="4">
        <v>216598</v>
      </c>
      <c r="EW59" s="4">
        <v>0</v>
      </c>
      <c r="EX59" s="4">
        <v>403</v>
      </c>
      <c r="EY59" s="4">
        <v>518295</v>
      </c>
      <c r="EZ59" s="4">
        <v>756793</v>
      </c>
      <c r="FA59" s="11"/>
      <c r="FB59" s="4">
        <f t="shared" si="21"/>
        <v>158637140</v>
      </c>
    </row>
    <row r="60" spans="1:158" x14ac:dyDescent="0.2">
      <c r="B60" s="11"/>
      <c r="C60" s="11"/>
      <c r="D60" s="11"/>
      <c r="E60" s="11"/>
      <c r="F60" s="14"/>
      <c r="G60" s="16"/>
      <c r="H60" s="11"/>
      <c r="I60" s="11"/>
      <c r="J60" s="11"/>
      <c r="K60" s="14"/>
      <c r="L60" s="11"/>
      <c r="M60" s="11"/>
      <c r="N60" s="11"/>
      <c r="O60" s="14"/>
      <c r="P60" s="11"/>
      <c r="Q60" s="11"/>
      <c r="R60" s="11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27"/>
      <c r="AD60" s="14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4"/>
      <c r="AP60" s="11"/>
      <c r="AQ60" s="11"/>
      <c r="AR60" s="11"/>
      <c r="AS60" s="11"/>
      <c r="AT60" s="11"/>
      <c r="AU60" s="14"/>
      <c r="AV60" s="11"/>
      <c r="AW60" s="11"/>
      <c r="AX60" s="11"/>
      <c r="AY60" s="11"/>
      <c r="AZ60" s="11"/>
      <c r="BA60" s="14"/>
      <c r="BB60" s="11"/>
      <c r="BC60" s="11"/>
      <c r="BD60" s="11"/>
      <c r="BE60" s="11"/>
      <c r="BF60" s="11"/>
      <c r="BG60" s="14"/>
      <c r="BH60" s="11"/>
      <c r="BI60" s="11"/>
      <c r="BJ60" s="11"/>
      <c r="BK60" s="11"/>
      <c r="BL60" s="11"/>
      <c r="BM60" s="14"/>
      <c r="BN60" s="11"/>
      <c r="BO60" s="11"/>
      <c r="BP60" s="11"/>
      <c r="BQ60" s="11"/>
      <c r="BR60" s="11"/>
      <c r="BS60" s="14"/>
      <c r="BT60" s="11"/>
      <c r="BU60" s="11"/>
      <c r="BV60" s="11"/>
      <c r="BW60" s="11"/>
      <c r="BX60" s="11"/>
      <c r="BY60" s="14"/>
      <c r="BZ60" s="11"/>
      <c r="CA60" s="11"/>
      <c r="CB60" s="11"/>
      <c r="CC60" s="11"/>
      <c r="CD60" s="11"/>
      <c r="CE60" s="14"/>
      <c r="CF60" s="11"/>
      <c r="CG60" s="11"/>
      <c r="CH60" s="11"/>
      <c r="CI60" s="11"/>
      <c r="CJ60" s="11"/>
      <c r="CK60" s="14"/>
      <c r="CL60" s="11"/>
      <c r="CM60" s="11"/>
      <c r="CN60" s="11"/>
      <c r="CO60" s="11"/>
      <c r="CP60" s="11"/>
      <c r="CQ60" s="14"/>
      <c r="CR60" s="11"/>
      <c r="CS60" s="11"/>
      <c r="CT60" s="11"/>
      <c r="CU60" s="11"/>
      <c r="CV60" s="11"/>
      <c r="CW60" s="14"/>
      <c r="CX60" s="11"/>
      <c r="CY60" s="11"/>
      <c r="CZ60" s="11"/>
      <c r="DA60" s="11"/>
      <c r="DB60" s="11"/>
      <c r="DC60" s="14"/>
      <c r="DD60" s="11"/>
      <c r="DE60" s="11"/>
      <c r="DF60" s="11"/>
      <c r="DG60" s="11"/>
      <c r="DH60" s="11"/>
      <c r="DI60" s="14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4"/>
      <c r="EE60" s="27"/>
      <c r="EF60" s="11"/>
      <c r="EG60" s="14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</row>
    <row r="61" spans="1:158" x14ac:dyDescent="0.2">
      <c r="B61" t="s">
        <v>31</v>
      </c>
      <c r="C61" s="344" t="str">
        <f>C46</f>
        <v>CSN0</v>
      </c>
      <c r="D61" s="344"/>
      <c r="E61" s="344"/>
      <c r="F61" s="345"/>
      <c r="G61" s="15" t="str">
        <f>G46</f>
        <v>CSN2</v>
      </c>
      <c r="H61" s="343" t="str">
        <f>H46</f>
        <v>CSN7</v>
      </c>
      <c r="I61" s="344"/>
      <c r="J61" s="344"/>
      <c r="K61" s="345"/>
      <c r="L61" s="343" t="str">
        <f>L46</f>
        <v>CSN8</v>
      </c>
      <c r="M61" s="344"/>
      <c r="N61" s="344"/>
      <c r="O61" s="345"/>
      <c r="P61" s="343" t="str">
        <f>P46</f>
        <v>CSN9</v>
      </c>
      <c r="Q61" s="344"/>
      <c r="R61" s="344"/>
      <c r="S61" s="345"/>
      <c r="T61" s="343" t="str">
        <f>T46</f>
        <v>SFOC</v>
      </c>
      <c r="U61" s="344"/>
      <c r="V61" s="344"/>
      <c r="W61" s="344"/>
      <c r="X61" s="11"/>
      <c r="Y61" t="str">
        <f t="shared" ref="Y61:AH61" si="22">Y46</f>
        <v>HBA0</v>
      </c>
      <c r="Z61" t="str">
        <f t="shared" si="22"/>
        <v>HBN0</v>
      </c>
      <c r="AA61" t="str">
        <f t="shared" si="22"/>
        <v>HCA0</v>
      </c>
      <c r="AB61" t="str">
        <f t="shared" si="22"/>
        <v>HCN0</v>
      </c>
      <c r="AC61" s="25" t="str">
        <f t="shared" si="22"/>
        <v>HCN3</v>
      </c>
      <c r="AD61" s="13" t="str">
        <f t="shared" si="22"/>
        <v>HCN3</v>
      </c>
      <c r="AE61" t="str">
        <f t="shared" si="22"/>
        <v>HDN0</v>
      </c>
      <c r="AF61" t="str">
        <f t="shared" si="22"/>
        <v>HPN0</v>
      </c>
      <c r="AG61" t="str">
        <f t="shared" si="22"/>
        <v>HSN0</v>
      </c>
      <c r="AH61" t="str">
        <f t="shared" si="22"/>
        <v>HSS0</v>
      </c>
      <c r="AI61" s="11"/>
      <c r="AJ61" s="344" t="str">
        <f>AJ46</f>
        <v>LBA0</v>
      </c>
      <c r="AK61" s="344"/>
      <c r="AL61" s="344"/>
      <c r="AM61" s="344"/>
      <c r="AN61" s="344"/>
      <c r="AO61" s="345"/>
      <c r="AP61" s="343" t="str">
        <f>AP46</f>
        <v>LBAM</v>
      </c>
      <c r="AQ61" s="344"/>
      <c r="AR61" s="344"/>
      <c r="AS61" s="344"/>
      <c r="AT61" s="344"/>
      <c r="AU61" s="345"/>
      <c r="AV61" s="343" t="str">
        <f>AV46</f>
        <v>LBN0</v>
      </c>
      <c r="AW61" s="344"/>
      <c r="AX61" s="344"/>
      <c r="AY61" s="344"/>
      <c r="AZ61" s="344"/>
      <c r="BA61" s="345"/>
      <c r="BB61" s="343" t="str">
        <f>BB46</f>
        <v>LCA0</v>
      </c>
      <c r="BC61" s="344"/>
      <c r="BD61" s="344"/>
      <c r="BE61" s="344"/>
      <c r="BF61" s="344"/>
      <c r="BG61" s="345"/>
      <c r="BH61" s="343" t="str">
        <f>BH46</f>
        <v>LCN0</v>
      </c>
      <c r="BI61" s="344"/>
      <c r="BJ61" s="344"/>
      <c r="BK61" s="344"/>
      <c r="BL61" s="344"/>
      <c r="BM61" s="345"/>
      <c r="BN61" s="343" t="str">
        <f>BN46</f>
        <v>LDN0</v>
      </c>
      <c r="BO61" s="344"/>
      <c r="BP61" s="344"/>
      <c r="BQ61" s="344"/>
      <c r="BR61" s="344"/>
      <c r="BS61" s="345"/>
      <c r="BT61" s="343" t="str">
        <f>BT46</f>
        <v>LPN0</v>
      </c>
      <c r="BU61" s="344"/>
      <c r="BV61" s="344"/>
      <c r="BW61" s="344"/>
      <c r="BX61" s="344"/>
      <c r="BY61" s="345"/>
      <c r="BZ61" s="343" t="str">
        <f>BZ46</f>
        <v>LPA0</v>
      </c>
      <c r="CA61" s="344"/>
      <c r="CB61" s="344"/>
      <c r="CC61" s="344"/>
      <c r="CD61" s="344"/>
      <c r="CE61" s="345"/>
      <c r="CF61" s="343" t="str">
        <f>CF46</f>
        <v>LSN0</v>
      </c>
      <c r="CG61" s="344"/>
      <c r="CH61" s="344"/>
      <c r="CI61" s="344"/>
      <c r="CJ61" s="344"/>
      <c r="CK61" s="345"/>
      <c r="CL61" s="343" t="str">
        <f>CL46</f>
        <v>LSS0</v>
      </c>
      <c r="CM61" s="344"/>
      <c r="CN61" s="344"/>
      <c r="CO61" s="344"/>
      <c r="CP61" s="344"/>
      <c r="CQ61" s="345"/>
      <c r="CR61" s="343" t="str">
        <f>CR46</f>
        <v>LSN4</v>
      </c>
      <c r="CS61" s="344"/>
      <c r="CT61" s="344"/>
      <c r="CU61" s="344"/>
      <c r="CV61" s="344"/>
      <c r="CW61" s="345"/>
      <c r="CX61" s="343" t="str">
        <f>CX46</f>
        <v>LSN2</v>
      </c>
      <c r="CY61" s="344"/>
      <c r="CZ61" s="344"/>
      <c r="DA61" s="344"/>
      <c r="DB61" s="344"/>
      <c r="DC61" s="345"/>
      <c r="DD61" s="343" t="str">
        <f>DD46</f>
        <v>LSN3 - Peak</v>
      </c>
      <c r="DE61" s="344"/>
      <c r="DF61" s="344"/>
      <c r="DG61" s="344"/>
      <c r="DH61" s="344"/>
      <c r="DI61" s="344"/>
      <c r="DJ61" s="343" t="str">
        <f>DJ46</f>
        <v>LSN3 - Off Peak</v>
      </c>
      <c r="DK61" s="344"/>
      <c r="DL61" s="344"/>
      <c r="DM61" s="344"/>
      <c r="DN61" s="344"/>
      <c r="DO61" s="344"/>
      <c r="DP61" s="11"/>
      <c r="DQ61" t="str">
        <f>DQ46</f>
        <v>NUCF</v>
      </c>
      <c r="DR61" t="str">
        <f t="shared" ref="DR61:DZ61" si="23">DR46</f>
        <v>NUIF</v>
      </c>
      <c r="DS61" t="str">
        <f t="shared" si="23"/>
        <v>NUID</v>
      </c>
      <c r="DT61" t="str">
        <f t="shared" si="23"/>
        <v>NUCS</v>
      </c>
      <c r="DU61" t="str">
        <f t="shared" si="23"/>
        <v>SAES</v>
      </c>
      <c r="DV61" t="str">
        <f t="shared" si="23"/>
        <v>SASN</v>
      </c>
      <c r="DW61" t="str">
        <f t="shared" si="23"/>
        <v>SPUF</v>
      </c>
      <c r="DX61" t="str">
        <f t="shared" si="23"/>
        <v>SPUR</v>
      </c>
      <c r="DY61" t="str">
        <f t="shared" si="23"/>
        <v>SDEH</v>
      </c>
      <c r="DZ61" t="str">
        <f t="shared" si="23"/>
        <v>SDED</v>
      </c>
      <c r="EA61" s="11"/>
      <c r="EB61" s="344" t="str">
        <f>EB46</f>
        <v>RSN0</v>
      </c>
      <c r="EC61" s="344"/>
      <c r="ED61" s="345"/>
      <c r="EE61" s="343" t="str">
        <f>EE46</f>
        <v>RSN2</v>
      </c>
      <c r="EF61" s="344"/>
      <c r="EG61" s="345"/>
      <c r="EH61" s="344" t="str">
        <f>EH46</f>
        <v>RSN4</v>
      </c>
      <c r="EI61" s="344"/>
      <c r="EJ61" s="344"/>
      <c r="EK61" s="11"/>
      <c r="EL61" t="str">
        <f>EL46</f>
        <v xml:space="preserve">SWP </v>
      </c>
      <c r="EO61" t="str">
        <f>EO46</f>
        <v>SWPM</v>
      </c>
      <c r="EP61" s="11"/>
      <c r="EQ61" t="str">
        <f t="shared" ref="EQ61:EZ61" si="24">EQ46</f>
        <v>MHLS</v>
      </c>
      <c r="ER61" t="str">
        <f>ER46</f>
        <v>SFS</v>
      </c>
      <c r="ES61" t="str">
        <f t="shared" si="24"/>
        <v>SMLC</v>
      </c>
      <c r="ET61" t="str">
        <f t="shared" si="24"/>
        <v>SMLP</v>
      </c>
      <c r="EU61" t="str">
        <f t="shared" si="24"/>
        <v>SMPC</v>
      </c>
      <c r="EV61" t="str">
        <f t="shared" si="24"/>
        <v>SMS</v>
      </c>
      <c r="EW61" t="str">
        <f t="shared" si="24"/>
        <v>SSLC</v>
      </c>
      <c r="EX61" t="str">
        <f t="shared" si="24"/>
        <v>SSLP</v>
      </c>
      <c r="EY61" t="str">
        <f t="shared" si="24"/>
        <v>STS</v>
      </c>
      <c r="EZ61" t="str">
        <f t="shared" si="24"/>
        <v>UOLS</v>
      </c>
      <c r="FA61" s="11"/>
    </row>
    <row r="62" spans="1:158" x14ac:dyDescent="0.2">
      <c r="C62" t="str">
        <f>C47</f>
        <v>First 300</v>
      </c>
      <c r="D62" t="str">
        <f>D47</f>
        <v>Next 700</v>
      </c>
      <c r="E62" t="str">
        <f>E47</f>
        <v>Next 1500</v>
      </c>
      <c r="F62" s="13" t="str">
        <f>F47</f>
        <v>Over 2500</v>
      </c>
      <c r="G62" s="15"/>
      <c r="H62" t="str">
        <f t="shared" ref="H62:W62" si="25">H47</f>
        <v>First 300</v>
      </c>
      <c r="I62" t="str">
        <f t="shared" si="25"/>
        <v>Next 700</v>
      </c>
      <c r="J62" t="str">
        <f t="shared" si="25"/>
        <v>Next 1500</v>
      </c>
      <c r="K62" s="13" t="str">
        <f t="shared" si="25"/>
        <v>Over 2500</v>
      </c>
      <c r="L62" t="str">
        <f t="shared" si="25"/>
        <v>First 300</v>
      </c>
      <c r="M62" t="str">
        <f t="shared" si="25"/>
        <v>Next 700</v>
      </c>
      <c r="N62" t="str">
        <f t="shared" si="25"/>
        <v>Next 1500</v>
      </c>
      <c r="O62" s="13" t="str">
        <f t="shared" si="25"/>
        <v>Over 2500</v>
      </c>
      <c r="P62" t="str">
        <f t="shared" si="25"/>
        <v>First 300</v>
      </c>
      <c r="Q62" t="str">
        <f t="shared" si="25"/>
        <v>Next 700</v>
      </c>
      <c r="R62" t="str">
        <f t="shared" si="25"/>
        <v>Next 1500</v>
      </c>
      <c r="S62" s="13" t="str">
        <f t="shared" si="25"/>
        <v>Over 2500</v>
      </c>
      <c r="T62" t="str">
        <f t="shared" si="25"/>
        <v>First 300</v>
      </c>
      <c r="U62" t="str">
        <f t="shared" si="25"/>
        <v>Next 700</v>
      </c>
      <c r="V62" t="str">
        <f t="shared" si="25"/>
        <v>Next 1500</v>
      </c>
      <c r="W62" t="str">
        <f t="shared" si="25"/>
        <v>Over 2500</v>
      </c>
      <c r="X62" s="11"/>
      <c r="AC62" s="25" t="str">
        <f>AC47</f>
        <v>On Peak</v>
      </c>
      <c r="AD62" s="13" t="str">
        <f>AD47</f>
        <v>Off Peak</v>
      </c>
      <c r="AI62" s="11"/>
      <c r="AJ62" t="str">
        <f t="shared" ref="AJ62:DI62" si="26">AJ47</f>
        <v>First 300 kWh</v>
      </c>
      <c r="AK62" t="str">
        <f t="shared" si="26"/>
        <v>Next 700 kWh</v>
      </c>
      <c r="AL62" t="str">
        <f t="shared" si="26"/>
        <v>Next 1500 kWh</v>
      </c>
      <c r="AM62" t="str">
        <f t="shared" si="26"/>
        <v>Over 2500 kWh</v>
      </c>
      <c r="AN62" t="str">
        <f t="shared" si="26"/>
        <v>KWH_NEXT110</v>
      </c>
      <c r="AO62" s="13" t="str">
        <f t="shared" si="26"/>
        <v>KWH_300+</v>
      </c>
      <c r="AP62" t="str">
        <f t="shared" si="26"/>
        <v>First 300 kWh</v>
      </c>
      <c r="AQ62" t="str">
        <f t="shared" si="26"/>
        <v>Next 700 kWh</v>
      </c>
      <c r="AR62" t="str">
        <f t="shared" si="26"/>
        <v>Next 1500 kWh</v>
      </c>
      <c r="AS62" t="str">
        <f t="shared" si="26"/>
        <v>Over 2500 kWh</v>
      </c>
      <c r="AT62" t="str">
        <f t="shared" si="26"/>
        <v>KWH_NEXT110</v>
      </c>
      <c r="AU62" s="13" t="str">
        <f t="shared" si="26"/>
        <v>KWH_300+</v>
      </c>
      <c r="AV62" t="str">
        <f t="shared" si="26"/>
        <v>First 300 kWh</v>
      </c>
      <c r="AW62" t="str">
        <f t="shared" si="26"/>
        <v>Next 700 kWh</v>
      </c>
      <c r="AX62" t="str">
        <f t="shared" si="26"/>
        <v>Next 1500 kWh</v>
      </c>
      <c r="AY62" t="str">
        <f t="shared" si="26"/>
        <v>Over 2500 kWh</v>
      </c>
      <c r="AZ62" t="str">
        <f t="shared" si="26"/>
        <v>KWH_NEXT110</v>
      </c>
      <c r="BA62" s="13" t="str">
        <f t="shared" si="26"/>
        <v>KWH_300+</v>
      </c>
      <c r="BB62" t="str">
        <f t="shared" si="26"/>
        <v>First 300 kWh</v>
      </c>
      <c r="BC62" t="str">
        <f t="shared" si="26"/>
        <v>Next 700 kWh</v>
      </c>
      <c r="BD62" t="str">
        <f t="shared" si="26"/>
        <v>Next 1500 kWh</v>
      </c>
      <c r="BE62" t="str">
        <f t="shared" si="26"/>
        <v>Over 2500 kWh</v>
      </c>
      <c r="BF62" t="str">
        <f t="shared" si="26"/>
        <v>KWH_NEXT110</v>
      </c>
      <c r="BG62" s="13" t="str">
        <f t="shared" si="26"/>
        <v>KWH_300+</v>
      </c>
      <c r="BH62" t="str">
        <f t="shared" si="26"/>
        <v>First 300 kWh</v>
      </c>
      <c r="BI62" t="str">
        <f t="shared" si="26"/>
        <v>Next 700 kWh</v>
      </c>
      <c r="BJ62" t="str">
        <f t="shared" si="26"/>
        <v>Next 1500 kWh</v>
      </c>
      <c r="BK62" t="str">
        <f t="shared" si="26"/>
        <v>Over 2500 kWh</v>
      </c>
      <c r="BL62" t="str">
        <f t="shared" si="26"/>
        <v>KWH_NEXT110</v>
      </c>
      <c r="BM62" s="13" t="str">
        <f t="shared" si="26"/>
        <v>KWH_300+</v>
      </c>
      <c r="BN62" t="str">
        <f t="shared" si="26"/>
        <v>First 300 kWh</v>
      </c>
      <c r="BO62" t="str">
        <f t="shared" si="26"/>
        <v>Next 700 kWh</v>
      </c>
      <c r="BP62" t="str">
        <f t="shared" si="26"/>
        <v>Next 1500 kWh</v>
      </c>
      <c r="BQ62" t="str">
        <f t="shared" si="26"/>
        <v>Over 2500 kWh</v>
      </c>
      <c r="BR62" t="str">
        <f t="shared" si="26"/>
        <v>KWH_NEXT110</v>
      </c>
      <c r="BS62" s="13" t="str">
        <f t="shared" si="26"/>
        <v>KWH_300+</v>
      </c>
      <c r="BT62" t="str">
        <f t="shared" si="26"/>
        <v>First 300 kWh</v>
      </c>
      <c r="BU62" t="str">
        <f t="shared" si="26"/>
        <v>Next 700 kWh</v>
      </c>
      <c r="BV62" t="str">
        <f t="shared" si="26"/>
        <v>Next 1500 kWh</v>
      </c>
      <c r="BW62" t="str">
        <f t="shared" si="26"/>
        <v>Over 2500 kWh</v>
      </c>
      <c r="BX62" t="str">
        <f t="shared" si="26"/>
        <v>KWH_NEXT110</v>
      </c>
      <c r="BY62" s="13" t="str">
        <f t="shared" si="26"/>
        <v>KWH_300+</v>
      </c>
      <c r="BZ62" t="str">
        <f t="shared" si="26"/>
        <v>First 300 kWh</v>
      </c>
      <c r="CA62" t="str">
        <f t="shared" si="26"/>
        <v>Next 700 kWh</v>
      </c>
      <c r="CB62" t="str">
        <f t="shared" si="26"/>
        <v>Next 1500 kWh</v>
      </c>
      <c r="CC62" t="str">
        <f t="shared" si="26"/>
        <v>Over 2500 kWh</v>
      </c>
      <c r="CD62" t="str">
        <f t="shared" si="26"/>
        <v>KWH_NEXT110</v>
      </c>
      <c r="CE62" s="13" t="str">
        <f t="shared" si="26"/>
        <v>KWH_300+</v>
      </c>
      <c r="CF62" t="str">
        <f t="shared" si="26"/>
        <v>First 300 kWh</v>
      </c>
      <c r="CG62" t="str">
        <f t="shared" si="26"/>
        <v>Next 700 kWh</v>
      </c>
      <c r="CH62" t="str">
        <f t="shared" si="26"/>
        <v>Next 1500 kWh</v>
      </c>
      <c r="CI62" t="str">
        <f t="shared" si="26"/>
        <v>Over 2500 kWh</v>
      </c>
      <c r="CJ62" t="str">
        <f t="shared" si="26"/>
        <v>KWH_NEXT110</v>
      </c>
      <c r="CK62" s="13" t="str">
        <f t="shared" si="26"/>
        <v>KWH_300+</v>
      </c>
      <c r="CL62" t="str">
        <f t="shared" si="26"/>
        <v>First 300 kWh</v>
      </c>
      <c r="CM62" t="str">
        <f t="shared" si="26"/>
        <v>Next 700 kWh</v>
      </c>
      <c r="CN62" t="str">
        <f t="shared" si="26"/>
        <v>Next 1500 kWh</v>
      </c>
      <c r="CO62" t="str">
        <f t="shared" si="26"/>
        <v>Over 2500 kWh</v>
      </c>
      <c r="CP62" t="str">
        <f t="shared" si="26"/>
        <v>KWH_NEXT110</v>
      </c>
      <c r="CQ62" s="13" t="str">
        <f t="shared" si="26"/>
        <v>KWH_300+</v>
      </c>
      <c r="CR62" t="str">
        <f t="shared" si="26"/>
        <v>First 300 kWh</v>
      </c>
      <c r="CS62" t="str">
        <f t="shared" si="26"/>
        <v>Next 700 kWh</v>
      </c>
      <c r="CT62" t="str">
        <f t="shared" si="26"/>
        <v>Next 1500 kWh</v>
      </c>
      <c r="CU62" t="str">
        <f t="shared" si="26"/>
        <v>Over 2500 kWh</v>
      </c>
      <c r="CV62" t="str">
        <f t="shared" si="26"/>
        <v>KWH_NEXT110</v>
      </c>
      <c r="CW62" s="13" t="str">
        <f t="shared" si="26"/>
        <v>KWH_300+</v>
      </c>
      <c r="CX62" t="str">
        <f t="shared" si="26"/>
        <v>First 300 kWh</v>
      </c>
      <c r="CY62" t="str">
        <f t="shared" si="26"/>
        <v>Next 700 kWh</v>
      </c>
      <c r="CZ62" t="str">
        <f t="shared" si="26"/>
        <v>Next 1500 kWh</v>
      </c>
      <c r="DA62" t="str">
        <f t="shared" si="26"/>
        <v>Over 2500 kWh</v>
      </c>
      <c r="DB62" t="str">
        <f t="shared" si="26"/>
        <v>KWH_NEXT110</v>
      </c>
      <c r="DC62" s="13" t="str">
        <f t="shared" si="26"/>
        <v>KWH_300+</v>
      </c>
      <c r="DD62" t="str">
        <f t="shared" si="26"/>
        <v>First 300 kWh</v>
      </c>
      <c r="DE62" t="str">
        <f t="shared" si="26"/>
        <v>Next 700 kWh</v>
      </c>
      <c r="DF62" t="str">
        <f t="shared" si="26"/>
        <v>Next 1500 kWh</v>
      </c>
      <c r="DG62" t="str">
        <f t="shared" si="26"/>
        <v>Over 2500 kWh</v>
      </c>
      <c r="DH62" t="str">
        <f t="shared" si="26"/>
        <v>KWH_NEXT110</v>
      </c>
      <c r="DI62" s="13" t="str">
        <f t="shared" si="26"/>
        <v>KWH_300+</v>
      </c>
      <c r="DJ62" t="str">
        <f t="shared" ref="DJ62:DO62" si="27">DJ47</f>
        <v>First 300 kWh</v>
      </c>
      <c r="DK62" t="str">
        <f t="shared" si="27"/>
        <v>Next 700 kWh</v>
      </c>
      <c r="DL62" t="str">
        <f t="shared" si="27"/>
        <v>Next 1500 kWh</v>
      </c>
      <c r="DM62" t="str">
        <f t="shared" si="27"/>
        <v>Over 2500 kWh</v>
      </c>
      <c r="DN62" t="str">
        <f t="shared" si="27"/>
        <v>KWH_NEXT110</v>
      </c>
      <c r="DO62" t="str">
        <f t="shared" si="27"/>
        <v>KWH_300+</v>
      </c>
      <c r="DP62" s="11"/>
      <c r="EA62" s="11"/>
      <c r="EB62" t="str">
        <f t="shared" ref="EB62:EJ62" si="28">EB47</f>
        <v>First 300 kWh</v>
      </c>
      <c r="EC62" t="str">
        <f t="shared" si="28"/>
        <v>Next 700 kWh</v>
      </c>
      <c r="ED62" s="13" t="str">
        <f t="shared" si="28"/>
        <v>Over 1000 kWh</v>
      </c>
      <c r="EE62" s="25" t="str">
        <f t="shared" si="28"/>
        <v>First 300 kWh</v>
      </c>
      <c r="EF62" t="str">
        <f t="shared" si="28"/>
        <v>Next 700 kWh</v>
      </c>
      <c r="EG62" s="13" t="str">
        <f t="shared" si="28"/>
        <v>Over 1000 kWh</v>
      </c>
      <c r="EH62" t="str">
        <f t="shared" si="28"/>
        <v>First 300 kWh</v>
      </c>
      <c r="EI62" t="str">
        <f t="shared" si="28"/>
        <v>Next 700 kWh</v>
      </c>
      <c r="EJ62" t="str">
        <f t="shared" si="28"/>
        <v>Over 1000 kWh</v>
      </c>
      <c r="EK62" s="11"/>
      <c r="EP62" s="11"/>
      <c r="FA62" s="11"/>
    </row>
    <row r="63" spans="1:158" x14ac:dyDescent="0.2">
      <c r="A63">
        <v>1</v>
      </c>
      <c r="B63" t="s">
        <v>232</v>
      </c>
      <c r="C63" s="4">
        <v>0</v>
      </c>
      <c r="D63" s="4">
        <v>0</v>
      </c>
      <c r="E63" s="4">
        <v>0</v>
      </c>
      <c r="F63" s="4">
        <v>0</v>
      </c>
      <c r="G63" s="17">
        <v>0</v>
      </c>
      <c r="H63" s="4">
        <v>0</v>
      </c>
      <c r="I63" s="4">
        <v>0</v>
      </c>
      <c r="J63" s="4">
        <v>0</v>
      </c>
      <c r="K63" s="18">
        <v>0</v>
      </c>
      <c r="L63" s="4">
        <v>0</v>
      </c>
      <c r="M63" s="4">
        <v>0</v>
      </c>
      <c r="N63" s="4">
        <v>0</v>
      </c>
      <c r="O63" s="18">
        <v>0</v>
      </c>
      <c r="P63" s="4">
        <v>0</v>
      </c>
      <c r="Q63" s="4">
        <v>0</v>
      </c>
      <c r="R63" s="4">
        <v>0</v>
      </c>
      <c r="S63" s="18">
        <v>0</v>
      </c>
      <c r="T63" s="4">
        <v>0</v>
      </c>
      <c r="U63" s="4">
        <v>0</v>
      </c>
      <c r="V63" s="4">
        <v>0</v>
      </c>
      <c r="W63" s="4">
        <v>0</v>
      </c>
      <c r="X63" s="19"/>
      <c r="Y63" s="4">
        <v>0</v>
      </c>
      <c r="Z63" s="4">
        <v>0</v>
      </c>
      <c r="AA63" s="4">
        <v>0</v>
      </c>
      <c r="AB63" s="4">
        <v>0</v>
      </c>
      <c r="AC63" s="72">
        <v>0</v>
      </c>
      <c r="AD63" s="74">
        <v>0</v>
      </c>
      <c r="AE63" s="4">
        <v>0</v>
      </c>
      <c r="AF63" s="4">
        <v>0</v>
      </c>
      <c r="AG63" s="4">
        <v>0</v>
      </c>
      <c r="AH63" s="4">
        <v>0</v>
      </c>
      <c r="AI63" s="19"/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18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18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18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18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18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18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18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18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18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18">
        <v>0</v>
      </c>
      <c r="CR63" s="4">
        <v>0</v>
      </c>
      <c r="CS63" s="4">
        <v>0</v>
      </c>
      <c r="CT63" s="4">
        <v>0</v>
      </c>
      <c r="CU63" s="4">
        <v>0</v>
      </c>
      <c r="CV63" s="4">
        <v>0</v>
      </c>
      <c r="CW63" s="18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18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18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19"/>
      <c r="DQ63" s="33">
        <v>0</v>
      </c>
      <c r="DR63" s="33">
        <v>0</v>
      </c>
      <c r="DS63" s="33">
        <v>0</v>
      </c>
      <c r="DT63" s="33">
        <v>0</v>
      </c>
      <c r="DU63" s="33">
        <v>0</v>
      </c>
      <c r="DV63" s="33">
        <v>0</v>
      </c>
      <c r="DW63" s="33">
        <v>0</v>
      </c>
      <c r="DX63" s="33">
        <v>0</v>
      </c>
      <c r="DY63" s="33">
        <v>0</v>
      </c>
      <c r="DZ63" s="33">
        <v>0</v>
      </c>
      <c r="EA63" s="19"/>
      <c r="EB63" s="4">
        <v>0</v>
      </c>
      <c r="EC63" s="4">
        <v>0</v>
      </c>
      <c r="ED63" s="18">
        <v>0</v>
      </c>
      <c r="EE63" s="26">
        <v>0</v>
      </c>
      <c r="EF63" s="4">
        <v>0</v>
      </c>
      <c r="EG63" s="18">
        <v>0</v>
      </c>
      <c r="EH63" s="4">
        <v>0</v>
      </c>
      <c r="EI63" s="4">
        <v>0</v>
      </c>
      <c r="EJ63" s="4">
        <v>0</v>
      </c>
      <c r="EK63" s="19"/>
      <c r="EL63" s="4">
        <v>0</v>
      </c>
      <c r="EM63" s="4">
        <v>0</v>
      </c>
      <c r="EN63" s="4">
        <v>0</v>
      </c>
      <c r="EO63" s="4">
        <v>0</v>
      </c>
      <c r="EP63" s="11"/>
      <c r="EQ63" s="4">
        <v>434424</v>
      </c>
      <c r="ER63" s="4">
        <v>0</v>
      </c>
      <c r="ES63" s="4">
        <v>93534</v>
      </c>
      <c r="ET63" s="4">
        <v>0</v>
      </c>
      <c r="EU63" s="75">
        <v>0</v>
      </c>
      <c r="EV63" s="4">
        <v>0</v>
      </c>
      <c r="EW63" s="4">
        <v>45594</v>
      </c>
      <c r="EX63" s="4">
        <v>3004821</v>
      </c>
      <c r="EY63" s="4">
        <v>776</v>
      </c>
      <c r="EZ63" s="4">
        <v>854559</v>
      </c>
      <c r="FA63" s="11"/>
      <c r="FB63" s="4">
        <f t="shared" ref="FB63:FB74" si="29">SUM(C63:EZ63)</f>
        <v>4433708</v>
      </c>
    </row>
    <row r="64" spans="1:158" x14ac:dyDescent="0.2">
      <c r="A64">
        <v>2</v>
      </c>
      <c r="B64" t="s">
        <v>233</v>
      </c>
      <c r="C64" s="4">
        <v>0</v>
      </c>
      <c r="D64" s="4">
        <v>0</v>
      </c>
      <c r="E64" s="4">
        <v>0</v>
      </c>
      <c r="F64" s="4">
        <v>0</v>
      </c>
      <c r="G64" s="17">
        <v>0</v>
      </c>
      <c r="H64" s="4">
        <v>0</v>
      </c>
      <c r="I64" s="4">
        <v>0</v>
      </c>
      <c r="J64" s="4">
        <v>0</v>
      </c>
      <c r="K64" s="18">
        <v>0</v>
      </c>
      <c r="L64" s="4">
        <v>0</v>
      </c>
      <c r="M64" s="4">
        <v>0</v>
      </c>
      <c r="N64" s="4">
        <v>0</v>
      </c>
      <c r="O64" s="18">
        <v>0</v>
      </c>
      <c r="P64" s="4">
        <v>0</v>
      </c>
      <c r="Q64" s="4">
        <v>0</v>
      </c>
      <c r="R64" s="4">
        <v>0</v>
      </c>
      <c r="S64" s="18">
        <v>0</v>
      </c>
      <c r="T64" s="4">
        <v>0</v>
      </c>
      <c r="U64" s="4">
        <v>0</v>
      </c>
      <c r="V64" s="4">
        <v>0</v>
      </c>
      <c r="W64" s="4">
        <v>0</v>
      </c>
      <c r="X64" s="19"/>
      <c r="Y64" s="4">
        <v>0</v>
      </c>
      <c r="Z64" s="4">
        <v>0</v>
      </c>
      <c r="AA64" s="4">
        <v>0</v>
      </c>
      <c r="AB64" s="4">
        <v>0</v>
      </c>
      <c r="AC64" s="72">
        <v>0</v>
      </c>
      <c r="AD64" s="74">
        <v>0</v>
      </c>
      <c r="AE64" s="4">
        <v>0</v>
      </c>
      <c r="AF64" s="4">
        <v>0</v>
      </c>
      <c r="AG64" s="4">
        <v>0</v>
      </c>
      <c r="AH64" s="4">
        <v>0</v>
      </c>
      <c r="AI64" s="19"/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18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18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18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18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18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18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18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18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18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18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18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18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18">
        <v>0</v>
      </c>
      <c r="DJ64" s="4">
        <v>0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19"/>
      <c r="DQ64" s="33">
        <v>0</v>
      </c>
      <c r="DR64" s="33">
        <v>0</v>
      </c>
      <c r="DS64" s="33">
        <v>0</v>
      </c>
      <c r="DT64" s="33">
        <v>0</v>
      </c>
      <c r="DU64" s="33">
        <v>0</v>
      </c>
      <c r="DV64" s="33">
        <v>0</v>
      </c>
      <c r="DW64" s="33">
        <v>0</v>
      </c>
      <c r="DX64" s="33">
        <v>0</v>
      </c>
      <c r="DY64" s="33">
        <v>0</v>
      </c>
      <c r="DZ64" s="33">
        <v>0</v>
      </c>
      <c r="EA64" s="19"/>
      <c r="EB64" s="4">
        <v>0</v>
      </c>
      <c r="EC64" s="4">
        <v>0</v>
      </c>
      <c r="ED64" s="18">
        <v>0</v>
      </c>
      <c r="EE64" s="26">
        <v>0</v>
      </c>
      <c r="EF64" s="4">
        <v>0</v>
      </c>
      <c r="EG64" s="18">
        <v>0</v>
      </c>
      <c r="EH64" s="4">
        <v>0</v>
      </c>
      <c r="EI64" s="4">
        <v>0</v>
      </c>
      <c r="EJ64" s="4">
        <v>0</v>
      </c>
      <c r="EK64" s="19"/>
      <c r="EL64" s="4">
        <v>0</v>
      </c>
      <c r="EM64" s="4">
        <v>0</v>
      </c>
      <c r="EN64" s="4">
        <v>0</v>
      </c>
      <c r="EO64" s="4">
        <v>0</v>
      </c>
      <c r="EP64" s="11"/>
      <c r="EQ64" s="4">
        <v>376674</v>
      </c>
      <c r="ER64" s="4">
        <v>0</v>
      </c>
      <c r="ES64" s="4">
        <v>74781</v>
      </c>
      <c r="ET64" s="4">
        <v>0</v>
      </c>
      <c r="EU64" s="75">
        <v>0</v>
      </c>
      <c r="EV64" s="4">
        <v>0</v>
      </c>
      <c r="EW64" s="4">
        <v>45594</v>
      </c>
      <c r="EX64" s="4">
        <v>2996685</v>
      </c>
      <c r="EY64" s="4">
        <v>776</v>
      </c>
      <c r="EZ64" s="4">
        <v>828116</v>
      </c>
      <c r="FA64" s="11"/>
      <c r="FB64" s="4">
        <f t="shared" si="29"/>
        <v>4322626</v>
      </c>
    </row>
    <row r="65" spans="1:158" x14ac:dyDescent="0.2">
      <c r="A65">
        <v>3</v>
      </c>
      <c r="B65" t="s">
        <v>234</v>
      </c>
      <c r="C65" s="4">
        <v>0</v>
      </c>
      <c r="D65" s="4">
        <v>0</v>
      </c>
      <c r="E65" s="4">
        <v>0</v>
      </c>
      <c r="F65" s="4">
        <v>0</v>
      </c>
      <c r="G65" s="17">
        <v>0</v>
      </c>
      <c r="H65" s="4">
        <v>0</v>
      </c>
      <c r="I65" s="4">
        <v>0</v>
      </c>
      <c r="J65" s="4">
        <v>0</v>
      </c>
      <c r="K65" s="18">
        <v>0</v>
      </c>
      <c r="L65" s="4">
        <v>0</v>
      </c>
      <c r="M65" s="4">
        <v>0</v>
      </c>
      <c r="N65" s="4">
        <v>0</v>
      </c>
      <c r="O65" s="18">
        <v>0</v>
      </c>
      <c r="P65" s="4">
        <v>0</v>
      </c>
      <c r="Q65" s="4">
        <v>0</v>
      </c>
      <c r="R65" s="4">
        <v>0</v>
      </c>
      <c r="S65" s="18">
        <v>0</v>
      </c>
      <c r="T65" s="4">
        <v>0</v>
      </c>
      <c r="U65" s="4">
        <v>0</v>
      </c>
      <c r="V65" s="4">
        <v>0</v>
      </c>
      <c r="W65" s="4">
        <v>0</v>
      </c>
      <c r="X65" s="19"/>
      <c r="Y65" s="4">
        <v>0</v>
      </c>
      <c r="Z65" s="4">
        <v>0</v>
      </c>
      <c r="AA65" s="4">
        <v>0</v>
      </c>
      <c r="AB65" s="4">
        <v>0</v>
      </c>
      <c r="AC65" s="72">
        <v>0</v>
      </c>
      <c r="AD65" s="74">
        <v>0</v>
      </c>
      <c r="AE65" s="4">
        <v>0</v>
      </c>
      <c r="AF65" s="4">
        <v>0</v>
      </c>
      <c r="AG65" s="4">
        <v>0</v>
      </c>
      <c r="AH65" s="4">
        <v>0</v>
      </c>
      <c r="AI65" s="19"/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18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18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18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18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18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18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18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18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18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18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18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18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18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19"/>
      <c r="DQ65" s="33">
        <v>0</v>
      </c>
      <c r="DR65" s="33">
        <v>0</v>
      </c>
      <c r="DS65" s="33">
        <v>0</v>
      </c>
      <c r="DT65" s="33">
        <v>0</v>
      </c>
      <c r="DU65" s="33">
        <v>0</v>
      </c>
      <c r="DV65" s="33">
        <v>0</v>
      </c>
      <c r="DW65" s="33">
        <v>0</v>
      </c>
      <c r="DX65" s="33">
        <v>0</v>
      </c>
      <c r="DY65" s="33">
        <v>0</v>
      </c>
      <c r="DZ65" s="33">
        <v>0</v>
      </c>
      <c r="EA65" s="19"/>
      <c r="EB65" s="4">
        <v>0</v>
      </c>
      <c r="EC65" s="4">
        <v>0</v>
      </c>
      <c r="ED65" s="18">
        <v>0</v>
      </c>
      <c r="EE65" s="26">
        <v>0</v>
      </c>
      <c r="EF65" s="4">
        <v>0</v>
      </c>
      <c r="EG65" s="18">
        <v>0</v>
      </c>
      <c r="EH65" s="4">
        <v>0</v>
      </c>
      <c r="EI65" s="4">
        <v>0</v>
      </c>
      <c r="EJ65" s="4">
        <v>0</v>
      </c>
      <c r="EK65" s="19"/>
      <c r="EL65" s="4">
        <v>0</v>
      </c>
      <c r="EM65" s="4">
        <v>0</v>
      </c>
      <c r="EN65" s="4">
        <v>0</v>
      </c>
      <c r="EO65" s="4">
        <v>0</v>
      </c>
      <c r="EP65" s="11"/>
      <c r="EQ65" s="4">
        <v>287659</v>
      </c>
      <c r="ER65" s="4">
        <v>0</v>
      </c>
      <c r="ES65" s="4">
        <v>72839</v>
      </c>
      <c r="ET65" s="4">
        <v>0</v>
      </c>
      <c r="EU65" s="75">
        <v>0</v>
      </c>
      <c r="EV65" s="4">
        <v>0</v>
      </c>
      <c r="EW65" s="4">
        <v>45594</v>
      </c>
      <c r="EX65" s="4">
        <v>3042981</v>
      </c>
      <c r="EY65" s="4">
        <v>776</v>
      </c>
      <c r="EZ65" s="4">
        <v>829793</v>
      </c>
      <c r="FA65" s="11"/>
      <c r="FB65" s="4">
        <f t="shared" si="29"/>
        <v>4279642</v>
      </c>
    </row>
    <row r="66" spans="1:158" x14ac:dyDescent="0.2">
      <c r="A66">
        <v>4</v>
      </c>
      <c r="B66" t="s">
        <v>235</v>
      </c>
      <c r="C66" s="4">
        <v>0</v>
      </c>
      <c r="D66" s="4">
        <v>0</v>
      </c>
      <c r="E66" s="4">
        <v>0</v>
      </c>
      <c r="F66" s="4">
        <v>0</v>
      </c>
      <c r="G66" s="17">
        <v>0</v>
      </c>
      <c r="H66" s="4">
        <v>0</v>
      </c>
      <c r="I66" s="4">
        <v>0</v>
      </c>
      <c r="J66" s="4">
        <v>0</v>
      </c>
      <c r="K66" s="18">
        <v>0</v>
      </c>
      <c r="L66" s="4">
        <v>0</v>
      </c>
      <c r="M66" s="4">
        <v>0</v>
      </c>
      <c r="N66" s="4">
        <v>0</v>
      </c>
      <c r="O66" s="18">
        <v>0</v>
      </c>
      <c r="P66" s="4">
        <v>0</v>
      </c>
      <c r="Q66" s="4">
        <v>0</v>
      </c>
      <c r="R66" s="4">
        <v>0</v>
      </c>
      <c r="S66" s="18">
        <v>0</v>
      </c>
      <c r="T66" s="4">
        <v>0</v>
      </c>
      <c r="U66" s="4">
        <v>0</v>
      </c>
      <c r="V66" s="4">
        <v>0</v>
      </c>
      <c r="W66" s="4">
        <v>0</v>
      </c>
      <c r="X66" s="19"/>
      <c r="Y66" s="4">
        <v>0</v>
      </c>
      <c r="Z66" s="4">
        <v>0</v>
      </c>
      <c r="AA66" s="4">
        <v>0</v>
      </c>
      <c r="AB66" s="4">
        <v>0</v>
      </c>
      <c r="AC66" s="72">
        <v>0</v>
      </c>
      <c r="AD66" s="74">
        <v>0</v>
      </c>
      <c r="AE66" s="4">
        <v>0</v>
      </c>
      <c r="AF66" s="4">
        <v>0</v>
      </c>
      <c r="AG66" s="4">
        <v>0</v>
      </c>
      <c r="AH66" s="4">
        <v>0</v>
      </c>
      <c r="AI66" s="19"/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18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18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18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18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18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18">
        <v>0</v>
      </c>
      <c r="BT66" s="4">
        <v>0</v>
      </c>
      <c r="BU66" s="4">
        <v>0</v>
      </c>
      <c r="BV66" s="4">
        <v>0</v>
      </c>
      <c r="BW66" s="4">
        <v>0</v>
      </c>
      <c r="BX66" s="4">
        <v>0</v>
      </c>
      <c r="BY66" s="18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18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18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18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18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18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18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19"/>
      <c r="DQ66" s="33">
        <v>0</v>
      </c>
      <c r="DR66" s="33">
        <v>0</v>
      </c>
      <c r="DS66" s="33">
        <v>0</v>
      </c>
      <c r="DT66" s="33">
        <v>0</v>
      </c>
      <c r="DU66" s="33">
        <v>0</v>
      </c>
      <c r="DV66" s="33">
        <v>0</v>
      </c>
      <c r="DW66" s="33">
        <v>0</v>
      </c>
      <c r="DX66" s="33">
        <v>0</v>
      </c>
      <c r="DY66" s="33">
        <v>0</v>
      </c>
      <c r="DZ66" s="33">
        <v>0</v>
      </c>
      <c r="EA66" s="19"/>
      <c r="EB66" s="4">
        <v>0</v>
      </c>
      <c r="EC66" s="4">
        <v>0</v>
      </c>
      <c r="ED66" s="18">
        <v>0</v>
      </c>
      <c r="EE66" s="26">
        <v>0</v>
      </c>
      <c r="EF66" s="4">
        <v>0</v>
      </c>
      <c r="EG66" s="18">
        <v>0</v>
      </c>
      <c r="EH66" s="4">
        <v>0</v>
      </c>
      <c r="EI66" s="4">
        <v>0</v>
      </c>
      <c r="EJ66" s="4">
        <v>0</v>
      </c>
      <c r="EK66" s="19"/>
      <c r="EL66" s="4">
        <v>0</v>
      </c>
      <c r="EM66" s="4">
        <v>0</v>
      </c>
      <c r="EN66" s="4">
        <v>0</v>
      </c>
      <c r="EO66" s="4">
        <v>0</v>
      </c>
      <c r="EP66" s="11"/>
      <c r="EQ66" s="4">
        <v>293487</v>
      </c>
      <c r="ER66" s="4">
        <v>0</v>
      </c>
      <c r="ES66" s="4">
        <v>68400</v>
      </c>
      <c r="ET66" s="4">
        <v>0</v>
      </c>
      <c r="EU66" s="75">
        <v>0</v>
      </c>
      <c r="EV66" s="4">
        <v>0</v>
      </c>
      <c r="EW66" s="4">
        <v>44545</v>
      </c>
      <c r="EX66" s="4">
        <v>2982490</v>
      </c>
      <c r="EY66" s="4">
        <v>776</v>
      </c>
      <c r="EZ66" s="4">
        <v>829055</v>
      </c>
      <c r="FA66" s="11"/>
      <c r="FB66" s="4">
        <f t="shared" si="29"/>
        <v>4218753</v>
      </c>
    </row>
    <row r="67" spans="1:158" x14ac:dyDescent="0.2">
      <c r="A67">
        <v>5</v>
      </c>
      <c r="B67" t="s">
        <v>236</v>
      </c>
      <c r="C67" s="4">
        <v>0</v>
      </c>
      <c r="D67" s="4">
        <v>0</v>
      </c>
      <c r="E67" s="4">
        <v>0</v>
      </c>
      <c r="F67" s="4">
        <v>0</v>
      </c>
      <c r="G67" s="17">
        <v>0</v>
      </c>
      <c r="H67" s="4">
        <v>0</v>
      </c>
      <c r="I67" s="4">
        <v>0</v>
      </c>
      <c r="J67" s="4">
        <v>0</v>
      </c>
      <c r="K67" s="18">
        <v>0</v>
      </c>
      <c r="L67" s="4">
        <v>0</v>
      </c>
      <c r="M67" s="4">
        <v>0</v>
      </c>
      <c r="N67" s="4">
        <v>0</v>
      </c>
      <c r="O67" s="18">
        <v>0</v>
      </c>
      <c r="P67" s="4">
        <v>0</v>
      </c>
      <c r="Q67" s="4">
        <v>0</v>
      </c>
      <c r="R67" s="4">
        <v>0</v>
      </c>
      <c r="S67" s="18">
        <v>0</v>
      </c>
      <c r="T67" s="4">
        <v>0</v>
      </c>
      <c r="U67" s="4">
        <v>0</v>
      </c>
      <c r="V67" s="4">
        <v>0</v>
      </c>
      <c r="W67" s="4">
        <v>0</v>
      </c>
      <c r="X67" s="19"/>
      <c r="Y67" s="4">
        <v>0</v>
      </c>
      <c r="Z67" s="4">
        <v>0</v>
      </c>
      <c r="AA67" s="4">
        <v>0</v>
      </c>
      <c r="AB67" s="4">
        <v>0</v>
      </c>
      <c r="AC67" s="72">
        <v>0</v>
      </c>
      <c r="AD67" s="74">
        <v>0</v>
      </c>
      <c r="AE67" s="4">
        <v>0</v>
      </c>
      <c r="AF67" s="4">
        <v>0</v>
      </c>
      <c r="AG67" s="4">
        <v>0</v>
      </c>
      <c r="AH67" s="4">
        <v>0</v>
      </c>
      <c r="AI67" s="19"/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18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18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18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18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18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18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18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18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18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18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18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18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18">
        <v>0</v>
      </c>
      <c r="DJ67" s="4">
        <v>0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19"/>
      <c r="DQ67" s="33">
        <v>0</v>
      </c>
      <c r="DR67" s="33">
        <v>0</v>
      </c>
      <c r="DS67" s="33">
        <v>0</v>
      </c>
      <c r="DT67" s="33">
        <v>0</v>
      </c>
      <c r="DU67" s="33">
        <v>0</v>
      </c>
      <c r="DV67" s="33">
        <v>0</v>
      </c>
      <c r="DW67" s="33">
        <v>0</v>
      </c>
      <c r="DX67" s="33">
        <v>0</v>
      </c>
      <c r="DY67" s="33">
        <v>0</v>
      </c>
      <c r="DZ67" s="33">
        <v>0</v>
      </c>
      <c r="EA67" s="19"/>
      <c r="EB67" s="4">
        <v>0</v>
      </c>
      <c r="EC67" s="4">
        <v>0</v>
      </c>
      <c r="ED67" s="18">
        <v>0</v>
      </c>
      <c r="EE67" s="26">
        <v>0</v>
      </c>
      <c r="EF67" s="4">
        <v>0</v>
      </c>
      <c r="EG67" s="18">
        <v>0</v>
      </c>
      <c r="EH67" s="4">
        <v>0</v>
      </c>
      <c r="EI67" s="4">
        <v>0</v>
      </c>
      <c r="EJ67" s="4">
        <v>0</v>
      </c>
      <c r="EK67" s="19"/>
      <c r="EL67" s="4">
        <v>0</v>
      </c>
      <c r="EM67" s="4">
        <v>0</v>
      </c>
      <c r="EN67" s="4">
        <v>0</v>
      </c>
      <c r="EO67" s="4">
        <v>0</v>
      </c>
      <c r="EP67" s="11"/>
      <c r="EQ67" s="4">
        <v>264977</v>
      </c>
      <c r="ER67" s="4">
        <v>0</v>
      </c>
      <c r="ES67" s="4">
        <v>54317</v>
      </c>
      <c r="ET67" s="4">
        <v>0</v>
      </c>
      <c r="EU67" s="75">
        <v>0</v>
      </c>
      <c r="EV67" s="4">
        <v>0</v>
      </c>
      <c r="EW67" s="4">
        <v>44545</v>
      </c>
      <c r="EX67" s="4">
        <v>2987384</v>
      </c>
      <c r="EY67" s="4">
        <v>776</v>
      </c>
      <c r="EZ67" s="4">
        <v>831036</v>
      </c>
      <c r="FA67" s="11"/>
      <c r="FB67" s="4">
        <f t="shared" si="29"/>
        <v>4183035</v>
      </c>
    </row>
    <row r="68" spans="1:158" x14ac:dyDescent="0.2">
      <c r="A68">
        <v>6</v>
      </c>
      <c r="B68" t="s">
        <v>237</v>
      </c>
      <c r="C68" s="4">
        <v>0</v>
      </c>
      <c r="D68" s="4">
        <v>0</v>
      </c>
      <c r="E68" s="4">
        <v>0</v>
      </c>
      <c r="F68" s="4">
        <v>0</v>
      </c>
      <c r="G68" s="17">
        <v>0</v>
      </c>
      <c r="H68" s="4">
        <v>0</v>
      </c>
      <c r="I68" s="4">
        <v>0</v>
      </c>
      <c r="J68" s="4">
        <v>0</v>
      </c>
      <c r="K68" s="18">
        <v>0</v>
      </c>
      <c r="L68" s="4">
        <v>0</v>
      </c>
      <c r="M68" s="4">
        <v>0</v>
      </c>
      <c r="N68" s="4">
        <v>0</v>
      </c>
      <c r="O68" s="18">
        <v>0</v>
      </c>
      <c r="P68" s="4">
        <v>0</v>
      </c>
      <c r="Q68" s="4">
        <v>0</v>
      </c>
      <c r="R68" s="4">
        <v>0</v>
      </c>
      <c r="S68" s="18">
        <v>0</v>
      </c>
      <c r="T68" s="4">
        <v>0</v>
      </c>
      <c r="U68" s="4">
        <v>0</v>
      </c>
      <c r="V68" s="4">
        <v>0</v>
      </c>
      <c r="W68" s="4">
        <v>0</v>
      </c>
      <c r="X68" s="19"/>
      <c r="Y68" s="4">
        <v>0</v>
      </c>
      <c r="Z68" s="4">
        <v>0</v>
      </c>
      <c r="AA68" s="4">
        <v>0</v>
      </c>
      <c r="AB68" s="4">
        <v>0</v>
      </c>
      <c r="AC68" s="72">
        <v>0</v>
      </c>
      <c r="AD68" s="74">
        <v>0</v>
      </c>
      <c r="AE68" s="4">
        <v>0</v>
      </c>
      <c r="AF68" s="4">
        <v>0</v>
      </c>
      <c r="AG68" s="4">
        <v>0</v>
      </c>
      <c r="AH68" s="4">
        <v>0</v>
      </c>
      <c r="AI68" s="19"/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18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18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18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18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18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18">
        <v>0</v>
      </c>
      <c r="BT68" s="4">
        <v>0</v>
      </c>
      <c r="BU68" s="4">
        <v>0</v>
      </c>
      <c r="BV68" s="4">
        <v>0</v>
      </c>
      <c r="BW68" s="4">
        <v>0</v>
      </c>
      <c r="BX68" s="4">
        <v>0</v>
      </c>
      <c r="BY68" s="18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18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18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18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18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18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18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19"/>
      <c r="DQ68" s="33">
        <v>0</v>
      </c>
      <c r="DR68" s="33">
        <v>0</v>
      </c>
      <c r="DS68" s="33">
        <v>0</v>
      </c>
      <c r="DT68" s="33">
        <v>0</v>
      </c>
      <c r="DU68" s="33">
        <v>0</v>
      </c>
      <c r="DV68" s="33">
        <v>0</v>
      </c>
      <c r="DW68" s="33">
        <v>0</v>
      </c>
      <c r="DX68" s="33">
        <v>0</v>
      </c>
      <c r="DY68" s="33">
        <v>0</v>
      </c>
      <c r="DZ68" s="33">
        <v>0</v>
      </c>
      <c r="EA68" s="19"/>
      <c r="EB68" s="4">
        <v>0</v>
      </c>
      <c r="EC68" s="4">
        <v>0</v>
      </c>
      <c r="ED68" s="18">
        <v>0</v>
      </c>
      <c r="EE68" s="26">
        <v>0</v>
      </c>
      <c r="EF68" s="4">
        <v>0</v>
      </c>
      <c r="EG68" s="18">
        <v>0</v>
      </c>
      <c r="EH68" s="4">
        <v>0</v>
      </c>
      <c r="EI68" s="4">
        <v>0</v>
      </c>
      <c r="EJ68" s="4">
        <v>0</v>
      </c>
      <c r="EK68" s="19"/>
      <c r="EL68" s="4">
        <v>0</v>
      </c>
      <c r="EM68" s="4">
        <v>0</v>
      </c>
      <c r="EN68" s="4">
        <v>0</v>
      </c>
      <c r="EO68" s="4">
        <v>0</v>
      </c>
      <c r="EP68" s="11"/>
      <c r="EQ68" s="4">
        <v>247709</v>
      </c>
      <c r="ER68" s="4">
        <v>0</v>
      </c>
      <c r="ES68" s="4">
        <v>57999</v>
      </c>
      <c r="ET68" s="4">
        <v>0</v>
      </c>
      <c r="EU68" s="75">
        <v>0</v>
      </c>
      <c r="EV68" s="4">
        <v>0</v>
      </c>
      <c r="EW68" s="4">
        <v>44545</v>
      </c>
      <c r="EX68" s="4">
        <v>2980500</v>
      </c>
      <c r="EY68" s="4">
        <v>776</v>
      </c>
      <c r="EZ68" s="4">
        <v>828926</v>
      </c>
      <c r="FA68" s="11"/>
      <c r="FB68" s="4">
        <f t="shared" si="29"/>
        <v>4160455</v>
      </c>
    </row>
    <row r="69" spans="1:158" x14ac:dyDescent="0.2">
      <c r="A69">
        <v>7</v>
      </c>
      <c r="B69" t="s">
        <v>238</v>
      </c>
      <c r="C69" s="4">
        <v>0</v>
      </c>
      <c r="D69" s="4">
        <v>0</v>
      </c>
      <c r="E69" s="4">
        <v>0</v>
      </c>
      <c r="F69" s="4">
        <v>0</v>
      </c>
      <c r="G69" s="17">
        <v>0</v>
      </c>
      <c r="H69" s="4">
        <v>0</v>
      </c>
      <c r="I69" s="4">
        <v>0</v>
      </c>
      <c r="J69" s="4">
        <v>0</v>
      </c>
      <c r="K69" s="18">
        <v>0</v>
      </c>
      <c r="L69" s="4">
        <v>0</v>
      </c>
      <c r="M69" s="4">
        <v>0</v>
      </c>
      <c r="N69" s="4">
        <v>0</v>
      </c>
      <c r="O69" s="18">
        <v>0</v>
      </c>
      <c r="P69" s="4">
        <v>0</v>
      </c>
      <c r="Q69" s="4">
        <v>0</v>
      </c>
      <c r="R69" s="4">
        <v>0</v>
      </c>
      <c r="S69" s="18">
        <v>0</v>
      </c>
      <c r="T69" s="4">
        <v>0</v>
      </c>
      <c r="U69" s="4">
        <v>0</v>
      </c>
      <c r="V69" s="4">
        <v>0</v>
      </c>
      <c r="W69" s="4">
        <v>0</v>
      </c>
      <c r="X69" s="19"/>
      <c r="Y69" s="4">
        <v>0</v>
      </c>
      <c r="Z69" s="4">
        <v>0</v>
      </c>
      <c r="AA69" s="4">
        <v>0</v>
      </c>
      <c r="AB69" s="4">
        <v>0</v>
      </c>
      <c r="AC69" s="72">
        <v>0</v>
      </c>
      <c r="AD69" s="74">
        <v>0</v>
      </c>
      <c r="AE69" s="4">
        <v>0</v>
      </c>
      <c r="AF69" s="4">
        <v>0</v>
      </c>
      <c r="AG69" s="4">
        <v>0</v>
      </c>
      <c r="AH69" s="4">
        <v>0</v>
      </c>
      <c r="AI69" s="19"/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18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18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18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18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18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18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18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18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18">
        <v>0</v>
      </c>
      <c r="CL69" s="4">
        <v>0</v>
      </c>
      <c r="CM69" s="4">
        <v>0</v>
      </c>
      <c r="CN69" s="4">
        <v>0</v>
      </c>
      <c r="CO69" s="4">
        <v>0</v>
      </c>
      <c r="CP69" s="4">
        <v>0</v>
      </c>
      <c r="CQ69" s="18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18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18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18">
        <v>0</v>
      </c>
      <c r="DJ69" s="4">
        <v>0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19"/>
      <c r="DQ69" s="33">
        <v>0</v>
      </c>
      <c r="DR69" s="33">
        <v>0</v>
      </c>
      <c r="DS69" s="33">
        <v>0</v>
      </c>
      <c r="DT69" s="33">
        <v>0</v>
      </c>
      <c r="DU69" s="33">
        <v>0</v>
      </c>
      <c r="DV69" s="33">
        <v>0</v>
      </c>
      <c r="DW69" s="33">
        <v>0</v>
      </c>
      <c r="DX69" s="33">
        <v>0</v>
      </c>
      <c r="DY69" s="33">
        <v>0</v>
      </c>
      <c r="DZ69" s="33">
        <v>0</v>
      </c>
      <c r="EA69" s="19"/>
      <c r="EB69" s="4">
        <v>0</v>
      </c>
      <c r="EC69" s="4">
        <v>0</v>
      </c>
      <c r="ED69" s="18">
        <v>0</v>
      </c>
      <c r="EE69" s="26">
        <v>0</v>
      </c>
      <c r="EF69" s="4">
        <v>0</v>
      </c>
      <c r="EG69" s="18">
        <v>0</v>
      </c>
      <c r="EH69" s="4">
        <v>0</v>
      </c>
      <c r="EI69" s="4">
        <v>0</v>
      </c>
      <c r="EJ69" s="4">
        <v>0</v>
      </c>
      <c r="EK69" s="19"/>
      <c r="EL69" s="4">
        <v>0</v>
      </c>
      <c r="EM69" s="4">
        <v>0</v>
      </c>
      <c r="EN69" s="4">
        <v>0</v>
      </c>
      <c r="EO69" s="4">
        <v>0</v>
      </c>
      <c r="EP69" s="11"/>
      <c r="EQ69" s="4">
        <v>223686</v>
      </c>
      <c r="ER69" s="4">
        <v>0</v>
      </c>
      <c r="ES69" s="4">
        <v>57741</v>
      </c>
      <c r="ET69" s="4">
        <v>0</v>
      </c>
      <c r="EU69" s="75">
        <v>0</v>
      </c>
      <c r="EV69" s="4">
        <v>0</v>
      </c>
      <c r="EW69" s="4">
        <v>47692</v>
      </c>
      <c r="EX69" s="4">
        <v>3043994</v>
      </c>
      <c r="EY69" s="4">
        <v>776</v>
      </c>
      <c r="EZ69" s="4">
        <v>817198</v>
      </c>
      <c r="FA69" s="11"/>
      <c r="FB69" s="4">
        <f t="shared" si="29"/>
        <v>4191087</v>
      </c>
    </row>
    <row r="70" spans="1:158" x14ac:dyDescent="0.2">
      <c r="A70">
        <v>8</v>
      </c>
      <c r="B70" t="s">
        <v>239</v>
      </c>
      <c r="C70" s="4">
        <v>0</v>
      </c>
      <c r="D70" s="4">
        <v>0</v>
      </c>
      <c r="E70" s="4">
        <v>0</v>
      </c>
      <c r="F70" s="4">
        <v>0</v>
      </c>
      <c r="G70" s="17">
        <v>0</v>
      </c>
      <c r="H70" s="4">
        <v>0</v>
      </c>
      <c r="I70" s="4">
        <v>0</v>
      </c>
      <c r="J70" s="4">
        <v>0</v>
      </c>
      <c r="K70" s="18">
        <v>0</v>
      </c>
      <c r="L70" s="4">
        <v>0</v>
      </c>
      <c r="M70" s="4">
        <v>0</v>
      </c>
      <c r="N70" s="4">
        <v>0</v>
      </c>
      <c r="O70" s="18">
        <v>0</v>
      </c>
      <c r="P70" s="4">
        <v>0</v>
      </c>
      <c r="Q70" s="4">
        <v>0</v>
      </c>
      <c r="R70" s="4">
        <v>0</v>
      </c>
      <c r="S70" s="18">
        <v>0</v>
      </c>
      <c r="T70" s="4">
        <v>0</v>
      </c>
      <c r="U70" s="4">
        <v>0</v>
      </c>
      <c r="V70" s="4">
        <v>0</v>
      </c>
      <c r="W70" s="4">
        <v>0</v>
      </c>
      <c r="X70" s="19"/>
      <c r="Y70" s="4">
        <v>0</v>
      </c>
      <c r="Z70" s="4">
        <v>0</v>
      </c>
      <c r="AA70" s="4">
        <v>0</v>
      </c>
      <c r="AB70" s="4">
        <v>0</v>
      </c>
      <c r="AC70" s="72">
        <v>0</v>
      </c>
      <c r="AD70" s="74">
        <v>0</v>
      </c>
      <c r="AE70" s="4">
        <v>0</v>
      </c>
      <c r="AF70" s="4">
        <v>0</v>
      </c>
      <c r="AG70" s="4">
        <v>0</v>
      </c>
      <c r="AH70" s="4">
        <v>0</v>
      </c>
      <c r="AI70" s="19"/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18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18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18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18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18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18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18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18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18">
        <v>0</v>
      </c>
      <c r="CL70" s="4">
        <v>0</v>
      </c>
      <c r="CM70" s="4">
        <v>0</v>
      </c>
      <c r="CN70" s="4">
        <v>0</v>
      </c>
      <c r="CO70" s="4">
        <v>0</v>
      </c>
      <c r="CP70" s="4">
        <v>0</v>
      </c>
      <c r="CQ70" s="18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18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18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18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19"/>
      <c r="DQ70" s="33">
        <v>0</v>
      </c>
      <c r="DR70" s="33">
        <v>0</v>
      </c>
      <c r="DS70" s="33">
        <v>0</v>
      </c>
      <c r="DT70" s="33">
        <v>0</v>
      </c>
      <c r="DU70" s="33">
        <v>0</v>
      </c>
      <c r="DV70" s="33">
        <v>0</v>
      </c>
      <c r="DW70" s="33">
        <v>0</v>
      </c>
      <c r="DX70" s="33">
        <v>0</v>
      </c>
      <c r="DY70" s="33">
        <v>0</v>
      </c>
      <c r="DZ70" s="33">
        <v>0</v>
      </c>
      <c r="EA70" s="19"/>
      <c r="EB70" s="4">
        <v>0</v>
      </c>
      <c r="EC70" s="4">
        <v>0</v>
      </c>
      <c r="ED70" s="18">
        <v>0</v>
      </c>
      <c r="EE70" s="26">
        <v>0</v>
      </c>
      <c r="EF70" s="4">
        <v>0</v>
      </c>
      <c r="EG70" s="18">
        <v>0</v>
      </c>
      <c r="EH70" s="4">
        <v>0</v>
      </c>
      <c r="EI70" s="4">
        <v>0</v>
      </c>
      <c r="EJ70" s="4">
        <v>0</v>
      </c>
      <c r="EK70" s="19"/>
      <c r="EL70" s="4">
        <v>0</v>
      </c>
      <c r="EM70" s="4">
        <v>0</v>
      </c>
      <c r="EN70" s="4">
        <v>0</v>
      </c>
      <c r="EO70" s="4">
        <v>0</v>
      </c>
      <c r="EP70" s="11"/>
      <c r="EQ70" s="4">
        <v>231988</v>
      </c>
      <c r="ER70" s="4">
        <v>0</v>
      </c>
      <c r="ES70" s="4">
        <v>62653</v>
      </c>
      <c r="ET70" s="4">
        <v>0</v>
      </c>
      <c r="EU70" s="75">
        <v>0</v>
      </c>
      <c r="EV70" s="4">
        <v>0</v>
      </c>
      <c r="EW70" s="4">
        <v>45594</v>
      </c>
      <c r="EX70" s="4">
        <v>3015605</v>
      </c>
      <c r="EY70" s="4">
        <v>776</v>
      </c>
      <c r="EZ70" s="4">
        <v>824779</v>
      </c>
      <c r="FA70" s="11"/>
      <c r="FB70" s="4">
        <f t="shared" si="29"/>
        <v>4181395</v>
      </c>
    </row>
    <row r="71" spans="1:158" x14ac:dyDescent="0.2">
      <c r="A71">
        <v>9</v>
      </c>
      <c r="B71" t="s">
        <v>240</v>
      </c>
      <c r="C71" s="4">
        <v>0</v>
      </c>
      <c r="D71" s="4">
        <v>0</v>
      </c>
      <c r="E71" s="4">
        <v>0</v>
      </c>
      <c r="F71" s="4">
        <v>0</v>
      </c>
      <c r="G71" s="17">
        <v>0</v>
      </c>
      <c r="H71" s="4">
        <v>0</v>
      </c>
      <c r="I71" s="4">
        <v>0</v>
      </c>
      <c r="J71" s="4">
        <v>0</v>
      </c>
      <c r="K71" s="18">
        <v>0</v>
      </c>
      <c r="L71" s="4">
        <v>0</v>
      </c>
      <c r="M71" s="4">
        <v>0</v>
      </c>
      <c r="N71" s="4">
        <v>0</v>
      </c>
      <c r="O71" s="18">
        <v>0</v>
      </c>
      <c r="P71" s="4">
        <v>0</v>
      </c>
      <c r="Q71" s="4">
        <v>0</v>
      </c>
      <c r="R71" s="4">
        <v>0</v>
      </c>
      <c r="S71" s="18">
        <v>0</v>
      </c>
      <c r="T71" s="4">
        <v>0</v>
      </c>
      <c r="U71" s="4">
        <v>0</v>
      </c>
      <c r="V71" s="4">
        <v>0</v>
      </c>
      <c r="W71" s="4">
        <v>0</v>
      </c>
      <c r="X71" s="19"/>
      <c r="Y71" s="4">
        <v>0</v>
      </c>
      <c r="Z71" s="4">
        <v>0</v>
      </c>
      <c r="AA71" s="4">
        <v>0</v>
      </c>
      <c r="AB71" s="4">
        <v>0</v>
      </c>
      <c r="AC71" s="72">
        <v>0</v>
      </c>
      <c r="AD71" s="74">
        <v>0</v>
      </c>
      <c r="AE71" s="4">
        <v>0</v>
      </c>
      <c r="AF71" s="4">
        <v>0</v>
      </c>
      <c r="AG71" s="4">
        <v>0</v>
      </c>
      <c r="AH71" s="4">
        <v>0</v>
      </c>
      <c r="AI71" s="19"/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18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18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18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18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18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18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18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18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18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18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18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18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18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19"/>
      <c r="DQ71" s="33">
        <v>0</v>
      </c>
      <c r="DR71" s="33">
        <v>0</v>
      </c>
      <c r="DS71" s="33">
        <v>0</v>
      </c>
      <c r="DT71" s="33">
        <v>0</v>
      </c>
      <c r="DU71" s="33">
        <v>0</v>
      </c>
      <c r="DV71" s="33">
        <v>0</v>
      </c>
      <c r="DW71" s="33">
        <v>0</v>
      </c>
      <c r="DX71" s="33">
        <v>0</v>
      </c>
      <c r="DY71" s="33">
        <v>0</v>
      </c>
      <c r="DZ71" s="33">
        <v>0</v>
      </c>
      <c r="EA71" s="19"/>
      <c r="EB71" s="4">
        <v>0</v>
      </c>
      <c r="EC71" s="4">
        <v>0</v>
      </c>
      <c r="ED71" s="18">
        <v>0</v>
      </c>
      <c r="EE71" s="26">
        <v>0</v>
      </c>
      <c r="EF71" s="4">
        <v>0</v>
      </c>
      <c r="EG71" s="18">
        <v>0</v>
      </c>
      <c r="EH71" s="4">
        <v>0</v>
      </c>
      <c r="EI71" s="4">
        <v>0</v>
      </c>
      <c r="EJ71" s="4">
        <v>0</v>
      </c>
      <c r="EK71" s="19"/>
      <c r="EL71" s="4">
        <v>0</v>
      </c>
      <c r="EM71" s="4">
        <v>0</v>
      </c>
      <c r="EN71" s="4">
        <v>0</v>
      </c>
      <c r="EO71" s="4">
        <v>0</v>
      </c>
      <c r="EP71" s="11"/>
      <c r="EQ71" s="4">
        <v>286986</v>
      </c>
      <c r="ER71" s="4">
        <v>0</v>
      </c>
      <c r="ES71" s="4">
        <v>67378</v>
      </c>
      <c r="ET71" s="4">
        <v>0</v>
      </c>
      <c r="EU71" s="75">
        <v>0</v>
      </c>
      <c r="EV71" s="4">
        <v>0</v>
      </c>
      <c r="EW71" s="4">
        <v>45594</v>
      </c>
      <c r="EX71" s="4">
        <v>3475600</v>
      </c>
      <c r="EY71" s="4">
        <v>776</v>
      </c>
      <c r="EZ71" s="4">
        <v>824779</v>
      </c>
      <c r="FA71" s="11"/>
      <c r="FB71" s="4">
        <f t="shared" si="29"/>
        <v>4701113</v>
      </c>
    </row>
    <row r="72" spans="1:158" x14ac:dyDescent="0.2">
      <c r="A72">
        <v>10</v>
      </c>
      <c r="B72" t="s">
        <v>241</v>
      </c>
      <c r="C72" s="4">
        <v>0</v>
      </c>
      <c r="D72" s="4">
        <v>0</v>
      </c>
      <c r="E72" s="4">
        <v>0</v>
      </c>
      <c r="F72" s="4">
        <v>0</v>
      </c>
      <c r="G72" s="17">
        <v>0</v>
      </c>
      <c r="H72" s="4">
        <v>0</v>
      </c>
      <c r="I72" s="4">
        <v>0</v>
      </c>
      <c r="J72" s="4">
        <v>0</v>
      </c>
      <c r="K72" s="18">
        <v>0</v>
      </c>
      <c r="L72" s="4">
        <v>0</v>
      </c>
      <c r="M72" s="4">
        <v>0</v>
      </c>
      <c r="N72" s="4">
        <v>0</v>
      </c>
      <c r="O72" s="18">
        <v>0</v>
      </c>
      <c r="P72" s="4">
        <v>0</v>
      </c>
      <c r="Q72" s="4">
        <v>0</v>
      </c>
      <c r="R72" s="4">
        <v>0</v>
      </c>
      <c r="S72" s="18">
        <v>0</v>
      </c>
      <c r="T72" s="4">
        <v>0</v>
      </c>
      <c r="U72" s="4">
        <v>0</v>
      </c>
      <c r="V72" s="4">
        <v>0</v>
      </c>
      <c r="W72" s="4">
        <v>0</v>
      </c>
      <c r="X72" s="19"/>
      <c r="Y72" s="4">
        <v>0</v>
      </c>
      <c r="Z72" s="4">
        <v>0</v>
      </c>
      <c r="AA72" s="4">
        <v>0</v>
      </c>
      <c r="AB72" s="4">
        <v>0</v>
      </c>
      <c r="AC72" s="72">
        <v>0</v>
      </c>
      <c r="AD72" s="74">
        <v>0</v>
      </c>
      <c r="AE72" s="4">
        <v>0</v>
      </c>
      <c r="AF72" s="4">
        <v>0</v>
      </c>
      <c r="AG72" s="4">
        <v>0</v>
      </c>
      <c r="AH72" s="4">
        <v>0</v>
      </c>
      <c r="AI72" s="19"/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18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18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18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18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18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18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18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18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18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18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18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18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18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19"/>
      <c r="DQ72" s="33">
        <v>0</v>
      </c>
      <c r="DR72" s="33">
        <v>0</v>
      </c>
      <c r="DS72" s="33">
        <v>0</v>
      </c>
      <c r="DT72" s="33">
        <v>0</v>
      </c>
      <c r="DU72" s="33">
        <v>0</v>
      </c>
      <c r="DV72" s="33">
        <v>0</v>
      </c>
      <c r="DW72" s="33">
        <v>0</v>
      </c>
      <c r="DX72" s="33">
        <v>0</v>
      </c>
      <c r="DY72" s="33">
        <v>0</v>
      </c>
      <c r="DZ72" s="33">
        <v>0</v>
      </c>
      <c r="EA72" s="19"/>
      <c r="EB72" s="4">
        <v>0</v>
      </c>
      <c r="EC72" s="4">
        <v>0</v>
      </c>
      <c r="ED72" s="18">
        <v>0</v>
      </c>
      <c r="EE72" s="26">
        <v>0</v>
      </c>
      <c r="EF72" s="4">
        <v>0</v>
      </c>
      <c r="EG72" s="18">
        <v>0</v>
      </c>
      <c r="EH72" s="4">
        <v>0</v>
      </c>
      <c r="EI72" s="4">
        <v>0</v>
      </c>
      <c r="EJ72" s="4">
        <v>0</v>
      </c>
      <c r="EK72" s="19"/>
      <c r="EL72" s="4">
        <v>0</v>
      </c>
      <c r="EM72" s="4">
        <v>0</v>
      </c>
      <c r="EN72" s="4">
        <v>0</v>
      </c>
      <c r="EO72" s="4">
        <v>0</v>
      </c>
      <c r="EP72" s="11"/>
      <c r="EQ72" s="4">
        <v>290107</v>
      </c>
      <c r="ER72" s="4">
        <v>0</v>
      </c>
      <c r="ES72" s="4">
        <v>69706</v>
      </c>
      <c r="ET72" s="4">
        <v>0</v>
      </c>
      <c r="EU72" s="75">
        <v>0</v>
      </c>
      <c r="EV72" s="4">
        <v>0</v>
      </c>
      <c r="EW72" s="4">
        <v>45594</v>
      </c>
      <c r="EX72" s="4">
        <v>3155672</v>
      </c>
      <c r="EY72" s="4">
        <v>776</v>
      </c>
      <c r="EZ72" s="4">
        <v>823498</v>
      </c>
      <c r="FA72" s="11"/>
      <c r="FB72" s="4">
        <f t="shared" si="29"/>
        <v>4385353</v>
      </c>
    </row>
    <row r="73" spans="1:158" x14ac:dyDescent="0.2">
      <c r="A73">
        <v>11</v>
      </c>
      <c r="B73" t="s">
        <v>242</v>
      </c>
      <c r="C73" s="4">
        <v>0</v>
      </c>
      <c r="D73" s="4">
        <v>0</v>
      </c>
      <c r="E73" s="4">
        <v>0</v>
      </c>
      <c r="F73" s="18">
        <v>0</v>
      </c>
      <c r="G73" s="17">
        <v>0</v>
      </c>
      <c r="H73" s="4">
        <v>0</v>
      </c>
      <c r="I73" s="4">
        <v>0</v>
      </c>
      <c r="J73" s="4">
        <v>0</v>
      </c>
      <c r="K73" s="18">
        <v>0</v>
      </c>
      <c r="L73" s="4">
        <v>0</v>
      </c>
      <c r="M73" s="4">
        <v>0</v>
      </c>
      <c r="N73" s="4">
        <v>0</v>
      </c>
      <c r="O73" s="18">
        <v>0</v>
      </c>
      <c r="P73" s="4">
        <v>0</v>
      </c>
      <c r="Q73" s="4">
        <v>0</v>
      </c>
      <c r="R73" s="4">
        <v>0</v>
      </c>
      <c r="S73" s="18">
        <v>0</v>
      </c>
      <c r="T73" s="4">
        <v>0</v>
      </c>
      <c r="U73" s="4">
        <v>0</v>
      </c>
      <c r="V73" s="4">
        <v>0</v>
      </c>
      <c r="W73" s="4">
        <v>0</v>
      </c>
      <c r="X73" s="19"/>
      <c r="Y73" s="4">
        <v>0</v>
      </c>
      <c r="Z73" s="4">
        <v>0</v>
      </c>
      <c r="AA73" s="4">
        <v>0</v>
      </c>
      <c r="AB73" s="4">
        <v>0</v>
      </c>
      <c r="AC73" s="72">
        <v>0</v>
      </c>
      <c r="AD73" s="74">
        <v>0</v>
      </c>
      <c r="AE73" s="4">
        <v>0</v>
      </c>
      <c r="AF73" s="4">
        <v>0</v>
      </c>
      <c r="AG73" s="4">
        <v>0</v>
      </c>
      <c r="AH73" s="4">
        <v>0</v>
      </c>
      <c r="AI73" s="19"/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18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18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18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18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18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18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18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18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18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18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18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18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18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19"/>
      <c r="DQ73" s="33">
        <v>0</v>
      </c>
      <c r="DR73" s="33">
        <v>0</v>
      </c>
      <c r="DS73" s="33">
        <v>0</v>
      </c>
      <c r="DT73" s="33">
        <v>0</v>
      </c>
      <c r="DU73" s="33">
        <v>0</v>
      </c>
      <c r="DV73" s="33">
        <v>0</v>
      </c>
      <c r="DW73" s="33">
        <v>0</v>
      </c>
      <c r="DX73" s="33">
        <v>0</v>
      </c>
      <c r="DY73" s="33">
        <v>0</v>
      </c>
      <c r="DZ73" s="33">
        <v>0</v>
      </c>
      <c r="EA73" s="19"/>
      <c r="EB73" s="4">
        <v>0</v>
      </c>
      <c r="EC73" s="4">
        <v>0</v>
      </c>
      <c r="ED73" s="18">
        <v>0</v>
      </c>
      <c r="EE73" s="26">
        <v>0</v>
      </c>
      <c r="EF73" s="4">
        <v>0</v>
      </c>
      <c r="EG73" s="18">
        <v>0</v>
      </c>
      <c r="EH73" s="4">
        <v>0</v>
      </c>
      <c r="EI73" s="4">
        <v>0</v>
      </c>
      <c r="EJ73" s="4">
        <v>0</v>
      </c>
      <c r="EK73" s="19"/>
      <c r="EL73" s="4">
        <v>0</v>
      </c>
      <c r="EM73" s="4">
        <v>0</v>
      </c>
      <c r="EN73" s="4">
        <v>0</v>
      </c>
      <c r="EO73" s="4">
        <v>0</v>
      </c>
      <c r="EP73" s="11"/>
      <c r="EQ73" s="4">
        <v>350313</v>
      </c>
      <c r="ER73" s="4">
        <v>0</v>
      </c>
      <c r="ES73" s="4">
        <v>75818</v>
      </c>
      <c r="ET73" s="4">
        <v>0</v>
      </c>
      <c r="EU73" s="75">
        <v>0</v>
      </c>
      <c r="EV73" s="4">
        <v>0</v>
      </c>
      <c r="EW73" s="4">
        <v>45594</v>
      </c>
      <c r="EX73" s="4">
        <v>2994699</v>
      </c>
      <c r="EY73" s="4">
        <v>776</v>
      </c>
      <c r="EZ73" s="4">
        <v>827711</v>
      </c>
      <c r="FA73" s="11"/>
      <c r="FB73" s="4">
        <f t="shared" si="29"/>
        <v>4294911</v>
      </c>
    </row>
    <row r="74" spans="1:158" x14ac:dyDescent="0.2">
      <c r="A74">
        <v>12</v>
      </c>
      <c r="B74" t="s">
        <v>243</v>
      </c>
      <c r="C74" s="4">
        <v>0</v>
      </c>
      <c r="D74" s="4">
        <v>0</v>
      </c>
      <c r="E74" s="4">
        <v>0</v>
      </c>
      <c r="F74" s="18">
        <v>0</v>
      </c>
      <c r="G74" s="17">
        <v>0</v>
      </c>
      <c r="H74" s="4">
        <v>0</v>
      </c>
      <c r="I74" s="4">
        <v>0</v>
      </c>
      <c r="J74" s="4">
        <v>0</v>
      </c>
      <c r="K74" s="18">
        <v>0</v>
      </c>
      <c r="L74" s="4">
        <v>0</v>
      </c>
      <c r="M74" s="4">
        <v>0</v>
      </c>
      <c r="N74" s="4">
        <v>0</v>
      </c>
      <c r="O74" s="18">
        <v>0</v>
      </c>
      <c r="P74" s="4">
        <v>0</v>
      </c>
      <c r="Q74" s="4">
        <v>0</v>
      </c>
      <c r="R74" s="4">
        <v>0</v>
      </c>
      <c r="S74" s="18">
        <v>0</v>
      </c>
      <c r="T74" s="4">
        <v>0</v>
      </c>
      <c r="U74" s="4">
        <v>0</v>
      </c>
      <c r="V74" s="4">
        <v>0</v>
      </c>
      <c r="W74" s="4">
        <v>0</v>
      </c>
      <c r="X74" s="19"/>
      <c r="Y74" s="4">
        <v>0</v>
      </c>
      <c r="Z74" s="4">
        <v>0</v>
      </c>
      <c r="AA74" s="4">
        <v>0</v>
      </c>
      <c r="AB74" s="4">
        <v>0</v>
      </c>
      <c r="AC74" s="72">
        <v>0</v>
      </c>
      <c r="AD74" s="74">
        <v>0</v>
      </c>
      <c r="AE74" s="4">
        <v>0</v>
      </c>
      <c r="AF74" s="4">
        <v>0</v>
      </c>
      <c r="AG74" s="4">
        <v>0</v>
      </c>
      <c r="AH74" s="4">
        <v>0</v>
      </c>
      <c r="AI74" s="19"/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18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18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18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18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18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18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18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18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18">
        <v>0</v>
      </c>
      <c r="CL74" s="4">
        <v>0</v>
      </c>
      <c r="CM74" s="4">
        <v>0</v>
      </c>
      <c r="CN74" s="4">
        <v>0</v>
      </c>
      <c r="CO74" s="4">
        <v>0</v>
      </c>
      <c r="CP74" s="4">
        <v>0</v>
      </c>
      <c r="CQ74" s="18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18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18">
        <v>0</v>
      </c>
      <c r="DD74" s="4">
        <v>0</v>
      </c>
      <c r="DE74" s="4">
        <v>0</v>
      </c>
      <c r="DF74" s="4">
        <v>0</v>
      </c>
      <c r="DG74" s="4">
        <v>0</v>
      </c>
      <c r="DH74" s="4">
        <v>0</v>
      </c>
      <c r="DI74" s="18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19"/>
      <c r="DQ74" s="33">
        <v>0</v>
      </c>
      <c r="DR74" s="33">
        <v>0</v>
      </c>
      <c r="DS74" s="33">
        <v>0</v>
      </c>
      <c r="DT74" s="33">
        <v>0</v>
      </c>
      <c r="DU74" s="33">
        <v>0</v>
      </c>
      <c r="DV74" s="33">
        <v>0</v>
      </c>
      <c r="DW74" s="33">
        <v>0</v>
      </c>
      <c r="DX74" s="33">
        <v>0</v>
      </c>
      <c r="DY74" s="33">
        <v>0</v>
      </c>
      <c r="DZ74" s="33">
        <v>0</v>
      </c>
      <c r="EA74" s="19"/>
      <c r="EB74" s="4">
        <v>0</v>
      </c>
      <c r="EC74" s="4">
        <v>0</v>
      </c>
      <c r="ED74" s="18">
        <v>0</v>
      </c>
      <c r="EE74" s="26">
        <v>0</v>
      </c>
      <c r="EF74" s="4">
        <v>0</v>
      </c>
      <c r="EG74" s="18">
        <v>0</v>
      </c>
      <c r="EH74" s="4">
        <v>0</v>
      </c>
      <c r="EI74" s="4">
        <v>0</v>
      </c>
      <c r="EJ74" s="4">
        <v>0</v>
      </c>
      <c r="EK74" s="19"/>
      <c r="EL74" s="4">
        <v>0</v>
      </c>
      <c r="EM74" s="4">
        <v>0</v>
      </c>
      <c r="EN74" s="4">
        <v>0</v>
      </c>
      <c r="EO74" s="4">
        <v>0</v>
      </c>
      <c r="EP74" s="11"/>
      <c r="EQ74" s="4">
        <v>401676</v>
      </c>
      <c r="ER74" s="4">
        <v>0</v>
      </c>
      <c r="ES74" s="4">
        <v>90243</v>
      </c>
      <c r="ET74" s="4">
        <v>0</v>
      </c>
      <c r="EU74" s="75">
        <v>0</v>
      </c>
      <c r="EV74" s="4">
        <v>0</v>
      </c>
      <c r="EW74" s="4">
        <v>45594</v>
      </c>
      <c r="EX74" s="4">
        <v>2993783</v>
      </c>
      <c r="EY74" s="4">
        <v>776</v>
      </c>
      <c r="EZ74" s="4">
        <v>831434</v>
      </c>
      <c r="FA74" s="11"/>
      <c r="FB74" s="4">
        <f t="shared" si="29"/>
        <v>4363506</v>
      </c>
    </row>
    <row r="75" spans="1:158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4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</row>
    <row r="76" spans="1:158" x14ac:dyDescent="0.2">
      <c r="C76" t="s">
        <v>244</v>
      </c>
      <c r="G76" t="s">
        <v>245</v>
      </c>
      <c r="Y76" t="s">
        <v>246</v>
      </c>
      <c r="AC76" t="s">
        <v>59</v>
      </c>
      <c r="AJ76" t="s">
        <v>247</v>
      </c>
      <c r="DQ76" t="s">
        <v>248</v>
      </c>
      <c r="EB76" t="s">
        <v>249</v>
      </c>
      <c r="EL76" t="s">
        <v>250</v>
      </c>
      <c r="EQ76" t="s">
        <v>251</v>
      </c>
    </row>
    <row r="77" spans="1:158" x14ac:dyDescent="0.2">
      <c r="B77" t="s">
        <v>164</v>
      </c>
      <c r="C77" s="24">
        <f>SUM(C3:W3)+SUM(C18:W18)+SUM(C33:W33)+SUM(C48:W48)+SUM(C63:W63)-G77</f>
        <v>109923468</v>
      </c>
      <c r="D77" s="24">
        <v>109923468</v>
      </c>
      <c r="E77" s="24">
        <f>C77-D77</f>
        <v>0</v>
      </c>
      <c r="G77" s="24">
        <f>G3+G18+G33+G48+G63</f>
        <v>600697</v>
      </c>
      <c r="H77" s="24">
        <v>600697</v>
      </c>
      <c r="I77" s="24">
        <f>G77-H77</f>
        <v>0</v>
      </c>
      <c r="Y77" s="24">
        <f>SUM(Y3:AH3)+SUM(Y18:AH18)+SUM(Y33:AH33)+SUM(Y48:AH48)+SUM(Y63:AH63)-AC77</f>
        <v>828450242</v>
      </c>
      <c r="Z77" s="24">
        <v>828450242</v>
      </c>
      <c r="AA77" s="24">
        <f>Y77-Z77</f>
        <v>0</v>
      </c>
      <c r="AC77" s="73">
        <f>SUM(AC3:AD3)+SUM(AC18:AD18)+SUM(AC33:AD33)+SUM(AC48:AD48)+SUM(AC63:AC63)</f>
        <v>7406010</v>
      </c>
      <c r="AD77" s="7">
        <v>7406010</v>
      </c>
      <c r="AE77" s="24">
        <f t="shared" ref="AE77:AE88" si="30">AC77-AD77</f>
        <v>0</v>
      </c>
      <c r="AJ77" s="24">
        <f t="shared" ref="AJ77:AJ88" si="31">SUM(AJ3:DO3)+SUM(AJ18:DO18)+SUM(AJ33:DO33)+SUM(AJ48:DO48)+SUM(AJ63:DO63)</f>
        <v>444682349</v>
      </c>
      <c r="AK77" s="24">
        <v>444682349.00000012</v>
      </c>
      <c r="AL77" s="24">
        <f>AJ77-AK77</f>
        <v>0</v>
      </c>
      <c r="DQ77" s="24">
        <f t="shared" ref="DQ77:DQ88" si="32">SUM(DQ3:DZ3)+SUM(DQ18:DZ18)+SUM(DQ33:DZ33)+SUM(DQ48:DZ48)+SUM(DQ63:DZ63)</f>
        <v>157029123.80000001</v>
      </c>
      <c r="DR77" s="24">
        <v>157029123.80000001</v>
      </c>
      <c r="DS77" s="24">
        <f>DQ77-DR77</f>
        <v>0</v>
      </c>
      <c r="EB77" s="24">
        <f>SUM(EB3:EJ3)+SUM(EB18:EJ18)+SUM(EB33:EJ33)+SUM(EB48:EJ48)+SUM(EB63:EJ63)</f>
        <v>1181647679</v>
      </c>
      <c r="EC77" s="24">
        <v>1181647679</v>
      </c>
      <c r="ED77" s="24">
        <f>EB77-EC77</f>
        <v>0</v>
      </c>
      <c r="EL77" s="24">
        <f>SUM(EL3:EN3)+SUM(EL18:EN18)+SUM(EL33:EN33)+SUM(EL48:EN48)+SUM(EL63:EO63)</f>
        <v>13782350</v>
      </c>
      <c r="EM77" s="24">
        <v>13782350</v>
      </c>
      <c r="EN77" s="24">
        <f>EL77-EM77</f>
        <v>0</v>
      </c>
      <c r="EQ77" s="24">
        <f>SUM(EQ3:EZ3)+SUM(EQ18:EZ18)+SUM(EQ33:EZ33)+SUM(EQ48:EZ48)+SUM(EQ63:EZ63)</f>
        <v>13798989</v>
      </c>
      <c r="ER77" s="24">
        <v>13798989</v>
      </c>
      <c r="ES77" s="24">
        <f t="shared" ref="ES77:ES88" si="33">EQ77-ER77</f>
        <v>0</v>
      </c>
      <c r="EU77" s="24"/>
      <c r="EW77" s="24"/>
      <c r="EX77" s="24"/>
      <c r="EY77" s="24"/>
    </row>
    <row r="78" spans="1:158" x14ac:dyDescent="0.2">
      <c r="C78" s="24">
        <f t="shared" ref="C78:C88" si="34">SUM(C4:W4)+SUM(C19:W19)+SUM(C34:W34)+SUM(C49:W49)+SUM(C64:W64)-G78</f>
        <v>94177533</v>
      </c>
      <c r="D78" s="24">
        <v>94177533</v>
      </c>
      <c r="E78" s="24">
        <f t="shared" ref="E78:E88" si="35">C78-D78</f>
        <v>0</v>
      </c>
      <c r="G78" s="24">
        <f t="shared" ref="G78:G88" si="36">G4+G19+G34+G49+G64</f>
        <v>490151</v>
      </c>
      <c r="H78" s="24">
        <v>490151</v>
      </c>
      <c r="I78" s="24">
        <f t="shared" ref="I78:I88" si="37">G78-H78</f>
        <v>0</v>
      </c>
      <c r="Y78" s="24">
        <f t="shared" ref="Y78:Y88" si="38">SUM(Y4:AH4)+SUM(Y19:AH19)+SUM(Y34:AH34)+SUM(Y49:AH49)+SUM(Y64:AH64)-AC78</f>
        <v>788346279</v>
      </c>
      <c r="Z78" s="24">
        <v>788346279</v>
      </c>
      <c r="AA78" s="24">
        <f t="shared" ref="AA78:AA88" si="39">Y78-Z78</f>
        <v>0</v>
      </c>
      <c r="AC78" s="73">
        <f t="shared" ref="AC78:AC88" si="40">SUM(AC4:AD4)+SUM(AC19:AD19)+SUM(AC34:AD34)+SUM(AC49:AD49)+SUM(AC64:AC64)</f>
        <v>7907350</v>
      </c>
      <c r="AD78" s="7">
        <v>7907350</v>
      </c>
      <c r="AE78" s="24">
        <f t="shared" si="30"/>
        <v>0</v>
      </c>
      <c r="AJ78" s="24">
        <f t="shared" si="31"/>
        <v>412437117.99999994</v>
      </c>
      <c r="AK78" s="24">
        <v>412437117.99999994</v>
      </c>
      <c r="AL78" s="24">
        <f>AJ78-AK78</f>
        <v>0</v>
      </c>
      <c r="DQ78" s="24">
        <f t="shared" si="32"/>
        <v>188729751.39999998</v>
      </c>
      <c r="DR78" s="24">
        <v>188729751.39999998</v>
      </c>
      <c r="DS78" s="24">
        <f t="shared" ref="DS78:DS88" si="41">DQ78-DR78</f>
        <v>0</v>
      </c>
      <c r="EB78" s="24">
        <f t="shared" ref="EB78:EB88" si="42">SUM(EB4:EJ4)+SUM(EB19:EJ19)+SUM(EB34:EJ34)+SUM(EB49:EJ49)+SUM(EB64:EJ64)</f>
        <v>915856738</v>
      </c>
      <c r="EC78" s="24">
        <v>915856738</v>
      </c>
      <c r="ED78" s="24">
        <f t="shared" ref="ED78:ED88" si="43">EB78-EC78</f>
        <v>0</v>
      </c>
      <c r="EL78" s="24">
        <f t="shared" ref="EL78:EL88" si="44">SUM(EL4:EN4)+SUM(EL19:EN19)+SUM(EL34:EN34)+SUM(EL49:EN49)+SUM(EL64:EO64)</f>
        <v>12899418</v>
      </c>
      <c r="EM78" s="24">
        <v>12899418</v>
      </c>
      <c r="EN78" s="24">
        <f t="shared" ref="EN78:EN88" si="45">EL78-EM78</f>
        <v>0</v>
      </c>
      <c r="EQ78" s="24">
        <f t="shared" ref="EQ78:EQ88" si="46">SUM(EQ4:EZ4)+SUM(EQ19:EZ19)+SUM(EQ34:EZ34)+SUM(EQ49:EZ49)+SUM(EQ64:EZ64)</f>
        <v>13565483</v>
      </c>
      <c r="ER78" s="24">
        <v>13565483</v>
      </c>
      <c r="ES78" s="24">
        <f t="shared" si="33"/>
        <v>0</v>
      </c>
      <c r="EU78" s="24"/>
      <c r="EW78" s="24"/>
      <c r="EX78" s="24"/>
      <c r="EY78" s="24"/>
    </row>
    <row r="79" spans="1:158" x14ac:dyDescent="0.2">
      <c r="C79" s="24">
        <f t="shared" si="34"/>
        <v>82293455</v>
      </c>
      <c r="D79" s="24">
        <v>82293455</v>
      </c>
      <c r="E79" s="24">
        <f t="shared" si="35"/>
        <v>0</v>
      </c>
      <c r="G79" s="24">
        <f t="shared" si="36"/>
        <v>437578</v>
      </c>
      <c r="H79" s="24">
        <v>437578</v>
      </c>
      <c r="I79" s="24">
        <f t="shared" si="37"/>
        <v>0</v>
      </c>
      <c r="Y79" s="24">
        <f t="shared" si="38"/>
        <v>784229373</v>
      </c>
      <c r="Z79" s="24">
        <v>784229373</v>
      </c>
      <c r="AA79" s="24">
        <f t="shared" si="39"/>
        <v>0</v>
      </c>
      <c r="AC79" s="73">
        <f t="shared" si="40"/>
        <v>8109480</v>
      </c>
      <c r="AD79" s="7">
        <v>8109480</v>
      </c>
      <c r="AE79" s="24">
        <f t="shared" si="30"/>
        <v>0</v>
      </c>
      <c r="AJ79" s="24">
        <f t="shared" si="31"/>
        <v>390381127.00000006</v>
      </c>
      <c r="AK79" s="24">
        <v>390381127.00000012</v>
      </c>
      <c r="AL79" s="24">
        <f>AJ79-AK79</f>
        <v>0</v>
      </c>
      <c r="DQ79" s="24">
        <f t="shared" si="32"/>
        <v>175720047.40000001</v>
      </c>
      <c r="DR79" s="24">
        <v>175720047.40000001</v>
      </c>
      <c r="DS79" s="24">
        <f t="shared" si="41"/>
        <v>0</v>
      </c>
      <c r="EB79" s="24">
        <f t="shared" si="42"/>
        <v>735654171</v>
      </c>
      <c r="EC79" s="24">
        <v>735654171</v>
      </c>
      <c r="ED79" s="24">
        <f t="shared" si="43"/>
        <v>0</v>
      </c>
      <c r="EL79" s="24">
        <f t="shared" si="44"/>
        <v>12258577</v>
      </c>
      <c r="EM79" s="24">
        <v>12258577</v>
      </c>
      <c r="EN79" s="24">
        <f t="shared" si="45"/>
        <v>0</v>
      </c>
      <c r="EQ79" s="24">
        <f t="shared" si="46"/>
        <v>13508369</v>
      </c>
      <c r="ER79" s="24">
        <v>13508369</v>
      </c>
      <c r="ES79" s="24">
        <f t="shared" si="33"/>
        <v>0</v>
      </c>
      <c r="EU79" s="24"/>
      <c r="EW79" s="24"/>
      <c r="EX79" s="24"/>
      <c r="EY79" s="24"/>
    </row>
    <row r="80" spans="1:158" x14ac:dyDescent="0.2">
      <c r="C80" s="24">
        <f t="shared" si="34"/>
        <v>82782076</v>
      </c>
      <c r="D80" s="24">
        <v>82782076</v>
      </c>
      <c r="E80" s="24">
        <f t="shared" si="35"/>
        <v>0</v>
      </c>
      <c r="G80" s="24">
        <f t="shared" si="36"/>
        <v>434288</v>
      </c>
      <c r="H80" s="24">
        <v>434288</v>
      </c>
      <c r="I80" s="24">
        <f t="shared" si="37"/>
        <v>0</v>
      </c>
      <c r="Y80" s="24">
        <f t="shared" si="38"/>
        <v>806600137</v>
      </c>
      <c r="Z80" s="24">
        <v>806600137</v>
      </c>
      <c r="AA80" s="24">
        <f t="shared" si="39"/>
        <v>0</v>
      </c>
      <c r="AC80" s="73">
        <f t="shared" si="40"/>
        <v>9187060</v>
      </c>
      <c r="AD80" s="7">
        <v>9187060</v>
      </c>
      <c r="AE80" s="24">
        <f t="shared" si="30"/>
        <v>0</v>
      </c>
      <c r="AJ80" s="24">
        <f t="shared" si="31"/>
        <v>400457656.00000012</v>
      </c>
      <c r="AK80" s="24">
        <v>400457656.00000006</v>
      </c>
      <c r="AL80" s="24">
        <f t="shared" ref="AL80:AL88" si="47">AJ80-AK80</f>
        <v>0</v>
      </c>
      <c r="DQ80" s="24">
        <f t="shared" si="32"/>
        <v>189467497.19999999</v>
      </c>
      <c r="DR80" s="24">
        <v>189467497.19999999</v>
      </c>
      <c r="DS80" s="24">
        <f t="shared" si="41"/>
        <v>0</v>
      </c>
      <c r="EB80" s="24">
        <f t="shared" si="42"/>
        <v>721546092</v>
      </c>
      <c r="EC80" s="24">
        <v>721546092</v>
      </c>
      <c r="ED80" s="24">
        <f t="shared" si="43"/>
        <v>0</v>
      </c>
      <c r="EL80" s="24">
        <f t="shared" si="44"/>
        <v>11993760</v>
      </c>
      <c r="EM80" s="24">
        <v>11993760</v>
      </c>
      <c r="EN80" s="24">
        <f t="shared" si="45"/>
        <v>0</v>
      </c>
      <c r="EQ80" s="24">
        <f t="shared" si="46"/>
        <v>13427286</v>
      </c>
      <c r="ER80" s="24">
        <v>13427286</v>
      </c>
      <c r="ES80" s="24">
        <f t="shared" si="33"/>
        <v>0</v>
      </c>
      <c r="EU80" s="24"/>
      <c r="EW80" s="24"/>
      <c r="EX80" s="24"/>
      <c r="EY80" s="24"/>
    </row>
    <row r="81" spans="3:155" x14ac:dyDescent="0.2">
      <c r="C81" s="24">
        <f t="shared" si="34"/>
        <v>75912479</v>
      </c>
      <c r="D81" s="24">
        <v>75912479</v>
      </c>
      <c r="E81" s="24">
        <f t="shared" si="35"/>
        <v>0</v>
      </c>
      <c r="G81" s="24">
        <f t="shared" si="36"/>
        <v>389072</v>
      </c>
      <c r="H81" s="24">
        <v>389072</v>
      </c>
      <c r="I81" s="24">
        <f t="shared" si="37"/>
        <v>0</v>
      </c>
      <c r="Y81" s="24">
        <f t="shared" si="38"/>
        <v>824351980</v>
      </c>
      <c r="Z81" s="24">
        <v>824351980</v>
      </c>
      <c r="AA81" s="24">
        <f t="shared" si="39"/>
        <v>0</v>
      </c>
      <c r="AC81" s="73">
        <f t="shared" si="40"/>
        <v>7472876</v>
      </c>
      <c r="AD81" s="7">
        <v>7472876</v>
      </c>
      <c r="AE81" s="24">
        <f t="shared" si="30"/>
        <v>0</v>
      </c>
      <c r="AJ81" s="24">
        <f t="shared" si="31"/>
        <v>392962091</v>
      </c>
      <c r="AK81" s="24">
        <v>392962091</v>
      </c>
      <c r="AL81" s="24">
        <f t="shared" si="47"/>
        <v>0</v>
      </c>
      <c r="DQ81" s="24">
        <f t="shared" si="32"/>
        <v>191765020.59999999</v>
      </c>
      <c r="DR81" s="24">
        <v>191765020.59999999</v>
      </c>
      <c r="DS81" s="24">
        <f t="shared" si="41"/>
        <v>0</v>
      </c>
      <c r="EB81" s="24">
        <f t="shared" si="42"/>
        <v>574288472</v>
      </c>
      <c r="EC81" s="24">
        <v>574288472</v>
      </c>
      <c r="ED81" s="24">
        <f t="shared" si="43"/>
        <v>0</v>
      </c>
      <c r="EL81" s="24">
        <f t="shared" si="44"/>
        <v>11790477</v>
      </c>
      <c r="EM81" s="24">
        <v>11790477</v>
      </c>
      <c r="EN81" s="24">
        <f t="shared" si="45"/>
        <v>0</v>
      </c>
      <c r="EQ81" s="24">
        <f t="shared" si="46"/>
        <v>13305808</v>
      </c>
      <c r="ER81" s="24">
        <v>13305808</v>
      </c>
      <c r="ES81" s="24">
        <f t="shared" si="33"/>
        <v>0</v>
      </c>
      <c r="EU81" s="24"/>
      <c r="EW81" s="24"/>
      <c r="EX81" s="24"/>
      <c r="EY81" s="24"/>
    </row>
    <row r="82" spans="3:155" x14ac:dyDescent="0.2">
      <c r="C82" s="24">
        <f t="shared" si="34"/>
        <v>94856528</v>
      </c>
      <c r="D82" s="24">
        <v>94856528</v>
      </c>
      <c r="E82" s="24">
        <f t="shared" si="35"/>
        <v>0</v>
      </c>
      <c r="G82" s="24">
        <f t="shared" si="36"/>
        <v>441207</v>
      </c>
      <c r="H82" s="24">
        <v>441207</v>
      </c>
      <c r="I82" s="24">
        <f t="shared" si="37"/>
        <v>0</v>
      </c>
      <c r="Y82" s="24">
        <f t="shared" si="38"/>
        <v>904195093</v>
      </c>
      <c r="Z82" s="24">
        <v>904195093</v>
      </c>
      <c r="AA82" s="24">
        <f t="shared" si="39"/>
        <v>0</v>
      </c>
      <c r="AC82" s="73">
        <f t="shared" si="40"/>
        <v>7862397</v>
      </c>
      <c r="AD82" s="7">
        <v>7862397</v>
      </c>
      <c r="AE82" s="24">
        <f t="shared" si="30"/>
        <v>0</v>
      </c>
      <c r="AJ82" s="24">
        <f t="shared" si="31"/>
        <v>448220995</v>
      </c>
      <c r="AK82" s="24">
        <v>448220995</v>
      </c>
      <c r="AL82" s="24">
        <f t="shared" si="47"/>
        <v>0</v>
      </c>
      <c r="DQ82" s="24">
        <f t="shared" si="32"/>
        <v>189625890.19999999</v>
      </c>
      <c r="DR82" s="24">
        <v>189625890.20000002</v>
      </c>
      <c r="DS82" s="24">
        <f t="shared" si="41"/>
        <v>0</v>
      </c>
      <c r="EB82" s="24">
        <f t="shared" si="42"/>
        <v>763757368</v>
      </c>
      <c r="EC82" s="24">
        <v>763757368</v>
      </c>
      <c r="ED82" s="24">
        <f t="shared" si="43"/>
        <v>0</v>
      </c>
      <c r="EL82" s="24">
        <f t="shared" si="44"/>
        <v>12830697</v>
      </c>
      <c r="EM82" s="24">
        <v>12830697</v>
      </c>
      <c r="EN82" s="24">
        <f t="shared" si="45"/>
        <v>0</v>
      </c>
      <c r="EQ82" s="24">
        <f t="shared" si="46"/>
        <v>13263619</v>
      </c>
      <c r="ER82" s="24">
        <v>13263619</v>
      </c>
      <c r="ES82" s="24">
        <f t="shared" si="33"/>
        <v>0</v>
      </c>
      <c r="EU82" s="24"/>
      <c r="EW82" s="24"/>
      <c r="EX82" s="24"/>
      <c r="EY82" s="24"/>
    </row>
    <row r="83" spans="3:155" x14ac:dyDescent="0.2">
      <c r="C83" s="24">
        <f t="shared" si="34"/>
        <v>98910325</v>
      </c>
      <c r="D83" s="24">
        <v>98910325</v>
      </c>
      <c r="E83" s="24">
        <f t="shared" si="35"/>
        <v>0</v>
      </c>
      <c r="G83" s="24">
        <f t="shared" si="36"/>
        <v>463941</v>
      </c>
      <c r="H83" s="24">
        <v>463941</v>
      </c>
      <c r="I83" s="24">
        <f t="shared" si="37"/>
        <v>0</v>
      </c>
      <c r="Y83" s="24">
        <f t="shared" si="38"/>
        <v>918408608</v>
      </c>
      <c r="Z83" s="24">
        <v>918408608</v>
      </c>
      <c r="AA83" s="24">
        <f t="shared" si="39"/>
        <v>0</v>
      </c>
      <c r="AC83" s="73">
        <f t="shared" si="40"/>
        <v>7866864</v>
      </c>
      <c r="AD83" s="7">
        <v>7866864</v>
      </c>
      <c r="AE83" s="24">
        <f t="shared" si="30"/>
        <v>0</v>
      </c>
      <c r="AJ83" s="24">
        <f t="shared" si="31"/>
        <v>441467514.00000006</v>
      </c>
      <c r="AK83" s="24">
        <v>441467514.00000006</v>
      </c>
      <c r="AL83" s="24">
        <f t="shared" si="47"/>
        <v>0</v>
      </c>
      <c r="DQ83" s="24">
        <f t="shared" si="32"/>
        <v>187307915.00000003</v>
      </c>
      <c r="DR83" s="24">
        <v>187307915.00000003</v>
      </c>
      <c r="DS83" s="24">
        <f t="shared" si="41"/>
        <v>0</v>
      </c>
      <c r="EB83" s="24">
        <f t="shared" si="42"/>
        <v>803132209</v>
      </c>
      <c r="EC83" s="24">
        <v>803132209</v>
      </c>
      <c r="ED83" s="24">
        <f t="shared" si="43"/>
        <v>0</v>
      </c>
      <c r="EL83" s="24">
        <f t="shared" si="44"/>
        <v>13045674</v>
      </c>
      <c r="EM83" s="24">
        <v>13045674</v>
      </c>
      <c r="EN83" s="24">
        <f t="shared" si="45"/>
        <v>0</v>
      </c>
      <c r="EQ83" s="24">
        <f t="shared" si="46"/>
        <v>13454555</v>
      </c>
      <c r="ER83" s="24">
        <v>13454555</v>
      </c>
      <c r="ES83" s="24">
        <f t="shared" si="33"/>
        <v>0</v>
      </c>
      <c r="EU83" s="24"/>
      <c r="EW83" s="24"/>
      <c r="EX83" s="24"/>
      <c r="EY83" s="24"/>
    </row>
    <row r="84" spans="3:155" x14ac:dyDescent="0.2">
      <c r="C84" s="24">
        <f t="shared" si="34"/>
        <v>96473528</v>
      </c>
      <c r="D84" s="24">
        <v>96473528</v>
      </c>
      <c r="E84" s="24">
        <f t="shared" si="35"/>
        <v>0</v>
      </c>
      <c r="G84" s="24">
        <f t="shared" si="36"/>
        <v>446946</v>
      </c>
      <c r="H84" s="24">
        <v>446946</v>
      </c>
      <c r="I84" s="24">
        <f t="shared" si="37"/>
        <v>0</v>
      </c>
      <c r="Y84" s="24">
        <f t="shared" si="38"/>
        <v>901526114</v>
      </c>
      <c r="Z84" s="24">
        <v>901526114</v>
      </c>
      <c r="AA84" s="24">
        <f t="shared" si="39"/>
        <v>0</v>
      </c>
      <c r="AC84" s="73">
        <f t="shared" si="40"/>
        <v>6810552</v>
      </c>
      <c r="AD84" s="7">
        <v>6810552</v>
      </c>
      <c r="AE84" s="24">
        <f t="shared" si="30"/>
        <v>0</v>
      </c>
      <c r="AJ84" s="24">
        <f t="shared" si="31"/>
        <v>448555273.9999997</v>
      </c>
      <c r="AK84" s="24">
        <v>448555273.9999997</v>
      </c>
      <c r="AL84" s="24">
        <f t="shared" si="47"/>
        <v>0</v>
      </c>
      <c r="DQ84" s="24">
        <f t="shared" si="32"/>
        <v>193436896.84999996</v>
      </c>
      <c r="DR84" s="24">
        <v>193436896.84999996</v>
      </c>
      <c r="DS84" s="24">
        <f t="shared" si="41"/>
        <v>0</v>
      </c>
      <c r="EB84" s="24">
        <f t="shared" si="42"/>
        <v>772418309</v>
      </c>
      <c r="EC84" s="24">
        <v>772418309</v>
      </c>
      <c r="ED84" s="24">
        <f t="shared" si="43"/>
        <v>0</v>
      </c>
      <c r="EL84" s="24">
        <f t="shared" si="44"/>
        <v>12126031</v>
      </c>
      <c r="EM84" s="24">
        <v>12126031</v>
      </c>
      <c r="EN84" s="24">
        <f t="shared" si="45"/>
        <v>0</v>
      </c>
      <c r="EQ84" s="24">
        <f t="shared" si="46"/>
        <v>13451362</v>
      </c>
      <c r="ER84" s="24">
        <v>13451362</v>
      </c>
      <c r="ES84" s="24">
        <f t="shared" si="33"/>
        <v>0</v>
      </c>
      <c r="EU84" s="24"/>
      <c r="EW84" s="24"/>
      <c r="EX84" s="24"/>
      <c r="EY84" s="24"/>
    </row>
    <row r="85" spans="3:155" x14ac:dyDescent="0.2">
      <c r="C85" s="24">
        <f t="shared" si="34"/>
        <v>88612404</v>
      </c>
      <c r="D85" s="24">
        <v>88612404</v>
      </c>
      <c r="E85" s="24">
        <f t="shared" si="35"/>
        <v>0</v>
      </c>
      <c r="G85" s="24">
        <f t="shared" si="36"/>
        <v>428304</v>
      </c>
      <c r="H85" s="24">
        <v>428304</v>
      </c>
      <c r="I85" s="24">
        <f t="shared" si="37"/>
        <v>0</v>
      </c>
      <c r="Y85" s="24">
        <f t="shared" si="38"/>
        <v>895465536</v>
      </c>
      <c r="Z85" s="24">
        <v>895465536</v>
      </c>
      <c r="AA85" s="24">
        <f t="shared" si="39"/>
        <v>0</v>
      </c>
      <c r="AC85" s="73">
        <f t="shared" si="40"/>
        <v>8420868</v>
      </c>
      <c r="AD85" s="7">
        <v>8420868</v>
      </c>
      <c r="AE85" s="24">
        <f t="shared" si="30"/>
        <v>0</v>
      </c>
      <c r="AJ85" s="24">
        <f t="shared" si="31"/>
        <v>441377891</v>
      </c>
      <c r="AK85" s="24">
        <v>441377890.99999988</v>
      </c>
      <c r="AL85" s="24">
        <f t="shared" si="47"/>
        <v>0</v>
      </c>
      <c r="DQ85" s="24">
        <f t="shared" si="32"/>
        <v>195774666.19999999</v>
      </c>
      <c r="DR85" s="24">
        <v>195774666.19999999</v>
      </c>
      <c r="DS85" s="24">
        <f t="shared" si="41"/>
        <v>0</v>
      </c>
      <c r="EB85" s="24">
        <f t="shared" si="42"/>
        <v>673300764</v>
      </c>
      <c r="EC85" s="24">
        <v>673300764</v>
      </c>
      <c r="ED85" s="24">
        <f t="shared" si="43"/>
        <v>0</v>
      </c>
      <c r="EL85" s="24">
        <f t="shared" si="44"/>
        <v>12792790</v>
      </c>
      <c r="EM85" s="24">
        <v>12792790</v>
      </c>
      <c r="EN85" s="24">
        <f t="shared" si="45"/>
        <v>0</v>
      </c>
      <c r="EQ85" s="24">
        <f t="shared" si="46"/>
        <v>13982077</v>
      </c>
      <c r="ER85" s="24">
        <v>13982077</v>
      </c>
      <c r="ES85" s="24">
        <f t="shared" si="33"/>
        <v>0</v>
      </c>
      <c r="EU85" s="24"/>
      <c r="EW85" s="32"/>
      <c r="EX85" s="24"/>
      <c r="EY85" s="24"/>
    </row>
    <row r="86" spans="3:155" x14ac:dyDescent="0.2">
      <c r="C86" s="24">
        <f t="shared" si="34"/>
        <v>81399563</v>
      </c>
      <c r="D86" s="24">
        <v>81399563</v>
      </c>
      <c r="E86" s="24">
        <f t="shared" si="35"/>
        <v>0</v>
      </c>
      <c r="G86" s="24">
        <f t="shared" si="36"/>
        <v>425046</v>
      </c>
      <c r="H86" s="24">
        <v>425046</v>
      </c>
      <c r="I86" s="24">
        <f t="shared" si="37"/>
        <v>0</v>
      </c>
      <c r="Y86" s="24">
        <f t="shared" si="38"/>
        <v>855750811</v>
      </c>
      <c r="Z86" s="24">
        <v>855750811</v>
      </c>
      <c r="AA86" s="24">
        <f t="shared" si="39"/>
        <v>0</v>
      </c>
      <c r="AC86" s="73">
        <f t="shared" si="40"/>
        <v>7516224</v>
      </c>
      <c r="AD86" s="7">
        <v>7516224</v>
      </c>
      <c r="AE86" s="24">
        <f t="shared" si="30"/>
        <v>0</v>
      </c>
      <c r="AJ86" s="24">
        <f t="shared" si="31"/>
        <v>427277324.99999994</v>
      </c>
      <c r="AK86" s="24">
        <v>427277324.99999988</v>
      </c>
      <c r="AL86" s="24">
        <f t="shared" si="47"/>
        <v>0</v>
      </c>
      <c r="DQ86" s="24">
        <f t="shared" si="32"/>
        <v>187799504.20000002</v>
      </c>
      <c r="DR86" s="24">
        <v>187799504.19999999</v>
      </c>
      <c r="DS86" s="24">
        <f t="shared" si="41"/>
        <v>0</v>
      </c>
      <c r="EB86" s="24">
        <f t="shared" si="42"/>
        <v>593475457</v>
      </c>
      <c r="EC86" s="24">
        <v>593475457</v>
      </c>
      <c r="ED86" s="24">
        <f t="shared" si="43"/>
        <v>0</v>
      </c>
      <c r="EL86" s="24">
        <f t="shared" si="44"/>
        <v>11505103</v>
      </c>
      <c r="EM86" s="24">
        <v>11505103</v>
      </c>
      <c r="EN86" s="24">
        <f t="shared" si="45"/>
        <v>0</v>
      </c>
      <c r="EQ86" s="24">
        <f t="shared" si="46"/>
        <v>13634640</v>
      </c>
      <c r="ER86" s="24">
        <v>13634640</v>
      </c>
      <c r="ES86" s="24">
        <f t="shared" si="33"/>
        <v>0</v>
      </c>
      <c r="EU86" s="24"/>
      <c r="EW86" s="24"/>
      <c r="EX86" s="24"/>
      <c r="EY86" s="24"/>
    </row>
    <row r="87" spans="3:155" x14ac:dyDescent="0.2">
      <c r="C87" s="24">
        <f t="shared" si="34"/>
        <v>74233742</v>
      </c>
      <c r="D87" s="24">
        <v>74233742</v>
      </c>
      <c r="E87" s="24">
        <f t="shared" si="35"/>
        <v>0</v>
      </c>
      <c r="G87" s="24">
        <f t="shared" si="36"/>
        <v>398713</v>
      </c>
      <c r="H87" s="24">
        <v>398713</v>
      </c>
      <c r="I87" s="24">
        <f t="shared" si="37"/>
        <v>0</v>
      </c>
      <c r="Y87" s="24">
        <f t="shared" si="38"/>
        <v>823095762</v>
      </c>
      <c r="Z87" s="24">
        <v>823095762</v>
      </c>
      <c r="AA87" s="24">
        <f t="shared" si="39"/>
        <v>0</v>
      </c>
      <c r="AC87" s="73">
        <f t="shared" si="40"/>
        <v>8636868</v>
      </c>
      <c r="AD87" s="7">
        <v>8636868</v>
      </c>
      <c r="AE87" s="24">
        <f t="shared" si="30"/>
        <v>0</v>
      </c>
      <c r="AJ87" s="24">
        <f t="shared" si="31"/>
        <v>391675638.00000012</v>
      </c>
      <c r="AK87" s="24">
        <v>391675638.00000006</v>
      </c>
      <c r="AL87" s="24">
        <f t="shared" si="47"/>
        <v>0</v>
      </c>
      <c r="DQ87" s="24">
        <f t="shared" si="32"/>
        <v>201156249.59999999</v>
      </c>
      <c r="DR87" s="24">
        <v>201156249.59999999</v>
      </c>
      <c r="DS87" s="24">
        <f t="shared" si="41"/>
        <v>0</v>
      </c>
      <c r="EB87" s="24">
        <f t="shared" si="42"/>
        <v>600255000</v>
      </c>
      <c r="EC87" s="24">
        <v>600255000</v>
      </c>
      <c r="ED87" s="24">
        <f t="shared" si="43"/>
        <v>0</v>
      </c>
      <c r="EL87" s="24">
        <f t="shared" si="44"/>
        <v>11227870</v>
      </c>
      <c r="EM87" s="24">
        <v>11227870</v>
      </c>
      <c r="EN87" s="24">
        <f t="shared" si="45"/>
        <v>0</v>
      </c>
      <c r="EQ87" s="24">
        <f t="shared" si="46"/>
        <v>13581666</v>
      </c>
      <c r="ER87" s="24">
        <v>13581666</v>
      </c>
      <c r="ES87" s="24">
        <f t="shared" si="33"/>
        <v>0</v>
      </c>
      <c r="EU87" s="24"/>
      <c r="EW87" s="24"/>
      <c r="EX87" s="24"/>
      <c r="EY87" s="24"/>
    </row>
    <row r="88" spans="3:155" x14ac:dyDescent="0.2">
      <c r="C88" s="24">
        <f t="shared" si="34"/>
        <v>85660718</v>
      </c>
      <c r="D88" s="24">
        <v>85660718</v>
      </c>
      <c r="E88" s="24">
        <f t="shared" si="35"/>
        <v>0</v>
      </c>
      <c r="G88" s="24">
        <f t="shared" si="36"/>
        <v>454064</v>
      </c>
      <c r="H88" s="24">
        <v>454064</v>
      </c>
      <c r="I88" s="24">
        <f t="shared" si="37"/>
        <v>0</v>
      </c>
      <c r="Y88" s="24">
        <f t="shared" si="38"/>
        <v>808097827</v>
      </c>
      <c r="Z88" s="24">
        <v>808097827</v>
      </c>
      <c r="AA88" s="24">
        <f t="shared" si="39"/>
        <v>0</v>
      </c>
      <c r="AC88" s="73">
        <f t="shared" si="40"/>
        <v>7899890</v>
      </c>
      <c r="AD88" s="7">
        <v>7899890</v>
      </c>
      <c r="AE88" s="24">
        <f t="shared" si="30"/>
        <v>0</v>
      </c>
      <c r="AJ88" s="24">
        <f t="shared" si="31"/>
        <v>405623365</v>
      </c>
      <c r="AK88" s="24">
        <v>405623364.99999994</v>
      </c>
      <c r="AL88" s="24">
        <f t="shared" si="47"/>
        <v>0</v>
      </c>
      <c r="DQ88" s="24">
        <f t="shared" si="32"/>
        <v>177885434</v>
      </c>
      <c r="DR88" s="24">
        <v>177885434</v>
      </c>
      <c r="DS88" s="24">
        <f t="shared" si="41"/>
        <v>0</v>
      </c>
      <c r="EB88" s="24">
        <f t="shared" si="42"/>
        <v>799437599</v>
      </c>
      <c r="EC88" s="24">
        <v>799437599</v>
      </c>
      <c r="ED88" s="24">
        <f t="shared" si="43"/>
        <v>0</v>
      </c>
      <c r="EL88" s="24">
        <f t="shared" si="44"/>
        <v>12063708</v>
      </c>
      <c r="EM88" s="24">
        <v>12063708</v>
      </c>
      <c r="EN88" s="24">
        <f t="shared" si="45"/>
        <v>0</v>
      </c>
      <c r="EQ88" s="24">
        <f t="shared" si="46"/>
        <v>13670755</v>
      </c>
      <c r="ER88" s="24">
        <v>13670755</v>
      </c>
      <c r="ES88" s="24">
        <f t="shared" si="33"/>
        <v>0</v>
      </c>
      <c r="EU88" s="24"/>
      <c r="EW88" s="24"/>
      <c r="EX88" s="24"/>
      <c r="EY88" s="24"/>
    </row>
    <row r="89" spans="3:155" x14ac:dyDescent="0.2">
      <c r="C89" s="24">
        <f>SUM(C77:C88)-SUM(D77:D88)</f>
        <v>0</v>
      </c>
      <c r="D89" s="24"/>
      <c r="G89" s="24">
        <f>SUM(G77:G88)-SUM(H77:H88)</f>
        <v>0</v>
      </c>
      <c r="Y89" s="24">
        <f>SUM(Y77:Y88)-SUM(Z77:Z88)</f>
        <v>0</v>
      </c>
      <c r="Z89" s="24"/>
      <c r="AC89" s="24">
        <f>SUM(AC77:AC88)-SUM(AD77:AD88)</f>
        <v>0</v>
      </c>
      <c r="AJ89" s="24">
        <f>SUM(AJ77:AJ88)-SUM(AK77:AK88)</f>
        <v>0</v>
      </c>
      <c r="AK89" s="24"/>
      <c r="DQ89" s="24">
        <f>SUM(DQ77:DQ88)-SUM(DR77:DR88)</f>
        <v>0</v>
      </c>
      <c r="EB89" s="24">
        <f>SUM(EB77:EB88)-SUM(EC77:EC88)</f>
        <v>0</v>
      </c>
      <c r="EL89" s="24">
        <f>SUM(EL77:EL88)-SUM(EM77:EM88)</f>
        <v>0</v>
      </c>
      <c r="EQ89" s="24">
        <f>SUM(EQ77:EQ88)-SUM(ER77:ER88)</f>
        <v>0</v>
      </c>
      <c r="ER89" s="24"/>
    </row>
  </sheetData>
  <mergeCells count="112">
    <mergeCell ref="DJ1:DO1"/>
    <mergeCell ref="DJ16:DO16"/>
    <mergeCell ref="DJ31:DO31"/>
    <mergeCell ref="DJ46:DO46"/>
    <mergeCell ref="DJ61:DO61"/>
    <mergeCell ref="EE1:EG1"/>
    <mergeCell ref="EH1:EJ1"/>
    <mergeCell ref="EB16:ED16"/>
    <mergeCell ref="EE16:EG16"/>
    <mergeCell ref="EH16:EJ16"/>
    <mergeCell ref="EB31:ED31"/>
    <mergeCell ref="EE31:EG31"/>
    <mergeCell ref="EH31:EJ31"/>
    <mergeCell ref="EB46:ED46"/>
    <mergeCell ref="EE46:EG46"/>
    <mergeCell ref="EH46:EJ46"/>
    <mergeCell ref="EH61:EJ61"/>
    <mergeCell ref="C46:F46"/>
    <mergeCell ref="H46:K46"/>
    <mergeCell ref="L46:O46"/>
    <mergeCell ref="P46:S46"/>
    <mergeCell ref="T46:W46"/>
    <mergeCell ref="DD46:DI46"/>
    <mergeCell ref="AP46:AU46"/>
    <mergeCell ref="AV46:BA46"/>
    <mergeCell ref="BB46:BG46"/>
    <mergeCell ref="BH46:BM46"/>
    <mergeCell ref="BN46:BS46"/>
    <mergeCell ref="BT46:BY46"/>
    <mergeCell ref="BZ46:CE46"/>
    <mergeCell ref="CF46:CK46"/>
    <mergeCell ref="CL46:CQ46"/>
    <mergeCell ref="CR46:CW46"/>
    <mergeCell ref="CX46:DC46"/>
    <mergeCell ref="CX31:DC31"/>
    <mergeCell ref="DD31:DI31"/>
    <mergeCell ref="AP31:AU31"/>
    <mergeCell ref="AV31:BA31"/>
    <mergeCell ref="BB31:BG31"/>
    <mergeCell ref="BH31:BM31"/>
    <mergeCell ref="BN31:BS31"/>
    <mergeCell ref="BT31:BY31"/>
    <mergeCell ref="AJ46:AO46"/>
    <mergeCell ref="BZ31:CE31"/>
    <mergeCell ref="CF31:CK31"/>
    <mergeCell ref="CL31:CQ31"/>
    <mergeCell ref="CR31:CW31"/>
    <mergeCell ref="C31:F31"/>
    <mergeCell ref="H31:K31"/>
    <mergeCell ref="L31:O31"/>
    <mergeCell ref="P31:S31"/>
    <mergeCell ref="T31:W31"/>
    <mergeCell ref="AJ31:AO31"/>
    <mergeCell ref="BB16:BG16"/>
    <mergeCell ref="BH16:BM16"/>
    <mergeCell ref="BN16:BS16"/>
    <mergeCell ref="EL1:EM1"/>
    <mergeCell ref="EN1:EO1"/>
    <mergeCell ref="C16:F16"/>
    <mergeCell ref="H16:K16"/>
    <mergeCell ref="L16:O16"/>
    <mergeCell ref="P16:S16"/>
    <mergeCell ref="T16:W16"/>
    <mergeCell ref="AJ16:AO16"/>
    <mergeCell ref="AP16:AU16"/>
    <mergeCell ref="AV16:BA16"/>
    <mergeCell ref="BZ1:CE1"/>
    <mergeCell ref="CF1:CK1"/>
    <mergeCell ref="CL1:CQ1"/>
    <mergeCell ref="CR1:CW1"/>
    <mergeCell ref="CX1:DC1"/>
    <mergeCell ref="DD1:DI1"/>
    <mergeCell ref="CL16:CQ16"/>
    <mergeCell ref="CR16:CW16"/>
    <mergeCell ref="CX16:DC16"/>
    <mergeCell ref="DD16:DI16"/>
    <mergeCell ref="BT16:BY16"/>
    <mergeCell ref="BZ16:CE16"/>
    <mergeCell ref="CF16:CK16"/>
    <mergeCell ref="EB1:ED1"/>
    <mergeCell ref="BT1:BY1"/>
    <mergeCell ref="C1:F1"/>
    <mergeCell ref="H1:K1"/>
    <mergeCell ref="L1:O1"/>
    <mergeCell ref="P1:S1"/>
    <mergeCell ref="T1:W1"/>
    <mergeCell ref="AJ1:AO1"/>
    <mergeCell ref="AP1:AU1"/>
    <mergeCell ref="AV1:BA1"/>
    <mergeCell ref="BB1:BG1"/>
    <mergeCell ref="BH1:BM1"/>
    <mergeCell ref="BN1:BS1"/>
    <mergeCell ref="AJ61:AO61"/>
    <mergeCell ref="AP61:AU61"/>
    <mergeCell ref="AV61:BA61"/>
    <mergeCell ref="BB61:BG61"/>
    <mergeCell ref="BH61:BM61"/>
    <mergeCell ref="C61:F61"/>
    <mergeCell ref="H61:K61"/>
    <mergeCell ref="L61:O61"/>
    <mergeCell ref="P61:S61"/>
    <mergeCell ref="T61:W61"/>
    <mergeCell ref="CR61:CW61"/>
    <mergeCell ref="CX61:DC61"/>
    <mergeCell ref="DD61:DI61"/>
    <mergeCell ref="EB61:ED61"/>
    <mergeCell ref="EE61:EG61"/>
    <mergeCell ref="BN61:BS61"/>
    <mergeCell ref="BT61:BY61"/>
    <mergeCell ref="BZ61:CE61"/>
    <mergeCell ref="CF61:CK61"/>
    <mergeCell ref="CL61:CQ61"/>
  </mergeCells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S153"/>
  <sheetViews>
    <sheetView topLeftCell="B1" zoomScaleNormal="100" workbookViewId="0">
      <selection activeCell="J26" sqref="J26"/>
    </sheetView>
  </sheetViews>
  <sheetFormatPr defaultColWidth="9.140625" defaultRowHeight="12.75" x14ac:dyDescent="0.2"/>
  <cols>
    <col min="1" max="1" width="36.7109375" customWidth="1"/>
    <col min="2" max="4" width="12.85546875" customWidth="1"/>
    <col min="5" max="5" width="14.42578125" bestFit="1" customWidth="1"/>
    <col min="6" max="26" width="15" customWidth="1"/>
    <col min="27" max="27" width="4.85546875" customWidth="1"/>
    <col min="28" max="34" width="15" customWidth="1"/>
    <col min="35" max="35" width="4.85546875" customWidth="1"/>
    <col min="36" max="77" width="15" customWidth="1"/>
    <col min="78" max="78" width="4.85546875" customWidth="1"/>
    <col min="79" max="82" width="13.5703125" customWidth="1"/>
    <col min="83" max="83" width="16.140625" customWidth="1"/>
    <col min="84" max="88" width="15" customWidth="1"/>
    <col min="89" max="89" width="4.85546875" customWidth="1"/>
    <col min="90" max="92" width="15" customWidth="1"/>
    <col min="93" max="93" width="14" bestFit="1" customWidth="1"/>
    <col min="94" max="95" width="15" customWidth="1"/>
    <col min="96" max="96" width="4.85546875" customWidth="1"/>
    <col min="97" max="98" width="15" style="2" customWidth="1"/>
    <col min="99" max="99" width="5" customWidth="1"/>
    <col min="100" max="100" width="13.85546875" customWidth="1"/>
    <col min="101" max="101" width="10.7109375" customWidth="1"/>
    <col min="102" max="102" width="12.5703125" customWidth="1"/>
    <col min="103" max="105" width="10.28515625" customWidth="1"/>
    <col min="106" max="106" width="11.42578125" customWidth="1"/>
    <col min="107" max="108" width="10.28515625" customWidth="1"/>
    <col min="109" max="109" width="12.85546875" bestFit="1" customWidth="1"/>
    <col min="110" max="110" width="15" bestFit="1" customWidth="1"/>
    <col min="111" max="111" width="16.5703125" bestFit="1" customWidth="1"/>
    <col min="112" max="113" width="16.5703125" customWidth="1"/>
    <col min="114" max="114" width="14.85546875" customWidth="1"/>
    <col min="115" max="115" width="14" bestFit="1" customWidth="1"/>
    <col min="116" max="116" width="11.140625" customWidth="1"/>
    <col min="117" max="117" width="11.28515625" bestFit="1" customWidth="1"/>
    <col min="118" max="118" width="12" customWidth="1"/>
    <col min="119" max="120" width="14.28515625" customWidth="1"/>
    <col min="123" max="123" width="10" bestFit="1" customWidth="1"/>
  </cols>
  <sheetData>
    <row r="1" spans="1:120" x14ac:dyDescent="0.2">
      <c r="A1" s="313" t="s">
        <v>252</v>
      </c>
      <c r="B1" s="313"/>
      <c r="C1" s="313"/>
      <c r="D1" s="313"/>
      <c r="E1" t="s">
        <v>25</v>
      </c>
      <c r="F1" s="350" t="s">
        <v>169</v>
      </c>
      <c r="G1" s="350"/>
      <c r="H1" s="350"/>
      <c r="I1" s="351"/>
      <c r="J1" s="102" t="s">
        <v>34</v>
      </c>
      <c r="K1" s="350" t="s">
        <v>36</v>
      </c>
      <c r="L1" s="350"/>
      <c r="M1" s="350"/>
      <c r="N1" s="350"/>
      <c r="O1" s="352" t="s">
        <v>39</v>
      </c>
      <c r="P1" s="350"/>
      <c r="Q1" s="350"/>
      <c r="R1" s="350"/>
      <c r="S1" s="352" t="s">
        <v>41</v>
      </c>
      <c r="T1" s="350"/>
      <c r="U1" s="350"/>
      <c r="V1" s="350"/>
      <c r="W1" s="352" t="s">
        <v>170</v>
      </c>
      <c r="X1" s="350"/>
      <c r="Y1" s="350"/>
      <c r="Z1" s="350"/>
      <c r="AA1" s="11"/>
      <c r="AB1" s="96" t="s">
        <v>171</v>
      </c>
      <c r="AC1" s="96" t="s">
        <v>172</v>
      </c>
      <c r="AD1" s="99" t="s">
        <v>59</v>
      </c>
      <c r="AE1" s="100" t="s">
        <v>60</v>
      </c>
      <c r="AF1" s="96" t="s">
        <v>173</v>
      </c>
      <c r="AG1" s="96" t="s">
        <v>54</v>
      </c>
      <c r="AH1" s="96" t="s">
        <v>174</v>
      </c>
      <c r="AI1" s="11"/>
      <c r="AJ1" s="349" t="s">
        <v>175</v>
      </c>
      <c r="AK1" s="344"/>
      <c r="AL1" s="344"/>
      <c r="AM1" s="344"/>
      <c r="AN1" s="344"/>
      <c r="AO1" s="345"/>
      <c r="AP1" s="349" t="s">
        <v>35</v>
      </c>
      <c r="AQ1" s="344"/>
      <c r="AR1" s="344"/>
      <c r="AS1" s="344"/>
      <c r="AT1" s="344"/>
      <c r="AU1" s="344"/>
      <c r="AV1" s="349" t="s">
        <v>176</v>
      </c>
      <c r="AW1" s="344"/>
      <c r="AX1" s="344"/>
      <c r="AY1" s="344"/>
      <c r="AZ1" s="344"/>
      <c r="BA1" s="345"/>
      <c r="BB1" s="349" t="s">
        <v>177</v>
      </c>
      <c r="BC1" s="344"/>
      <c r="BD1" s="344"/>
      <c r="BE1" s="344"/>
      <c r="BF1" s="344"/>
      <c r="BG1" s="345"/>
      <c r="BH1" s="355" t="s">
        <v>42</v>
      </c>
      <c r="BI1" s="344"/>
      <c r="BJ1" s="344"/>
      <c r="BK1" s="344"/>
      <c r="BL1" s="344"/>
      <c r="BM1" s="344"/>
      <c r="BN1" s="349" t="s">
        <v>253</v>
      </c>
      <c r="BO1" s="344"/>
      <c r="BP1" s="344"/>
      <c r="BQ1" s="344"/>
      <c r="BR1" s="344"/>
      <c r="BS1" s="344"/>
      <c r="BT1" s="349" t="s">
        <v>254</v>
      </c>
      <c r="BU1" s="344"/>
      <c r="BV1" s="344"/>
      <c r="BW1" s="344"/>
      <c r="BX1" s="344"/>
      <c r="BY1" s="344"/>
      <c r="BZ1" s="11"/>
      <c r="CA1" s="52" t="s">
        <v>182</v>
      </c>
      <c r="CB1" s="52" t="s">
        <v>183</v>
      </c>
      <c r="CC1" s="96" t="s">
        <v>255</v>
      </c>
      <c r="CD1" s="52" t="s">
        <v>185</v>
      </c>
      <c r="CE1" s="96" t="s">
        <v>180</v>
      </c>
      <c r="CF1" s="96" t="s">
        <v>181</v>
      </c>
      <c r="CG1" s="96" t="s">
        <v>186</v>
      </c>
      <c r="CH1" s="96" t="s">
        <v>187</v>
      </c>
      <c r="CI1" s="52" t="s">
        <v>188</v>
      </c>
      <c r="CJ1" s="52" t="s">
        <v>189</v>
      </c>
      <c r="CK1" s="11"/>
      <c r="CL1" s="350" t="s">
        <v>190</v>
      </c>
      <c r="CM1" s="350"/>
      <c r="CN1" s="350"/>
      <c r="CO1" s="352" t="s">
        <v>28</v>
      </c>
      <c r="CP1" s="350"/>
      <c r="CQ1" s="351"/>
      <c r="CR1" s="11"/>
      <c r="CS1" s="356" t="s">
        <v>191</v>
      </c>
      <c r="CT1" s="356"/>
      <c r="CU1" s="11"/>
      <c r="CV1" s="96" t="s">
        <v>65</v>
      </c>
      <c r="CW1" s="52" t="str">
        <f t="shared" ref="CW1:DD1" si="0">+CW16</f>
        <v>FS</v>
      </c>
      <c r="CX1" s="96" t="str">
        <f t="shared" si="0"/>
        <v>MOLS</v>
      </c>
      <c r="CY1" s="96" t="str">
        <f t="shared" si="0"/>
        <v>MS</v>
      </c>
      <c r="CZ1" s="96" t="str">
        <f t="shared" si="0"/>
        <v>SL</v>
      </c>
      <c r="DA1" s="96" t="str">
        <f t="shared" si="0"/>
        <v>TS</v>
      </c>
      <c r="DB1" s="96" t="str">
        <f t="shared" si="0"/>
        <v>UOLS</v>
      </c>
      <c r="DC1" s="96" t="str">
        <f t="shared" si="0"/>
        <v>WHTL</v>
      </c>
      <c r="DD1" s="96" t="str">
        <f t="shared" si="0"/>
        <v>XLED</v>
      </c>
      <c r="DE1" s="11"/>
      <c r="DJ1" s="344" t="s">
        <v>190</v>
      </c>
      <c r="DK1" s="344"/>
      <c r="DL1" s="344"/>
      <c r="DN1" s="25" t="s">
        <v>28</v>
      </c>
    </row>
    <row r="2" spans="1:120" x14ac:dyDescent="0.2">
      <c r="F2" t="s">
        <v>217</v>
      </c>
      <c r="G2" t="s">
        <v>218</v>
      </c>
      <c r="H2" t="s">
        <v>219</v>
      </c>
      <c r="I2" s="13" t="s">
        <v>220</v>
      </c>
      <c r="J2" s="15"/>
      <c r="K2" t="s">
        <v>217</v>
      </c>
      <c r="L2" t="s">
        <v>218</v>
      </c>
      <c r="M2" t="s">
        <v>219</v>
      </c>
      <c r="N2" s="13" t="s">
        <v>220</v>
      </c>
      <c r="O2" t="s">
        <v>217</v>
      </c>
      <c r="P2" t="s">
        <v>218</v>
      </c>
      <c r="Q2" t="s">
        <v>219</v>
      </c>
      <c r="R2" s="13" t="s">
        <v>220</v>
      </c>
      <c r="S2" t="s">
        <v>217</v>
      </c>
      <c r="T2" t="s">
        <v>218</v>
      </c>
      <c r="U2" t="s">
        <v>219</v>
      </c>
      <c r="V2" s="13" t="s">
        <v>220</v>
      </c>
      <c r="W2" t="s">
        <v>217</v>
      </c>
      <c r="X2" t="s">
        <v>218</v>
      </c>
      <c r="Y2" t="s">
        <v>219</v>
      </c>
      <c r="Z2" t="s">
        <v>220</v>
      </c>
      <c r="AA2" s="11"/>
      <c r="AD2" s="25" t="s">
        <v>8</v>
      </c>
      <c r="AE2" s="13" t="s">
        <v>8</v>
      </c>
      <c r="AI2" s="11"/>
      <c r="AJ2" t="s">
        <v>223</v>
      </c>
      <c r="AK2" t="s">
        <v>224</v>
      </c>
      <c r="AL2" t="s">
        <v>225</v>
      </c>
      <c r="AM2" t="s">
        <v>226</v>
      </c>
      <c r="AN2" t="s">
        <v>227</v>
      </c>
      <c r="AO2" s="13" t="s">
        <v>228</v>
      </c>
      <c r="AP2" t="s">
        <v>223</v>
      </c>
      <c r="AQ2" t="s">
        <v>224</v>
      </c>
      <c r="AR2" t="s">
        <v>225</v>
      </c>
      <c r="AS2" t="s">
        <v>226</v>
      </c>
      <c r="AT2" t="s">
        <v>227</v>
      </c>
      <c r="AU2" s="13" t="s">
        <v>228</v>
      </c>
      <c r="AV2" t="s">
        <v>223</v>
      </c>
      <c r="AW2" t="s">
        <v>224</v>
      </c>
      <c r="AX2" t="s">
        <v>225</v>
      </c>
      <c r="AY2" t="s">
        <v>226</v>
      </c>
      <c r="AZ2" t="s">
        <v>227</v>
      </c>
      <c r="BA2" s="13" t="s">
        <v>228</v>
      </c>
      <c r="BB2" t="s">
        <v>223</v>
      </c>
      <c r="BC2" t="s">
        <v>224</v>
      </c>
      <c r="BD2" t="s">
        <v>225</v>
      </c>
      <c r="BE2" t="s">
        <v>226</v>
      </c>
      <c r="BF2" t="s">
        <v>227</v>
      </c>
      <c r="BG2" s="13" t="s">
        <v>228</v>
      </c>
      <c r="BH2" t="s">
        <v>223</v>
      </c>
      <c r="BI2" t="s">
        <v>224</v>
      </c>
      <c r="BJ2" t="s">
        <v>225</v>
      </c>
      <c r="BK2" t="s">
        <v>226</v>
      </c>
      <c r="BL2" t="s">
        <v>227</v>
      </c>
      <c r="BM2" s="13" t="s">
        <v>228</v>
      </c>
      <c r="BN2" t="s">
        <v>223</v>
      </c>
      <c r="BO2" t="s">
        <v>224</v>
      </c>
      <c r="BP2" t="s">
        <v>225</v>
      </c>
      <c r="BQ2" t="s">
        <v>226</v>
      </c>
      <c r="BR2" t="s">
        <v>227</v>
      </c>
      <c r="BS2" s="13" t="s">
        <v>228</v>
      </c>
      <c r="BT2" t="s">
        <v>223</v>
      </c>
      <c r="BU2" t="s">
        <v>224</v>
      </c>
      <c r="BV2" t="s">
        <v>225</v>
      </c>
      <c r="BW2" t="s">
        <v>226</v>
      </c>
      <c r="BX2" t="s">
        <v>227</v>
      </c>
      <c r="BY2" s="13" t="s">
        <v>228</v>
      </c>
      <c r="BZ2" s="11"/>
      <c r="CK2" s="11"/>
      <c r="CL2" t="s">
        <v>223</v>
      </c>
      <c r="CM2" t="s">
        <v>224</v>
      </c>
      <c r="CN2" t="s">
        <v>229</v>
      </c>
      <c r="CO2" s="25" t="s">
        <v>223</v>
      </c>
      <c r="CP2" t="s">
        <v>224</v>
      </c>
      <c r="CQ2" s="13" t="s">
        <v>229</v>
      </c>
      <c r="CR2" s="11"/>
      <c r="CS2" s="330" t="s">
        <v>230</v>
      </c>
      <c r="CT2" s="330" t="s">
        <v>231</v>
      </c>
      <c r="CU2" s="11"/>
      <c r="CV2" s="126"/>
      <c r="CW2" s="126"/>
      <c r="CX2" s="126"/>
      <c r="CY2" s="126"/>
      <c r="CZ2" s="126"/>
      <c r="DA2" s="126"/>
      <c r="DB2" s="126"/>
      <c r="DC2" s="126"/>
      <c r="DD2" s="126"/>
      <c r="DE2" s="11"/>
      <c r="DJ2" t="s">
        <v>223</v>
      </c>
      <c r="DK2" t="s">
        <v>224</v>
      </c>
      <c r="DL2" t="s">
        <v>229</v>
      </c>
      <c r="DM2" s="25" t="s">
        <v>223</v>
      </c>
      <c r="DN2" t="s">
        <v>224</v>
      </c>
      <c r="DO2" s="13" t="s">
        <v>229</v>
      </c>
    </row>
    <row r="3" spans="1:120" x14ac:dyDescent="0.2">
      <c r="A3">
        <v>207295</v>
      </c>
      <c r="E3" t="s">
        <v>232</v>
      </c>
      <c r="F3" s="2">
        <v>0</v>
      </c>
      <c r="G3" s="2">
        <v>0</v>
      </c>
      <c r="H3" s="2">
        <v>0</v>
      </c>
      <c r="I3" s="2">
        <v>0</v>
      </c>
      <c r="J3" s="17">
        <v>0</v>
      </c>
      <c r="K3" s="4">
        <v>0</v>
      </c>
      <c r="L3" s="4">
        <v>0</v>
      </c>
      <c r="M3" s="4">
        <v>0</v>
      </c>
      <c r="N3" s="18">
        <v>0</v>
      </c>
      <c r="O3" s="4">
        <v>0</v>
      </c>
      <c r="P3" s="4">
        <v>0</v>
      </c>
      <c r="Q3" s="4">
        <v>0</v>
      </c>
      <c r="R3" s="18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19"/>
      <c r="AB3" s="4">
        <v>0</v>
      </c>
      <c r="AC3" s="4">
        <v>0</v>
      </c>
      <c r="AD3" s="72">
        <v>0</v>
      </c>
      <c r="AE3" s="74">
        <v>0</v>
      </c>
      <c r="AF3" s="4">
        <v>0</v>
      </c>
      <c r="AG3" s="4">
        <v>0</v>
      </c>
      <c r="AH3" s="4">
        <v>0</v>
      </c>
      <c r="AI3" s="19"/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18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18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18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/>
      <c r="BU3" s="4"/>
      <c r="BV3" s="4"/>
      <c r="BW3" s="4"/>
      <c r="BX3" s="4"/>
      <c r="BY3" s="4"/>
      <c r="BZ3" s="19"/>
      <c r="CA3" s="33">
        <v>0</v>
      </c>
      <c r="CB3" s="33">
        <v>0</v>
      </c>
      <c r="CC3" s="33">
        <v>0</v>
      </c>
      <c r="CD3" s="33">
        <v>0</v>
      </c>
      <c r="CE3" s="33">
        <v>0</v>
      </c>
      <c r="CF3" s="33">
        <v>0</v>
      </c>
      <c r="CG3" s="33">
        <v>0</v>
      </c>
      <c r="CH3" s="33">
        <v>0</v>
      </c>
      <c r="CI3" s="33">
        <v>0</v>
      </c>
      <c r="CJ3" s="33">
        <v>0</v>
      </c>
      <c r="CK3" s="19"/>
      <c r="CL3" s="2">
        <v>208375490.39323208</v>
      </c>
      <c r="CM3" s="2">
        <v>333211924.81024909</v>
      </c>
      <c r="CN3" s="2">
        <v>309985279.17902994</v>
      </c>
      <c r="CO3" s="87">
        <v>11694767.930339819</v>
      </c>
      <c r="CP3" s="42">
        <v>26086187.784822669</v>
      </c>
      <c r="CQ3" s="42">
        <v>52249410.040399984</v>
      </c>
      <c r="CR3" s="19"/>
      <c r="CS3" s="2">
        <v>0</v>
      </c>
      <c r="CT3" s="2">
        <v>0</v>
      </c>
      <c r="CU3" s="11"/>
      <c r="CV3" s="4">
        <v>0</v>
      </c>
      <c r="CW3" s="4">
        <v>0</v>
      </c>
      <c r="CX3" s="4">
        <v>0</v>
      </c>
      <c r="CY3" s="4">
        <v>0</v>
      </c>
      <c r="CZ3" s="4">
        <v>0</v>
      </c>
      <c r="DA3" s="4">
        <v>0</v>
      </c>
      <c r="DB3" s="4">
        <v>0</v>
      </c>
      <c r="DC3" s="4">
        <v>0</v>
      </c>
      <c r="DD3" s="4">
        <v>0</v>
      </c>
      <c r="DE3" s="11"/>
      <c r="DF3" s="2">
        <f t="shared" ref="DF3:DF14" si="1">SUM(F3:DD3)</f>
        <v>941603060.13807368</v>
      </c>
      <c r="DJ3" s="103">
        <v>0.22129865486248618</v>
      </c>
      <c r="DK3" s="103">
        <v>0.35387727513198464</v>
      </c>
      <c r="DL3" s="103">
        <v>0.32921014453300423</v>
      </c>
      <c r="DM3" s="103">
        <v>2.7696492974721921E-2</v>
      </c>
      <c r="DN3" s="103">
        <v>5.5501506250175116E-2</v>
      </c>
      <c r="DO3" s="103">
        <v>1.242E-2</v>
      </c>
      <c r="DP3" s="104">
        <f>SUM(DJ3:DO3)</f>
        <v>1.0000040737523721</v>
      </c>
    </row>
    <row r="4" spans="1:120" x14ac:dyDescent="0.2">
      <c r="A4">
        <v>196669</v>
      </c>
      <c r="E4" t="s">
        <v>233</v>
      </c>
      <c r="F4" s="2">
        <v>0</v>
      </c>
      <c r="G4" s="2">
        <v>0</v>
      </c>
      <c r="H4" s="2">
        <v>0</v>
      </c>
      <c r="I4" s="2">
        <v>0</v>
      </c>
      <c r="J4" s="17">
        <v>0</v>
      </c>
      <c r="K4" s="4">
        <v>0</v>
      </c>
      <c r="L4" s="4">
        <v>0</v>
      </c>
      <c r="M4" s="4">
        <v>0</v>
      </c>
      <c r="N4" s="18">
        <v>0</v>
      </c>
      <c r="O4" s="4">
        <v>0</v>
      </c>
      <c r="P4" s="4">
        <v>0</v>
      </c>
      <c r="Q4" s="4">
        <v>0</v>
      </c>
      <c r="R4" s="18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19"/>
      <c r="AB4" s="4">
        <v>0</v>
      </c>
      <c r="AC4" s="4">
        <v>0</v>
      </c>
      <c r="AD4" s="72">
        <v>0</v>
      </c>
      <c r="AE4" s="74">
        <v>0</v>
      </c>
      <c r="AF4" s="4">
        <v>0</v>
      </c>
      <c r="AG4" s="4">
        <v>0</v>
      </c>
      <c r="AH4" s="4">
        <v>0</v>
      </c>
      <c r="AI4" s="19"/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18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18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18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/>
      <c r="BU4" s="4"/>
      <c r="BV4" s="4"/>
      <c r="BW4" s="4"/>
      <c r="BX4" s="4"/>
      <c r="BY4" s="4"/>
      <c r="BZ4" s="19"/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19"/>
      <c r="CL4" s="2">
        <v>206269647.32024989</v>
      </c>
      <c r="CM4" s="2">
        <v>304434590.39451188</v>
      </c>
      <c r="CN4" s="2">
        <v>245458869.20052892</v>
      </c>
      <c r="CO4" s="87">
        <v>11580654.548151821</v>
      </c>
      <c r="CP4" s="42">
        <v>25599885.837510046</v>
      </c>
      <c r="CQ4" s="42">
        <v>41573887.73928</v>
      </c>
      <c r="CR4" s="19"/>
      <c r="CS4" s="2">
        <v>0</v>
      </c>
      <c r="CT4" s="2">
        <v>0</v>
      </c>
      <c r="CU4" s="11"/>
      <c r="CV4" s="4">
        <v>0</v>
      </c>
      <c r="CW4" s="4">
        <v>0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4">
        <v>0</v>
      </c>
      <c r="DD4" s="4">
        <v>0</v>
      </c>
      <c r="DE4" s="11"/>
      <c r="DF4" s="2">
        <f t="shared" si="1"/>
        <v>834917535.04023242</v>
      </c>
      <c r="DJ4" s="103">
        <v>0.24705391714604433</v>
      </c>
      <c r="DK4" s="103">
        <v>0.36462833504021797</v>
      </c>
      <c r="DL4" s="103">
        <v>0.29399175265024996</v>
      </c>
      <c r="DM4" s="103">
        <v>3.0656667874871313E-2</v>
      </c>
      <c r="DN4" s="103">
        <v>4.9803212569855052E-2</v>
      </c>
      <c r="DO4" s="103">
        <v>1.387E-2</v>
      </c>
      <c r="DP4" s="104">
        <f t="shared" ref="DP4:DP14" si="2">SUM(DJ4:DO4)</f>
        <v>1.0000038852812385</v>
      </c>
    </row>
    <row r="5" spans="1:120" x14ac:dyDescent="0.2">
      <c r="A5">
        <v>166943</v>
      </c>
      <c r="E5" t="s">
        <v>234</v>
      </c>
      <c r="F5" s="2">
        <v>0</v>
      </c>
      <c r="G5" s="2">
        <v>0</v>
      </c>
      <c r="H5" s="2">
        <v>0</v>
      </c>
      <c r="I5" s="2">
        <v>0</v>
      </c>
      <c r="J5" s="17">
        <v>0</v>
      </c>
      <c r="K5" s="4">
        <v>0</v>
      </c>
      <c r="L5" s="4">
        <v>0</v>
      </c>
      <c r="M5" s="4">
        <v>0</v>
      </c>
      <c r="N5" s="18">
        <v>0</v>
      </c>
      <c r="O5" s="4">
        <v>0</v>
      </c>
      <c r="P5" s="4">
        <v>0</v>
      </c>
      <c r="Q5" s="4">
        <v>0</v>
      </c>
      <c r="R5" s="18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19"/>
      <c r="AB5" s="4">
        <v>0</v>
      </c>
      <c r="AC5" s="4">
        <v>0</v>
      </c>
      <c r="AD5" s="72">
        <v>0</v>
      </c>
      <c r="AE5" s="74">
        <v>0</v>
      </c>
      <c r="AF5" s="4">
        <v>0</v>
      </c>
      <c r="AG5" s="4">
        <v>0</v>
      </c>
      <c r="AH5" s="4">
        <v>0</v>
      </c>
      <c r="AI5" s="19"/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18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18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18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/>
      <c r="BU5" s="4"/>
      <c r="BV5" s="4"/>
      <c r="BW5" s="4"/>
      <c r="BX5" s="4"/>
      <c r="BY5" s="4"/>
      <c r="BZ5" s="19"/>
      <c r="CA5" s="33">
        <v>0</v>
      </c>
      <c r="CB5" s="33">
        <v>0</v>
      </c>
      <c r="CC5" s="33">
        <v>0</v>
      </c>
      <c r="CD5" s="33">
        <v>0</v>
      </c>
      <c r="CE5" s="33">
        <v>0</v>
      </c>
      <c r="CF5" s="33">
        <v>0</v>
      </c>
      <c r="CG5" s="33">
        <v>0</v>
      </c>
      <c r="CH5" s="33">
        <v>0</v>
      </c>
      <c r="CI5" s="33">
        <v>0</v>
      </c>
      <c r="CJ5" s="33">
        <v>0</v>
      </c>
      <c r="CK5" s="19"/>
      <c r="CL5" s="2">
        <v>205469299.92031866</v>
      </c>
      <c r="CM5" s="2">
        <v>280730691.16102672</v>
      </c>
      <c r="CN5" s="2">
        <v>161787639.97534156</v>
      </c>
      <c r="CO5" s="87">
        <v>11637764.382902786</v>
      </c>
      <c r="CP5" s="42">
        <v>24533034.95559632</v>
      </c>
      <c r="CQ5" s="42">
        <v>25755779.166470014</v>
      </c>
      <c r="CR5" s="19"/>
      <c r="CS5" s="2">
        <v>0</v>
      </c>
      <c r="CT5" s="2">
        <v>0</v>
      </c>
      <c r="CU5" s="11"/>
      <c r="CV5" s="4">
        <v>0</v>
      </c>
      <c r="CW5" s="4">
        <v>0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4">
        <v>0</v>
      </c>
      <c r="DD5" s="4">
        <v>0</v>
      </c>
      <c r="DE5" s="11"/>
      <c r="DF5" s="2">
        <f t="shared" si="1"/>
        <v>709914209.561656</v>
      </c>
      <c r="DJ5" s="103">
        <v>0.28942835274183942</v>
      </c>
      <c r="DK5" s="103">
        <v>0.39544312234637224</v>
      </c>
      <c r="DL5" s="103">
        <v>0.22789745305119571</v>
      </c>
      <c r="DM5" s="103">
        <v>3.4557048752104184E-2</v>
      </c>
      <c r="DN5" s="103">
        <v>3.6288144672120673E-2</v>
      </c>
      <c r="DO5" s="103">
        <v>1.6389999999999998E-2</v>
      </c>
      <c r="DP5" s="104">
        <f t="shared" si="2"/>
        <v>1.0000041215636322</v>
      </c>
    </row>
    <row r="6" spans="1:120" x14ac:dyDescent="0.2">
      <c r="A6">
        <v>183927</v>
      </c>
      <c r="E6" t="s">
        <v>235</v>
      </c>
      <c r="F6" s="2">
        <v>0</v>
      </c>
      <c r="G6" s="2">
        <v>0</v>
      </c>
      <c r="H6" s="2">
        <v>0</v>
      </c>
      <c r="I6" s="2">
        <v>0</v>
      </c>
      <c r="J6" s="17">
        <v>0</v>
      </c>
      <c r="K6" s="4">
        <v>0</v>
      </c>
      <c r="L6" s="4">
        <v>0</v>
      </c>
      <c r="M6" s="4">
        <v>0</v>
      </c>
      <c r="N6" s="18">
        <v>0</v>
      </c>
      <c r="O6" s="4">
        <v>0</v>
      </c>
      <c r="P6" s="4">
        <v>0</v>
      </c>
      <c r="Q6" s="4">
        <v>0</v>
      </c>
      <c r="R6" s="18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19"/>
      <c r="AB6" s="4">
        <v>0</v>
      </c>
      <c r="AC6" s="4">
        <v>0</v>
      </c>
      <c r="AD6" s="72">
        <v>0</v>
      </c>
      <c r="AE6" s="74">
        <v>0</v>
      </c>
      <c r="AF6" s="4">
        <v>0</v>
      </c>
      <c r="AG6" s="4">
        <v>0</v>
      </c>
      <c r="AH6" s="4">
        <v>0</v>
      </c>
      <c r="AI6" s="19"/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18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18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18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/>
      <c r="BU6" s="4"/>
      <c r="BV6" s="4"/>
      <c r="BW6" s="4"/>
      <c r="BX6" s="4"/>
      <c r="BY6" s="4"/>
      <c r="BZ6" s="19"/>
      <c r="CA6" s="33">
        <v>0</v>
      </c>
      <c r="CB6" s="33">
        <v>0</v>
      </c>
      <c r="CC6" s="33">
        <v>0</v>
      </c>
      <c r="CD6" s="33">
        <v>0</v>
      </c>
      <c r="CE6" s="33">
        <v>0</v>
      </c>
      <c r="CF6" s="33">
        <v>0</v>
      </c>
      <c r="CG6" s="33">
        <v>0</v>
      </c>
      <c r="CH6" s="33">
        <v>0</v>
      </c>
      <c r="CI6" s="33">
        <v>0</v>
      </c>
      <c r="CJ6" s="33">
        <v>0</v>
      </c>
      <c r="CK6" s="19"/>
      <c r="CL6" s="2">
        <v>203923775.43417269</v>
      </c>
      <c r="CM6" s="2">
        <v>262633889.17638195</v>
      </c>
      <c r="CN6" s="88">
        <v>114375737.23455733</v>
      </c>
      <c r="CO6" s="2">
        <v>11529591.740130171</v>
      </c>
      <c r="CP6" s="2">
        <v>23066263.808853205</v>
      </c>
      <c r="CQ6" s="2">
        <v>17572117.233869992</v>
      </c>
      <c r="CR6" s="19"/>
      <c r="CS6" s="2">
        <v>0</v>
      </c>
      <c r="CT6" s="2">
        <v>0</v>
      </c>
      <c r="CU6" s="11"/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11"/>
      <c r="DF6" s="2">
        <f t="shared" si="1"/>
        <v>633101374.62796533</v>
      </c>
      <c r="DJ6" s="103">
        <v>0.32210287941033489</v>
      </c>
      <c r="DK6" s="103">
        <v>0.41483702307068659</v>
      </c>
      <c r="DL6" s="103">
        <v>0.18065943620106767</v>
      </c>
      <c r="DM6" s="103">
        <v>3.6436518955171235E-2</v>
      </c>
      <c r="DN6" s="103">
        <v>2.7758649088949622E-2</v>
      </c>
      <c r="DO6" s="103">
        <v>1.821E-2</v>
      </c>
      <c r="DP6" s="104">
        <f t="shared" si="2"/>
        <v>1.00000450672621</v>
      </c>
    </row>
    <row r="7" spans="1:120" x14ac:dyDescent="0.2">
      <c r="A7">
        <v>183494</v>
      </c>
      <c r="E7" t="s">
        <v>236</v>
      </c>
      <c r="F7" s="2">
        <v>0</v>
      </c>
      <c r="G7" s="2">
        <v>0</v>
      </c>
      <c r="H7" s="2">
        <v>0</v>
      </c>
      <c r="I7" s="2">
        <v>0</v>
      </c>
      <c r="J7" s="17">
        <v>0</v>
      </c>
      <c r="K7" s="4">
        <v>0</v>
      </c>
      <c r="L7" s="4">
        <v>0</v>
      </c>
      <c r="M7" s="4">
        <v>0</v>
      </c>
      <c r="N7" s="18">
        <v>0</v>
      </c>
      <c r="O7" s="4">
        <v>0</v>
      </c>
      <c r="P7" s="4">
        <v>0</v>
      </c>
      <c r="Q7" s="4">
        <v>0</v>
      </c>
      <c r="R7" s="18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19"/>
      <c r="AB7" s="4">
        <v>0</v>
      </c>
      <c r="AC7" s="4">
        <v>0</v>
      </c>
      <c r="AD7" s="72">
        <v>0</v>
      </c>
      <c r="AE7" s="74">
        <v>0</v>
      </c>
      <c r="AF7" s="4">
        <v>0</v>
      </c>
      <c r="AG7" s="4">
        <v>0</v>
      </c>
      <c r="AH7" s="4">
        <v>0</v>
      </c>
      <c r="AI7" s="19"/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18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18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18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/>
      <c r="BU7" s="4"/>
      <c r="BV7" s="4"/>
      <c r="BW7" s="4"/>
      <c r="BX7" s="4"/>
      <c r="BY7" s="4"/>
      <c r="BZ7" s="19"/>
      <c r="CA7" s="33">
        <v>0</v>
      </c>
      <c r="CB7" s="33">
        <v>0</v>
      </c>
      <c r="CC7" s="33">
        <v>0</v>
      </c>
      <c r="CD7" s="33">
        <v>0</v>
      </c>
      <c r="CE7" s="33">
        <v>0</v>
      </c>
      <c r="CF7" s="33">
        <v>0</v>
      </c>
      <c r="CG7" s="33">
        <v>0</v>
      </c>
      <c r="CH7" s="33">
        <v>0</v>
      </c>
      <c r="CI7" s="33">
        <v>0</v>
      </c>
      <c r="CJ7" s="33">
        <v>0</v>
      </c>
      <c r="CK7" s="19"/>
      <c r="CL7" s="2">
        <v>202579419.83601835</v>
      </c>
      <c r="CM7" s="2">
        <v>235257628.9663927</v>
      </c>
      <c r="CN7" s="88">
        <v>62993709.949417457</v>
      </c>
      <c r="CO7" s="2">
        <v>11436579.117672484</v>
      </c>
      <c r="CP7" s="2">
        <v>19917856.365505412</v>
      </c>
      <c r="CQ7" s="2">
        <v>8047051.5765199894</v>
      </c>
      <c r="CR7" s="19"/>
      <c r="CS7" s="2">
        <v>0</v>
      </c>
      <c r="CT7" s="2">
        <v>0</v>
      </c>
      <c r="CU7" s="11"/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11"/>
      <c r="DF7" s="2">
        <f t="shared" si="1"/>
        <v>540232245.81152642</v>
      </c>
      <c r="DJ7" s="103">
        <v>0.3749857974995392</v>
      </c>
      <c r="DK7" s="103">
        <v>0.43547498401971618</v>
      </c>
      <c r="DL7" s="103">
        <v>0.11660486826331136</v>
      </c>
      <c r="DM7" s="103">
        <v>3.6876210622547652E-2</v>
      </c>
      <c r="DN7" s="103">
        <v>1.4893503264116655E-2</v>
      </c>
      <c r="DO7" s="103">
        <v>2.1160000000000002E-2</v>
      </c>
      <c r="DP7" s="104">
        <f t="shared" si="2"/>
        <v>0.99999536366923103</v>
      </c>
    </row>
    <row r="8" spans="1:120" x14ac:dyDescent="0.2">
      <c r="A8">
        <v>443187</v>
      </c>
      <c r="E8" t="s">
        <v>237</v>
      </c>
      <c r="F8" s="2">
        <v>0</v>
      </c>
      <c r="G8" s="2">
        <v>0</v>
      </c>
      <c r="H8" s="2">
        <v>0</v>
      </c>
      <c r="I8" s="2">
        <v>0</v>
      </c>
      <c r="J8" s="17">
        <v>0</v>
      </c>
      <c r="K8" s="4">
        <v>0</v>
      </c>
      <c r="L8" s="4">
        <v>0</v>
      </c>
      <c r="M8" s="4">
        <v>0</v>
      </c>
      <c r="N8" s="18">
        <v>0</v>
      </c>
      <c r="O8" s="4">
        <v>0</v>
      </c>
      <c r="P8" s="4">
        <v>0</v>
      </c>
      <c r="Q8" s="4">
        <v>0</v>
      </c>
      <c r="R8" s="18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19"/>
      <c r="AB8" s="4">
        <v>0</v>
      </c>
      <c r="AC8" s="4">
        <v>0</v>
      </c>
      <c r="AD8" s="72">
        <v>0</v>
      </c>
      <c r="AE8" s="74">
        <v>0</v>
      </c>
      <c r="AF8" s="4">
        <v>0</v>
      </c>
      <c r="AG8" s="4">
        <v>0</v>
      </c>
      <c r="AH8" s="4">
        <v>0</v>
      </c>
      <c r="AI8" s="19"/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18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18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18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/>
      <c r="BU8" s="4"/>
      <c r="BV8" s="4"/>
      <c r="BW8" s="4"/>
      <c r="BX8" s="4"/>
      <c r="BY8" s="4"/>
      <c r="BZ8" s="19"/>
      <c r="CA8" s="33">
        <v>0</v>
      </c>
      <c r="CB8" s="33">
        <v>0</v>
      </c>
      <c r="CC8" s="33">
        <v>0</v>
      </c>
      <c r="CD8" s="33">
        <v>0</v>
      </c>
      <c r="CE8" s="33">
        <v>0</v>
      </c>
      <c r="CF8" s="33">
        <v>0</v>
      </c>
      <c r="CG8" s="33">
        <v>0</v>
      </c>
      <c r="CH8" s="33">
        <v>0</v>
      </c>
      <c r="CI8" s="33">
        <v>0</v>
      </c>
      <c r="CJ8" s="33">
        <v>0</v>
      </c>
      <c r="CK8" s="19"/>
      <c r="CL8" s="2">
        <v>205249415.34459081</v>
      </c>
      <c r="CM8" s="2">
        <v>295135639.8675999</v>
      </c>
      <c r="CN8" s="88">
        <v>127249853.29083051</v>
      </c>
      <c r="CO8" s="2">
        <v>11313050.982143167</v>
      </c>
      <c r="CP8" s="2">
        <v>19771791.623796795</v>
      </c>
      <c r="CQ8" s="2">
        <v>10928322.827020004</v>
      </c>
      <c r="CR8" s="19"/>
      <c r="CS8" s="2">
        <v>0</v>
      </c>
      <c r="CT8" s="2">
        <v>0</v>
      </c>
      <c r="CU8" s="11"/>
      <c r="CV8" s="4">
        <v>0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11"/>
      <c r="DF8" s="2">
        <f t="shared" si="1"/>
        <v>669648073.93598127</v>
      </c>
      <c r="DJ8" s="103">
        <v>0.30650325670333484</v>
      </c>
      <c r="DK8" s="103">
        <v>0.44073255021095575</v>
      </c>
      <c r="DL8" s="103">
        <v>0.19002500809457318</v>
      </c>
      <c r="DM8" s="103">
        <v>2.9530235036318422E-2</v>
      </c>
      <c r="DN8" s="103">
        <v>1.631930714277835E-2</v>
      </c>
      <c r="DO8" s="103">
        <v>1.6889999999999999E-2</v>
      </c>
      <c r="DP8" s="104">
        <f t="shared" si="2"/>
        <v>1.0000003571879605</v>
      </c>
    </row>
    <row r="9" spans="1:120" x14ac:dyDescent="0.2">
      <c r="A9">
        <v>538584</v>
      </c>
      <c r="E9" t="s">
        <v>238</v>
      </c>
      <c r="F9" s="2">
        <v>0</v>
      </c>
      <c r="G9" s="2">
        <v>0</v>
      </c>
      <c r="H9" s="2">
        <v>0</v>
      </c>
      <c r="I9" s="2">
        <v>0</v>
      </c>
      <c r="J9" s="17">
        <v>0</v>
      </c>
      <c r="K9" s="4">
        <v>0</v>
      </c>
      <c r="L9" s="4">
        <v>0</v>
      </c>
      <c r="M9" s="4">
        <v>0</v>
      </c>
      <c r="N9" s="18">
        <v>0</v>
      </c>
      <c r="O9" s="4">
        <v>0</v>
      </c>
      <c r="P9" s="4">
        <v>0</v>
      </c>
      <c r="Q9" s="4">
        <v>0</v>
      </c>
      <c r="R9" s="18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19"/>
      <c r="AB9" s="4">
        <v>0</v>
      </c>
      <c r="AC9" s="4">
        <v>0</v>
      </c>
      <c r="AD9" s="72">
        <v>0</v>
      </c>
      <c r="AE9" s="74">
        <v>0</v>
      </c>
      <c r="AF9" s="4">
        <v>0</v>
      </c>
      <c r="AG9" s="4">
        <v>0</v>
      </c>
      <c r="AH9" s="4">
        <v>0</v>
      </c>
      <c r="AI9" s="19"/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18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18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18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/>
      <c r="BU9" s="4"/>
      <c r="BV9" s="4"/>
      <c r="BW9" s="4"/>
      <c r="BX9" s="4"/>
      <c r="BY9" s="4"/>
      <c r="BZ9" s="19"/>
      <c r="CA9" s="33">
        <v>0</v>
      </c>
      <c r="CB9" s="33">
        <v>0</v>
      </c>
      <c r="CC9" s="33">
        <v>0</v>
      </c>
      <c r="CD9" s="33">
        <v>0</v>
      </c>
      <c r="CE9" s="33">
        <v>0</v>
      </c>
      <c r="CF9" s="33">
        <v>0</v>
      </c>
      <c r="CG9" s="33">
        <v>0</v>
      </c>
      <c r="CH9" s="33">
        <v>0</v>
      </c>
      <c r="CI9" s="33">
        <v>0</v>
      </c>
      <c r="CJ9" s="33">
        <v>0</v>
      </c>
      <c r="CK9" s="19"/>
      <c r="CL9" s="2">
        <v>209747359.18771595</v>
      </c>
      <c r="CM9" s="2">
        <v>335910839.56995118</v>
      </c>
      <c r="CN9" s="88">
        <v>178869507.15952778</v>
      </c>
      <c r="CO9" s="2">
        <v>11391831.684946779</v>
      </c>
      <c r="CP9" s="2">
        <v>21024253.614756275</v>
      </c>
      <c r="CQ9" s="2">
        <v>13050289.744710011</v>
      </c>
      <c r="CR9" s="19"/>
      <c r="CS9" s="2">
        <v>0</v>
      </c>
      <c r="CT9" s="2">
        <v>0</v>
      </c>
      <c r="CU9" s="11"/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11"/>
      <c r="DF9" s="2">
        <f t="shared" si="1"/>
        <v>769994080.96160781</v>
      </c>
      <c r="DJ9" s="103">
        <v>0.27240071268974181</v>
      </c>
      <c r="DK9" s="103">
        <v>0.43625152619590113</v>
      </c>
      <c r="DL9" s="103">
        <v>0.23230002219682164</v>
      </c>
      <c r="DM9" s="103">
        <v>2.7307988020440113E-2</v>
      </c>
      <c r="DN9" s="103">
        <v>1.6949307581731847E-2</v>
      </c>
      <c r="DO9" s="103">
        <v>1.4789999999999999E-2</v>
      </c>
      <c r="DP9" s="104">
        <f t="shared" si="2"/>
        <v>0.99999955668463647</v>
      </c>
    </row>
    <row r="10" spans="1:120" x14ac:dyDescent="0.2">
      <c r="A10">
        <v>956842</v>
      </c>
      <c r="E10" t="s">
        <v>239</v>
      </c>
      <c r="F10" s="2">
        <v>0</v>
      </c>
      <c r="G10" s="2">
        <v>0</v>
      </c>
      <c r="H10" s="2">
        <v>0</v>
      </c>
      <c r="I10" s="2">
        <v>0</v>
      </c>
      <c r="J10" s="17">
        <v>0</v>
      </c>
      <c r="K10" s="4">
        <v>0</v>
      </c>
      <c r="L10" s="4">
        <v>0</v>
      </c>
      <c r="M10" s="4">
        <v>0</v>
      </c>
      <c r="N10" s="18">
        <v>0</v>
      </c>
      <c r="O10" s="4">
        <v>0</v>
      </c>
      <c r="P10" s="4">
        <v>0</v>
      </c>
      <c r="Q10" s="4">
        <v>0</v>
      </c>
      <c r="R10" s="18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19"/>
      <c r="AB10" s="4">
        <v>0</v>
      </c>
      <c r="AC10" s="4">
        <v>0</v>
      </c>
      <c r="AD10" s="72">
        <v>0</v>
      </c>
      <c r="AE10" s="74">
        <v>0</v>
      </c>
      <c r="AF10" s="4">
        <v>0</v>
      </c>
      <c r="AG10" s="4">
        <v>0</v>
      </c>
      <c r="AH10" s="4">
        <v>0</v>
      </c>
      <c r="AI10" s="19"/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18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18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18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/>
      <c r="BU10" s="4"/>
      <c r="BV10" s="4"/>
      <c r="BW10" s="4"/>
      <c r="BX10" s="4"/>
      <c r="BY10" s="4"/>
      <c r="BZ10" s="19"/>
      <c r="CA10" s="33">
        <v>0</v>
      </c>
      <c r="CB10" s="33">
        <v>0</v>
      </c>
      <c r="CC10" s="33">
        <v>0</v>
      </c>
      <c r="CD10" s="33">
        <v>0</v>
      </c>
      <c r="CE10" s="33">
        <v>0</v>
      </c>
      <c r="CF10" s="33">
        <v>0</v>
      </c>
      <c r="CG10" s="33">
        <v>0</v>
      </c>
      <c r="CH10" s="33">
        <v>0</v>
      </c>
      <c r="CI10" s="33">
        <v>0</v>
      </c>
      <c r="CJ10" s="33">
        <v>0</v>
      </c>
      <c r="CK10" s="19"/>
      <c r="CL10" s="2">
        <v>209572606.33673564</v>
      </c>
      <c r="CM10" s="2">
        <v>363984121.08814752</v>
      </c>
      <c r="CN10" s="88">
        <v>237492305.51741663</v>
      </c>
      <c r="CO10" s="2">
        <v>11246987.929982517</v>
      </c>
      <c r="CP10" s="2">
        <v>21954871.674026247</v>
      </c>
      <c r="CQ10" s="2">
        <v>16335037.721680002</v>
      </c>
      <c r="CR10" s="19"/>
      <c r="CS10" s="2">
        <v>0</v>
      </c>
      <c r="CT10" s="2">
        <v>0</v>
      </c>
      <c r="CU10" s="11"/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11"/>
      <c r="DF10" s="2">
        <f t="shared" si="1"/>
        <v>860585930.26798856</v>
      </c>
      <c r="DJ10" s="103">
        <v>0.24352239354597621</v>
      </c>
      <c r="DK10" s="103">
        <v>0.42294961714942697</v>
      </c>
      <c r="DL10" s="103">
        <v>0.27596610367022123</v>
      </c>
      <c r="DM10" s="103">
        <v>2.5513883102928861E-2</v>
      </c>
      <c r="DN10" s="103">
        <v>1.8983419513827222E-2</v>
      </c>
      <c r="DO10" s="103">
        <v>1.306E-2</v>
      </c>
      <c r="DP10" s="104">
        <f t="shared" si="2"/>
        <v>0.99999541698238048</v>
      </c>
    </row>
    <row r="11" spans="1:120" x14ac:dyDescent="0.2">
      <c r="A11">
        <v>81559</v>
      </c>
      <c r="E11" t="s">
        <v>240</v>
      </c>
      <c r="F11" s="2">
        <v>0</v>
      </c>
      <c r="G11" s="2">
        <v>0</v>
      </c>
      <c r="H11" s="2">
        <v>0</v>
      </c>
      <c r="I11" s="2">
        <v>0</v>
      </c>
      <c r="J11" s="17">
        <v>0</v>
      </c>
      <c r="K11" s="4">
        <v>0</v>
      </c>
      <c r="L11" s="4">
        <v>0</v>
      </c>
      <c r="M11" s="4">
        <v>0</v>
      </c>
      <c r="N11" s="18">
        <v>0</v>
      </c>
      <c r="O11" s="4">
        <v>0</v>
      </c>
      <c r="P11" s="4">
        <v>0</v>
      </c>
      <c r="Q11" s="4">
        <v>0</v>
      </c>
      <c r="R11" s="18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19"/>
      <c r="AB11" s="4">
        <v>0</v>
      </c>
      <c r="AC11" s="4">
        <v>0</v>
      </c>
      <c r="AD11" s="72">
        <v>0</v>
      </c>
      <c r="AE11" s="74">
        <v>0</v>
      </c>
      <c r="AF11" s="4">
        <v>0</v>
      </c>
      <c r="AG11" s="4">
        <v>0</v>
      </c>
      <c r="AH11" s="4">
        <v>0</v>
      </c>
      <c r="AI11" s="19"/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18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18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18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/>
      <c r="BU11" s="4"/>
      <c r="BV11" s="4"/>
      <c r="BW11" s="4"/>
      <c r="BX11" s="4"/>
      <c r="BY11" s="4"/>
      <c r="BZ11" s="19"/>
      <c r="CA11" s="33">
        <v>0</v>
      </c>
      <c r="CB11" s="33">
        <v>0</v>
      </c>
      <c r="CC11" s="33">
        <v>0</v>
      </c>
      <c r="CD11" s="33">
        <v>0</v>
      </c>
      <c r="CE11" s="33">
        <v>0</v>
      </c>
      <c r="CF11" s="33">
        <v>0</v>
      </c>
      <c r="CG11" s="33">
        <v>0</v>
      </c>
      <c r="CH11" s="33">
        <v>0</v>
      </c>
      <c r="CI11" s="33">
        <v>0</v>
      </c>
      <c r="CJ11" s="33">
        <v>0</v>
      </c>
      <c r="CK11" s="19"/>
      <c r="CL11" s="2">
        <v>206931205.53331122</v>
      </c>
      <c r="CM11" s="2">
        <v>336480616.83027595</v>
      </c>
      <c r="CN11" s="88">
        <v>182365981.237593</v>
      </c>
      <c r="CO11" s="2">
        <v>11960718.671690175</v>
      </c>
      <c r="CP11" s="2">
        <v>22326337.868614692</v>
      </c>
      <c r="CQ11" s="2">
        <v>14288104.624319999</v>
      </c>
      <c r="CR11" s="19"/>
      <c r="CS11" s="2">
        <v>0</v>
      </c>
      <c r="CT11" s="2">
        <v>0</v>
      </c>
      <c r="CU11" s="11"/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11"/>
      <c r="DF11" s="2">
        <f t="shared" si="1"/>
        <v>774352964.76580501</v>
      </c>
      <c r="DJ11" s="103">
        <v>0.26723106383697698</v>
      </c>
      <c r="DK11" s="103">
        <v>0.43453135062204862</v>
      </c>
      <c r="DL11" s="103">
        <v>0.23550758103447536</v>
      </c>
      <c r="DM11" s="103">
        <v>2.8834124465298459E-2</v>
      </c>
      <c r="DN11" s="103">
        <v>1.8452213729758634E-2</v>
      </c>
      <c r="DO11" s="103">
        <v>1.5440000000000001E-2</v>
      </c>
      <c r="DP11" s="104">
        <f t="shared" si="2"/>
        <v>0.99999633368855789</v>
      </c>
    </row>
    <row r="12" spans="1:120" x14ac:dyDescent="0.2">
      <c r="A12">
        <v>94492</v>
      </c>
      <c r="E12" t="s">
        <v>241</v>
      </c>
      <c r="F12" s="2">
        <v>0</v>
      </c>
      <c r="G12" s="2">
        <v>0</v>
      </c>
      <c r="H12" s="2">
        <v>0</v>
      </c>
      <c r="I12" s="2">
        <v>0</v>
      </c>
      <c r="J12" s="17">
        <v>0</v>
      </c>
      <c r="K12" s="4">
        <v>0</v>
      </c>
      <c r="L12" s="4">
        <v>0</v>
      </c>
      <c r="M12" s="4">
        <v>0</v>
      </c>
      <c r="N12" s="18">
        <v>0</v>
      </c>
      <c r="O12" s="4">
        <v>0</v>
      </c>
      <c r="P12" s="4">
        <v>0</v>
      </c>
      <c r="Q12" s="4">
        <v>0</v>
      </c>
      <c r="R12" s="18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19"/>
      <c r="AB12" s="4">
        <v>0</v>
      </c>
      <c r="AC12" s="4">
        <v>0</v>
      </c>
      <c r="AD12" s="72">
        <v>0</v>
      </c>
      <c r="AE12" s="74">
        <v>0</v>
      </c>
      <c r="AF12" s="4">
        <v>0</v>
      </c>
      <c r="AG12" s="4">
        <v>0</v>
      </c>
      <c r="AH12" s="4">
        <v>0</v>
      </c>
      <c r="AI12" s="19"/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18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18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18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/>
      <c r="BU12" s="4"/>
      <c r="BV12" s="4"/>
      <c r="BW12" s="4"/>
      <c r="BX12" s="4"/>
      <c r="BY12" s="4"/>
      <c r="BZ12" s="19"/>
      <c r="CA12" s="33">
        <v>0</v>
      </c>
      <c r="CB12" s="33">
        <v>0</v>
      </c>
      <c r="CC12" s="33">
        <v>0</v>
      </c>
      <c r="CD12" s="33">
        <v>0</v>
      </c>
      <c r="CE12" s="33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19"/>
      <c r="CL12" s="2">
        <v>201545194.74023086</v>
      </c>
      <c r="CM12" s="2">
        <v>241065548.38453436</v>
      </c>
      <c r="CN12" s="88">
        <v>66661589.952862538</v>
      </c>
      <c r="CO12" s="2">
        <v>11660660.555612462</v>
      </c>
      <c r="CP12" s="2">
        <v>19161079.502888627</v>
      </c>
      <c r="CQ12" s="2">
        <v>7362836.306900003</v>
      </c>
      <c r="CR12" s="19"/>
      <c r="CS12" s="2">
        <v>0</v>
      </c>
      <c r="CT12" s="2">
        <v>0</v>
      </c>
      <c r="CU12" s="11"/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11"/>
      <c r="DF12" s="2">
        <f t="shared" si="1"/>
        <v>547456909.44302893</v>
      </c>
      <c r="DJ12" s="103">
        <v>0.36814805222506541</v>
      </c>
      <c r="DK12" s="103">
        <v>0.4403370281822872</v>
      </c>
      <c r="DL12" s="103">
        <v>0.12176591226103582</v>
      </c>
      <c r="DM12" s="103">
        <v>3.5004915516030626E-2</v>
      </c>
      <c r="DN12" s="103">
        <v>1.3447429168074905E-2</v>
      </c>
      <c r="DO12" s="103">
        <v>2.1299999999999999E-2</v>
      </c>
      <c r="DP12" s="104">
        <f t="shared" si="2"/>
        <v>1.0000033373524941</v>
      </c>
    </row>
    <row r="13" spans="1:120" x14ac:dyDescent="0.2">
      <c r="A13">
        <v>92913</v>
      </c>
      <c r="E13" t="s">
        <v>242</v>
      </c>
      <c r="F13" s="2">
        <v>0</v>
      </c>
      <c r="G13" s="2">
        <v>0</v>
      </c>
      <c r="H13" s="2">
        <v>0</v>
      </c>
      <c r="I13" s="2">
        <v>0</v>
      </c>
      <c r="J13" s="17">
        <v>0</v>
      </c>
      <c r="K13" s="4">
        <v>0</v>
      </c>
      <c r="L13" s="4">
        <v>0</v>
      </c>
      <c r="M13" s="4">
        <v>0</v>
      </c>
      <c r="N13" s="18">
        <v>0</v>
      </c>
      <c r="O13" s="4">
        <v>0</v>
      </c>
      <c r="P13" s="4">
        <v>0</v>
      </c>
      <c r="Q13" s="4">
        <v>0</v>
      </c>
      <c r="R13" s="18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19"/>
      <c r="AB13" s="4">
        <v>0</v>
      </c>
      <c r="AC13" s="4">
        <v>0</v>
      </c>
      <c r="AD13" s="72">
        <v>0</v>
      </c>
      <c r="AE13" s="74">
        <v>0</v>
      </c>
      <c r="AF13" s="4">
        <v>0</v>
      </c>
      <c r="AG13" s="4">
        <v>0</v>
      </c>
      <c r="AH13" s="4">
        <v>0</v>
      </c>
      <c r="AI13" s="19"/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18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18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18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/>
      <c r="BU13" s="4"/>
      <c r="BV13" s="4"/>
      <c r="BW13" s="4"/>
      <c r="BX13" s="4"/>
      <c r="BY13" s="4"/>
      <c r="BZ13" s="19"/>
      <c r="CA13" s="33">
        <v>0</v>
      </c>
      <c r="CB13" s="33">
        <v>0</v>
      </c>
      <c r="CC13" s="33">
        <v>0</v>
      </c>
      <c r="CD13" s="33">
        <v>0</v>
      </c>
      <c r="CE13" s="33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0</v>
      </c>
      <c r="CK13" s="19"/>
      <c r="CL13" s="2">
        <v>202202645.2942225</v>
      </c>
      <c r="CM13" s="2">
        <v>245281517.92793116</v>
      </c>
      <c r="CN13" s="88">
        <v>89886231.721099168</v>
      </c>
      <c r="CO13" s="2">
        <v>11748514.694019714</v>
      </c>
      <c r="CP13" s="2">
        <v>21939533.420619447</v>
      </c>
      <c r="CQ13" s="2">
        <v>12306335.011399992</v>
      </c>
      <c r="CR13" s="19"/>
      <c r="CS13" s="2">
        <v>0</v>
      </c>
      <c r="CT13" s="2">
        <v>0</v>
      </c>
      <c r="CU13" s="11"/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11"/>
      <c r="DF13" s="2">
        <f t="shared" si="1"/>
        <v>583364778.06929195</v>
      </c>
      <c r="DJ13" s="103">
        <v>0.34661376477109623</v>
      </c>
      <c r="DK13" s="103">
        <v>0.42046036066586645</v>
      </c>
      <c r="DL13" s="103">
        <v>0.15408253229847327</v>
      </c>
      <c r="DM13" s="103">
        <v>3.7612276348400892E-2</v>
      </c>
      <c r="DN13" s="103">
        <v>2.1095668842024233E-2</v>
      </c>
      <c r="DO13" s="103">
        <v>2.0140000000000002E-2</v>
      </c>
      <c r="DP13" s="104">
        <f t="shared" si="2"/>
        <v>1.0000046029258609</v>
      </c>
    </row>
    <row r="14" spans="1:120" x14ac:dyDescent="0.2">
      <c r="A14">
        <v>0</v>
      </c>
      <c r="E14" t="s">
        <v>243</v>
      </c>
      <c r="F14" s="2">
        <v>0</v>
      </c>
      <c r="G14" s="2">
        <v>0</v>
      </c>
      <c r="H14" s="2">
        <v>0</v>
      </c>
      <c r="I14" s="2">
        <v>0</v>
      </c>
      <c r="J14" s="17">
        <v>0</v>
      </c>
      <c r="K14" s="4">
        <v>0</v>
      </c>
      <c r="L14" s="4">
        <v>0</v>
      </c>
      <c r="M14" s="4">
        <v>0</v>
      </c>
      <c r="N14" s="18">
        <v>0</v>
      </c>
      <c r="O14" s="4">
        <v>0</v>
      </c>
      <c r="P14" s="4">
        <v>0</v>
      </c>
      <c r="Q14" s="4">
        <v>0</v>
      </c>
      <c r="R14" s="18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19"/>
      <c r="AB14" s="4">
        <v>0</v>
      </c>
      <c r="AC14" s="4">
        <v>0</v>
      </c>
      <c r="AD14" s="72">
        <v>0</v>
      </c>
      <c r="AE14" s="74">
        <v>0</v>
      </c>
      <c r="AF14" s="4">
        <v>0</v>
      </c>
      <c r="AG14" s="4">
        <v>0</v>
      </c>
      <c r="AH14" s="4">
        <v>0</v>
      </c>
      <c r="AI14" s="19"/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18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18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18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/>
      <c r="BU14" s="4"/>
      <c r="BV14" s="4"/>
      <c r="BW14" s="4"/>
      <c r="BX14" s="4"/>
      <c r="BY14" s="4"/>
      <c r="BZ14" s="19"/>
      <c r="CA14" s="33">
        <v>0</v>
      </c>
      <c r="CB14" s="33">
        <v>0</v>
      </c>
      <c r="CC14" s="33">
        <v>0</v>
      </c>
      <c r="CD14" s="33">
        <v>0</v>
      </c>
      <c r="CE14" s="33">
        <v>0</v>
      </c>
      <c r="CF14" s="33">
        <v>0</v>
      </c>
      <c r="CG14" s="33">
        <v>0</v>
      </c>
      <c r="CH14" s="33">
        <v>0</v>
      </c>
      <c r="CI14" s="33">
        <v>0</v>
      </c>
      <c r="CJ14" s="33">
        <v>0</v>
      </c>
      <c r="CK14" s="19"/>
      <c r="CL14" s="2">
        <v>207503640.10244235</v>
      </c>
      <c r="CM14" s="2">
        <v>314141148.17357731</v>
      </c>
      <c r="CN14" s="88">
        <v>240436782.33305946</v>
      </c>
      <c r="CO14" s="2">
        <v>11768661.454922374</v>
      </c>
      <c r="CP14" s="2">
        <v>25698470.451836806</v>
      </c>
      <c r="CQ14" s="2">
        <v>38034765.124700002</v>
      </c>
      <c r="CR14" s="19"/>
      <c r="CS14" s="2">
        <v>0</v>
      </c>
      <c r="CT14" s="2">
        <v>0</v>
      </c>
      <c r="CU14" s="11"/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11"/>
      <c r="DF14" s="2">
        <f t="shared" si="1"/>
        <v>837583467.64053822</v>
      </c>
      <c r="DG14" s="3">
        <f>SUM(DF3:DF14)</f>
        <v>8702754630.2636948</v>
      </c>
      <c r="DH14" s="3">
        <f>+'DEI Sales by Revenue'!C15</f>
        <v>9253714339.3770008</v>
      </c>
      <c r="DI14" s="3">
        <f>+DH14-DG14</f>
        <v>550959709.11330605</v>
      </c>
      <c r="DJ14" s="103">
        <v>0.24774085013729855</v>
      </c>
      <c r="DK14" s="103">
        <v>0.3750565294816392</v>
      </c>
      <c r="DL14" s="103">
        <v>0.28706008641613057</v>
      </c>
      <c r="DM14" s="103">
        <v>3.0677524280660437E-2</v>
      </c>
      <c r="DN14" s="103">
        <v>4.5418968898099585E-2</v>
      </c>
      <c r="DO14" s="103">
        <v>1.405E-2</v>
      </c>
      <c r="DP14" s="104">
        <f t="shared" si="2"/>
        <v>1.0000039592138283</v>
      </c>
    </row>
    <row r="15" spans="1:120" x14ac:dyDescent="0.2">
      <c r="E15" s="11"/>
      <c r="F15" s="11"/>
      <c r="G15" s="11"/>
      <c r="H15" s="11"/>
      <c r="I15" s="14"/>
      <c r="J15" s="16"/>
      <c r="K15" s="11"/>
      <c r="L15" s="11"/>
      <c r="M15" s="11"/>
      <c r="N15" s="14"/>
      <c r="O15" s="11"/>
      <c r="P15" s="11"/>
      <c r="Q15" s="11"/>
      <c r="R15" s="14"/>
      <c r="S15" s="11"/>
      <c r="T15" s="11"/>
      <c r="U15" s="11"/>
      <c r="V15" s="14"/>
      <c r="W15" s="11"/>
      <c r="X15" s="11"/>
      <c r="Y15" s="11"/>
      <c r="Z15" s="11"/>
      <c r="AA15" s="11"/>
      <c r="AB15" s="11"/>
      <c r="AC15" s="11"/>
      <c r="AD15" s="27"/>
      <c r="AE15" s="14"/>
      <c r="AF15" s="11"/>
      <c r="AG15" s="11"/>
      <c r="AH15" s="11"/>
      <c r="AI15" s="11"/>
      <c r="AJ15" s="11"/>
      <c r="AK15" s="11"/>
      <c r="AL15" s="11"/>
      <c r="AM15" s="11"/>
      <c r="AN15" s="11"/>
      <c r="AO15" s="14"/>
      <c r="AP15" s="11">
        <v>34</v>
      </c>
      <c r="AQ15" s="11"/>
      <c r="AR15" s="11"/>
      <c r="AS15" s="11"/>
      <c r="AT15" s="11"/>
      <c r="AU15" s="14"/>
      <c r="AV15" s="11"/>
      <c r="AW15" s="11"/>
      <c r="AX15" s="11"/>
      <c r="AY15" s="11"/>
      <c r="AZ15" s="11"/>
      <c r="BA15" s="14"/>
      <c r="BB15" s="11"/>
      <c r="BC15" s="11"/>
      <c r="BD15" s="11"/>
      <c r="BE15" s="11"/>
      <c r="BF15" s="11"/>
      <c r="BG15" s="14"/>
      <c r="BH15" s="11"/>
      <c r="BI15" s="11"/>
      <c r="BJ15" s="11"/>
      <c r="BK15" s="11"/>
      <c r="BL15" s="11"/>
      <c r="BM15" s="14"/>
      <c r="BN15" s="11"/>
      <c r="BO15" s="11"/>
      <c r="BP15" s="11"/>
      <c r="BQ15" s="11"/>
      <c r="BR15" s="11"/>
      <c r="BS15" s="14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4"/>
      <c r="CR15" s="11"/>
      <c r="CS15" s="92"/>
      <c r="CT15" s="92"/>
      <c r="CU15" s="11"/>
      <c r="CV15" s="11"/>
      <c r="CW15" s="11"/>
      <c r="CX15" s="11"/>
      <c r="CY15" s="11" t="s">
        <v>8</v>
      </c>
      <c r="CZ15" s="11"/>
      <c r="DA15" s="11"/>
      <c r="DB15" s="92"/>
      <c r="DC15" s="11"/>
      <c r="DD15" s="92"/>
      <c r="DE15" s="11"/>
      <c r="DI15" s="103">
        <f>+DI14/DG14</f>
        <v>6.3308657146020436E-2</v>
      </c>
      <c r="DJ15" s="4"/>
    </row>
    <row r="16" spans="1:120" x14ac:dyDescent="0.2">
      <c r="E16" t="s">
        <v>27</v>
      </c>
      <c r="F16" s="344" t="str">
        <f>F1</f>
        <v>CSN0</v>
      </c>
      <c r="G16" s="344"/>
      <c r="H16" s="344"/>
      <c r="I16" s="345"/>
      <c r="J16" s="15" t="str">
        <f>J1</f>
        <v>CSN2</v>
      </c>
      <c r="K16" s="343" t="str">
        <f>K1</f>
        <v>CSN7</v>
      </c>
      <c r="L16" s="344"/>
      <c r="M16" s="344"/>
      <c r="N16" s="345"/>
      <c r="O16" s="343" t="str">
        <f>O1</f>
        <v>CSN8</v>
      </c>
      <c r="P16" s="344"/>
      <c r="Q16" s="344"/>
      <c r="R16" s="345"/>
      <c r="S16" s="343" t="str">
        <f>S1</f>
        <v>CSN9</v>
      </c>
      <c r="T16" s="344"/>
      <c r="U16" s="344"/>
      <c r="V16" s="345"/>
      <c r="W16" s="343" t="str">
        <f>W1</f>
        <v>SFOC</v>
      </c>
      <c r="X16" s="344"/>
      <c r="Y16" s="344"/>
      <c r="Z16" s="344"/>
      <c r="AA16" s="11"/>
      <c r="AB16" t="str">
        <f t="shared" ref="AB16:AH16" si="3">AB1</f>
        <v>HBN0</v>
      </c>
      <c r="AC16" t="str">
        <f t="shared" si="3"/>
        <v>HCN0</v>
      </c>
      <c r="AD16" s="25" t="str">
        <f t="shared" si="3"/>
        <v>HCN3</v>
      </c>
      <c r="AE16" s="13" t="str">
        <f t="shared" si="3"/>
        <v>HSN3</v>
      </c>
      <c r="AF16" t="str">
        <f t="shared" si="3"/>
        <v>HDN0</v>
      </c>
      <c r="AG16" t="str">
        <f t="shared" si="3"/>
        <v>HPN0</v>
      </c>
      <c r="AH16" t="str">
        <f t="shared" si="3"/>
        <v>HSN0</v>
      </c>
      <c r="AI16" s="11"/>
      <c r="AJ16" s="346" t="str">
        <f>AJ1</f>
        <v>LBN0</v>
      </c>
      <c r="AK16" s="347"/>
      <c r="AL16" s="347"/>
      <c r="AM16" s="347"/>
      <c r="AN16" s="347"/>
      <c r="AO16" s="348"/>
      <c r="AP16" s="346" t="str">
        <f>AP1</f>
        <v>LDN0</v>
      </c>
      <c r="AQ16" s="347"/>
      <c r="AR16" s="347"/>
      <c r="AS16" s="347"/>
      <c r="AT16" s="347"/>
      <c r="AU16" s="348"/>
      <c r="AV16" s="346" t="str">
        <f>AV1</f>
        <v>LPN0</v>
      </c>
      <c r="AW16" s="347"/>
      <c r="AX16" s="347"/>
      <c r="AY16" s="347"/>
      <c r="AZ16" s="347"/>
      <c r="BA16" s="348"/>
      <c r="BB16" s="346" t="str">
        <f>BB1</f>
        <v>LSN0</v>
      </c>
      <c r="BC16" s="347"/>
      <c r="BD16" s="347"/>
      <c r="BE16" s="347"/>
      <c r="BF16" s="347"/>
      <c r="BG16" s="348"/>
      <c r="BH16" s="346" t="str">
        <f>BH1</f>
        <v>LSN2</v>
      </c>
      <c r="BI16" s="347"/>
      <c r="BJ16" s="347"/>
      <c r="BK16" s="347"/>
      <c r="BL16" s="347"/>
      <c r="BM16" s="348"/>
      <c r="BN16" s="349" t="s">
        <v>253</v>
      </c>
      <c r="BO16" s="344"/>
      <c r="BP16" s="344"/>
      <c r="BQ16" s="344"/>
      <c r="BR16" s="344"/>
      <c r="BS16" s="344"/>
      <c r="BT16" s="349" t="s">
        <v>254</v>
      </c>
      <c r="BU16" s="344"/>
      <c r="BV16" s="344"/>
      <c r="BW16" s="344"/>
      <c r="BX16" s="344"/>
      <c r="BY16" s="344"/>
      <c r="BZ16" s="11"/>
      <c r="CA16" t="str">
        <f>CA1</f>
        <v>NUCF</v>
      </c>
      <c r="CB16" t="str">
        <f t="shared" ref="CB16:CJ16" si="4">CB1</f>
        <v>NUIF</v>
      </c>
      <c r="CC16" t="str">
        <f t="shared" si="4"/>
        <v>NUCR</v>
      </c>
      <c r="CD16" t="str">
        <f t="shared" si="4"/>
        <v>NUCS</v>
      </c>
      <c r="CE16" t="str">
        <f t="shared" si="4"/>
        <v>SAES</v>
      </c>
      <c r="CF16" t="str">
        <f t="shared" si="4"/>
        <v>SASN</v>
      </c>
      <c r="CG16" t="str">
        <f t="shared" si="4"/>
        <v>SPUF</v>
      </c>
      <c r="CH16" t="str">
        <f t="shared" si="4"/>
        <v>SPUR</v>
      </c>
      <c r="CI16" t="str">
        <f t="shared" si="4"/>
        <v>SDEH</v>
      </c>
      <c r="CJ16" t="str">
        <f t="shared" si="4"/>
        <v>SDED</v>
      </c>
      <c r="CK16" s="11"/>
      <c r="CL16" s="344" t="str">
        <f t="shared" ref="CL16:CQ17" si="5">CL1</f>
        <v>RSN0</v>
      </c>
      <c r="CM16" s="344"/>
      <c r="CN16" s="345"/>
      <c r="CO16" s="343" t="str">
        <f t="shared" si="5"/>
        <v>RSN2</v>
      </c>
      <c r="CP16" s="344"/>
      <c r="CQ16" s="345"/>
      <c r="CR16" s="11"/>
      <c r="CS16" s="2" t="str">
        <f>CS1</f>
        <v xml:space="preserve">SWP </v>
      </c>
      <c r="CU16" s="11"/>
      <c r="CV16" t="str">
        <f>CV1</f>
        <v>MHLS</v>
      </c>
      <c r="CW16" t="s">
        <v>73</v>
      </c>
      <c r="CX16" t="s">
        <v>67</v>
      </c>
      <c r="CY16" t="s">
        <v>69</v>
      </c>
      <c r="CZ16" t="s">
        <v>75</v>
      </c>
      <c r="DA16" t="s">
        <v>71</v>
      </c>
      <c r="DB16" s="2" t="s">
        <v>80</v>
      </c>
      <c r="DC16" t="s">
        <v>83</v>
      </c>
      <c r="DD16" s="2" t="s">
        <v>79</v>
      </c>
      <c r="DE16" s="11"/>
      <c r="DJ16" s="4"/>
    </row>
    <row r="17" spans="1:120" x14ac:dyDescent="0.2">
      <c r="F17" t="str">
        <f t="shared" ref="F17:Z17" si="6">F2</f>
        <v>First 300</v>
      </c>
      <c r="G17" t="str">
        <f t="shared" si="6"/>
        <v>Next 700</v>
      </c>
      <c r="H17" t="str">
        <f t="shared" si="6"/>
        <v>Next 1500</v>
      </c>
      <c r="I17" s="13" t="str">
        <f t="shared" si="6"/>
        <v>Over 2500</v>
      </c>
      <c r="J17" s="15"/>
      <c r="K17" t="str">
        <f t="shared" si="6"/>
        <v>First 300</v>
      </c>
      <c r="L17" t="str">
        <f t="shared" si="6"/>
        <v>Next 700</v>
      </c>
      <c r="M17" t="str">
        <f t="shared" si="6"/>
        <v>Next 1500</v>
      </c>
      <c r="N17" s="13" t="str">
        <f t="shared" si="6"/>
        <v>Over 2500</v>
      </c>
      <c r="O17" t="str">
        <f t="shared" si="6"/>
        <v>First 300</v>
      </c>
      <c r="P17" t="str">
        <f t="shared" si="6"/>
        <v>Next 700</v>
      </c>
      <c r="Q17" t="str">
        <f t="shared" si="6"/>
        <v>Next 1500</v>
      </c>
      <c r="R17" s="13" t="str">
        <f t="shared" si="6"/>
        <v>Over 2500</v>
      </c>
      <c r="S17" t="str">
        <f t="shared" si="6"/>
        <v>First 300</v>
      </c>
      <c r="T17" t="str">
        <f t="shared" si="6"/>
        <v>Next 700</v>
      </c>
      <c r="U17" t="str">
        <f t="shared" si="6"/>
        <v>Next 1500</v>
      </c>
      <c r="V17" s="13" t="str">
        <f t="shared" si="6"/>
        <v>Over 2500</v>
      </c>
      <c r="W17" t="str">
        <f t="shared" si="6"/>
        <v>First 300</v>
      </c>
      <c r="X17" t="str">
        <f t="shared" si="6"/>
        <v>Next 700</v>
      </c>
      <c r="Y17" t="str">
        <f t="shared" si="6"/>
        <v>Next 1500</v>
      </c>
      <c r="Z17" t="str">
        <f t="shared" si="6"/>
        <v>Over 2500</v>
      </c>
      <c r="AA17" s="11"/>
      <c r="AD17" s="25" t="s">
        <v>8</v>
      </c>
      <c r="AE17" s="13" t="s">
        <v>8</v>
      </c>
      <c r="AI17" s="11"/>
      <c r="AJ17" s="2" t="str">
        <f>AJ2</f>
        <v>First 300 kWh</v>
      </c>
      <c r="AK17" s="2" t="str">
        <f>AK2</f>
        <v>Next 700 kWh</v>
      </c>
      <c r="AL17" s="2" t="str">
        <f>AL2</f>
        <v>Next 1500 kWh</v>
      </c>
      <c r="AM17" s="2" t="str">
        <f>AM2</f>
        <v>Over 2500 kWh</v>
      </c>
      <c r="AN17" s="2" t="str">
        <f>AN2</f>
        <v>KWH_NEXT110</v>
      </c>
      <c r="AO17" s="88" t="str">
        <f>AO2</f>
        <v>KWH_300+</v>
      </c>
      <c r="AP17" s="2" t="str">
        <f>AP2</f>
        <v>First 300 kWh</v>
      </c>
      <c r="AQ17" s="2" t="str">
        <f>AQ2</f>
        <v>Next 700 kWh</v>
      </c>
      <c r="AR17" s="2" t="str">
        <f>AR2</f>
        <v>Next 1500 kWh</v>
      </c>
      <c r="AS17" s="2" t="str">
        <f>AS2</f>
        <v>Over 2500 kWh</v>
      </c>
      <c r="AT17" s="2" t="str">
        <f>AT2</f>
        <v>KWH_NEXT110</v>
      </c>
      <c r="AU17" s="88" t="str">
        <f>AU2</f>
        <v>KWH_300+</v>
      </c>
      <c r="AV17" s="2" t="str">
        <f>AV2</f>
        <v>First 300 kWh</v>
      </c>
      <c r="AW17" s="2" t="str">
        <f>AW2</f>
        <v>Next 700 kWh</v>
      </c>
      <c r="AX17" s="2" t="str">
        <f>AX2</f>
        <v>Next 1500 kWh</v>
      </c>
      <c r="AY17" s="2" t="str">
        <f>AY2</f>
        <v>Over 2500 kWh</v>
      </c>
      <c r="AZ17" s="2" t="str">
        <f>AZ2</f>
        <v>KWH_NEXT110</v>
      </c>
      <c r="BA17" s="88" t="str">
        <f>BA2</f>
        <v>KWH_300+</v>
      </c>
      <c r="BB17" s="2" t="str">
        <f>BB2</f>
        <v>First 300 kWh</v>
      </c>
      <c r="BC17" s="2" t="str">
        <f>BC2</f>
        <v>Next 700 kWh</v>
      </c>
      <c r="BD17" s="2" t="str">
        <f>BD2</f>
        <v>Next 1500 kWh</v>
      </c>
      <c r="BE17" s="2" t="str">
        <f>BE2</f>
        <v>Over 2500 kWh</v>
      </c>
      <c r="BF17" s="2" t="str">
        <f>BF2</f>
        <v>KWH_NEXT110</v>
      </c>
      <c r="BG17" s="88" t="str">
        <f>BG2</f>
        <v>KWH_300+</v>
      </c>
      <c r="BH17" s="2" t="str">
        <f>BH2</f>
        <v>First 300 kWh</v>
      </c>
      <c r="BI17" s="2" t="str">
        <f t="shared" ref="BI17:BS17" si="7">BI2</f>
        <v>Next 700 kWh</v>
      </c>
      <c r="BJ17" s="2" t="str">
        <f t="shared" si="7"/>
        <v>Next 1500 kWh</v>
      </c>
      <c r="BK17" s="2" t="str">
        <f t="shared" si="7"/>
        <v>Over 2500 kWh</v>
      </c>
      <c r="BL17" s="2" t="str">
        <f t="shared" si="7"/>
        <v>KWH_NEXT110</v>
      </c>
      <c r="BM17" s="88" t="str">
        <f t="shared" si="7"/>
        <v>KWH_300+</v>
      </c>
      <c r="BN17" t="str">
        <f t="shared" si="7"/>
        <v>First 300 kWh</v>
      </c>
      <c r="BO17" t="str">
        <f t="shared" si="7"/>
        <v>Next 700 kWh</v>
      </c>
      <c r="BP17" t="str">
        <f t="shared" si="7"/>
        <v>Next 1500 kWh</v>
      </c>
      <c r="BQ17" t="str">
        <f t="shared" si="7"/>
        <v>Over 2500 kWh</v>
      </c>
      <c r="BR17" t="str">
        <f t="shared" si="7"/>
        <v>KWH_NEXT110</v>
      </c>
      <c r="BS17" s="13" t="str">
        <f t="shared" si="7"/>
        <v>KWH_300+</v>
      </c>
      <c r="BT17" t="s">
        <v>223</v>
      </c>
      <c r="BU17" t="s">
        <v>224</v>
      </c>
      <c r="BV17" t="s">
        <v>225</v>
      </c>
      <c r="BW17" t="s">
        <v>226</v>
      </c>
      <c r="BX17" t="s">
        <v>227</v>
      </c>
      <c r="BY17" s="13" t="s">
        <v>228</v>
      </c>
      <c r="BZ17" s="11"/>
      <c r="CK17" s="11"/>
      <c r="CL17" t="str">
        <f t="shared" si="5"/>
        <v>First 300 kWh</v>
      </c>
      <c r="CM17" t="str">
        <f t="shared" si="5"/>
        <v>Next 700 kWh</v>
      </c>
      <c r="CN17" s="13" t="str">
        <f t="shared" si="5"/>
        <v>Over 1000 kWh</v>
      </c>
      <c r="CO17" s="25" t="str">
        <f t="shared" si="5"/>
        <v>First 300 kWh</v>
      </c>
      <c r="CP17" t="str">
        <f t="shared" si="5"/>
        <v>Next 700 kWh</v>
      </c>
      <c r="CQ17" s="13" t="str">
        <f t="shared" si="5"/>
        <v>Over 1000 kWh</v>
      </c>
      <c r="CR17" s="11"/>
      <c r="CS17" s="330" t="s">
        <v>230</v>
      </c>
      <c r="CT17" s="330" t="s">
        <v>231</v>
      </c>
      <c r="CU17" s="11"/>
      <c r="DB17" s="2"/>
      <c r="DD17" s="2"/>
      <c r="DE17" s="11"/>
      <c r="DJ17" s="4"/>
    </row>
    <row r="18" spans="1:120" x14ac:dyDescent="0.2">
      <c r="A18" s="3">
        <f>+F18+G18+H18+I18</f>
        <v>86674267.001999959</v>
      </c>
      <c r="B18" s="3"/>
      <c r="C18" s="3"/>
      <c r="D18" s="3"/>
      <c r="E18" t="s">
        <v>232</v>
      </c>
      <c r="F18" s="2">
        <v>13396090.802261908</v>
      </c>
      <c r="G18" s="2">
        <v>19465356.537539884</v>
      </c>
      <c r="H18" s="2">
        <v>21284142.788407523</v>
      </c>
      <c r="I18" s="2">
        <v>32528676.873790648</v>
      </c>
      <c r="J18" s="95">
        <v>473623.10899999988</v>
      </c>
      <c r="K18" s="4">
        <v>292</v>
      </c>
      <c r="L18" s="4">
        <v>0</v>
      </c>
      <c r="M18" s="4">
        <v>0</v>
      </c>
      <c r="N18" s="18">
        <v>0</v>
      </c>
      <c r="O18" s="2">
        <v>1307209.7655310102</v>
      </c>
      <c r="P18" s="2">
        <v>701881.211600626</v>
      </c>
      <c r="Q18" s="2">
        <v>85574.515944419443</v>
      </c>
      <c r="R18" s="2">
        <v>68348.9089239444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19"/>
      <c r="AB18" s="2">
        <v>0</v>
      </c>
      <c r="AC18" s="2">
        <v>15505.88</v>
      </c>
      <c r="AD18" s="90">
        <v>0</v>
      </c>
      <c r="AE18" s="89">
        <f>+'HLF-Demand_kVAR'!W3</f>
        <v>53194</v>
      </c>
      <c r="AF18" s="2">
        <v>658963.19999999995</v>
      </c>
      <c r="AG18" s="2">
        <v>24446979.980000004</v>
      </c>
      <c r="AH18" s="2">
        <v>152077689</v>
      </c>
      <c r="AI18" s="19"/>
      <c r="AJ18" s="2">
        <v>2459</v>
      </c>
      <c r="AK18" s="2">
        <v>4391</v>
      </c>
      <c r="AL18" s="2">
        <v>7822</v>
      </c>
      <c r="AM18" s="2">
        <v>15340.534</v>
      </c>
      <c r="AN18" s="2">
        <v>0</v>
      </c>
      <c r="AO18" s="2">
        <v>0</v>
      </c>
      <c r="AP18" s="2">
        <v>661.62998796500699</v>
      </c>
      <c r="AQ18" s="2">
        <v>1543.803305251683</v>
      </c>
      <c r="AR18" s="2">
        <v>3308.1499398250348</v>
      </c>
      <c r="AS18" s="2">
        <v>1591440.6643851635</v>
      </c>
      <c r="AT18" s="2">
        <v>258271.07518691971</v>
      </c>
      <c r="AU18" s="2">
        <v>121561.07719487499</v>
      </c>
      <c r="AV18" s="2">
        <v>3267.1793327015762</v>
      </c>
      <c r="AW18" s="2">
        <v>7469.7153442360514</v>
      </c>
      <c r="AX18" s="2">
        <v>14956.472663437595</v>
      </c>
      <c r="AY18" s="2">
        <v>1681628.5913855641</v>
      </c>
      <c r="AZ18" s="2">
        <v>1541292.7323306287</v>
      </c>
      <c r="BA18" s="2">
        <v>135247.66586865246</v>
      </c>
      <c r="BB18" s="2">
        <v>4912069.425144475</v>
      </c>
      <c r="BC18" s="2">
        <v>9698155.8868794851</v>
      </c>
      <c r="BD18" s="2">
        <v>14711626.310308052</v>
      </c>
      <c r="BE18" s="2">
        <v>92754789.130334809</v>
      </c>
      <c r="BF18" s="2">
        <v>51145306.66071634</v>
      </c>
      <c r="BG18" s="2">
        <v>37477919.141993046</v>
      </c>
      <c r="BH18" s="2">
        <v>65834.42615998791</v>
      </c>
      <c r="BI18" s="2">
        <v>150722.51709816745</v>
      </c>
      <c r="BJ18" s="2">
        <v>315190.21059977548</v>
      </c>
      <c r="BK18" s="2">
        <v>6449619.6758525008</v>
      </c>
      <c r="BL18" s="2">
        <v>3652915.610608317</v>
      </c>
      <c r="BM18" s="2">
        <v>3894849.9916812531</v>
      </c>
      <c r="BN18" s="2">
        <f>900</f>
        <v>900</v>
      </c>
      <c r="BO18" s="2">
        <v>2100</v>
      </c>
      <c r="BP18" s="2">
        <v>4500</v>
      </c>
      <c r="BQ18" s="2">
        <f>17985-BP18-BO18-BN18</f>
        <v>10485</v>
      </c>
      <c r="BR18" s="4">
        <v>0</v>
      </c>
      <c r="BS18" s="18">
        <v>0</v>
      </c>
      <c r="BT18" s="4"/>
      <c r="BU18" s="4"/>
      <c r="BV18" s="4"/>
      <c r="BW18" s="4"/>
      <c r="BX18" s="4"/>
      <c r="BY18" s="4"/>
      <c r="BZ18" s="19"/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19"/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19"/>
      <c r="CS18" s="2">
        <v>144114.50903496941</v>
      </c>
      <c r="CT18" s="2">
        <v>1150207.3109650307</v>
      </c>
      <c r="CU18" s="11"/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11"/>
      <c r="DF18" s="4">
        <f t="shared" ref="DF18:DF29" si="8">SUM(F18:DD18)</f>
        <v>498495495.67130142</v>
      </c>
      <c r="DJ18" s="105">
        <f>1597636/14348695</f>
        <v>0.11134364484017537</v>
      </c>
      <c r="DK18" s="105">
        <f>12751059/14348695</f>
        <v>0.88865635515982466</v>
      </c>
      <c r="DM18" s="3">
        <f>+F18+G18+H18+I18</f>
        <v>86674267.001999959</v>
      </c>
      <c r="DN18" s="105">
        <f>+DM18/DF18</f>
        <v>0.17387171550121958</v>
      </c>
    </row>
    <row r="19" spans="1:120" x14ac:dyDescent="0.2">
      <c r="A19" s="3">
        <f t="shared" ref="A19:A29" si="9">+F19+G19+H19+I19</f>
        <v>80427173.198999956</v>
      </c>
      <c r="B19" s="3"/>
      <c r="C19" s="3"/>
      <c r="D19" s="3"/>
      <c r="E19" t="s">
        <v>233</v>
      </c>
      <c r="F19" s="2">
        <v>13017879.528944658</v>
      </c>
      <c r="G19" s="2">
        <v>18568912.40124077</v>
      </c>
      <c r="H19" s="2">
        <v>19770802.622122288</v>
      </c>
      <c r="I19" s="2">
        <v>29069578.646692235</v>
      </c>
      <c r="J19" s="95">
        <v>440339.41999999993</v>
      </c>
      <c r="K19" s="4">
        <v>291.8</v>
      </c>
      <c r="L19" s="4">
        <v>0</v>
      </c>
      <c r="M19" s="4">
        <v>0</v>
      </c>
      <c r="N19" s="18">
        <v>0</v>
      </c>
      <c r="O19" s="2">
        <v>1207550.578908077</v>
      </c>
      <c r="P19" s="2">
        <v>648378.56281404465</v>
      </c>
      <c r="Q19" s="2">
        <v>79051.384685192694</v>
      </c>
      <c r="R19" s="2">
        <v>63138.8425926852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19"/>
      <c r="AB19" s="2">
        <v>0</v>
      </c>
      <c r="AC19" s="2">
        <v>14726.64</v>
      </c>
      <c r="AD19" s="90">
        <v>0</v>
      </c>
      <c r="AE19" s="89">
        <f>+'HLF-Demand_kVAR'!W4</f>
        <v>48707</v>
      </c>
      <c r="AF19" s="2">
        <v>633472.19999999925</v>
      </c>
      <c r="AG19" s="2">
        <v>23473774.669999998</v>
      </c>
      <c r="AH19" s="2">
        <v>143422367.70999941</v>
      </c>
      <c r="AI19" s="19"/>
      <c r="AJ19" s="2">
        <f>1500+253+295+133</f>
        <v>2181</v>
      </c>
      <c r="AK19" s="2">
        <v>3500</v>
      </c>
      <c r="AL19" s="2">
        <v>7500</v>
      </c>
      <c r="AM19" s="2">
        <v>16831.534</v>
      </c>
      <c r="AN19" s="2">
        <v>0</v>
      </c>
      <c r="AO19" s="2">
        <v>0</v>
      </c>
      <c r="AP19" s="2">
        <v>693.86345181773436</v>
      </c>
      <c r="AQ19" s="2">
        <v>1619.0147209080465</v>
      </c>
      <c r="AR19" s="2">
        <v>3469.3172590886711</v>
      </c>
      <c r="AS19" s="2">
        <v>1668972.8894389234</v>
      </c>
      <c r="AT19" s="2">
        <v>270853.59338844183</v>
      </c>
      <c r="AU19" s="2">
        <v>127483.32174082025</v>
      </c>
      <c r="AV19" s="2">
        <v>3160.1242084955757</v>
      </c>
      <c r="AW19" s="2">
        <v>7224.9564184076908</v>
      </c>
      <c r="AX19" s="2">
        <v>14466.396400209038</v>
      </c>
      <c r="AY19" s="2">
        <v>1626526.9457803681</v>
      </c>
      <c r="AZ19" s="2">
        <v>1490789.4485818844</v>
      </c>
      <c r="BA19" s="2">
        <v>130816.02799581863</v>
      </c>
      <c r="BB19" s="2">
        <v>4620382.5797687434</v>
      </c>
      <c r="BC19" s="2">
        <v>9122263.2738546282</v>
      </c>
      <c r="BD19" s="2">
        <v>13838025.492120478</v>
      </c>
      <c r="BE19" s="2">
        <v>87246855.611230925</v>
      </c>
      <c r="BF19" s="2">
        <v>48108213.35758169</v>
      </c>
      <c r="BG19" s="2">
        <v>35252418.02227848</v>
      </c>
      <c r="BH19" s="2">
        <v>60259.160904283068</v>
      </c>
      <c r="BI19" s="2">
        <v>137958.40473562194</v>
      </c>
      <c r="BJ19" s="2">
        <v>288497.95956040616</v>
      </c>
      <c r="BK19" s="2">
        <v>5903426.1022363752</v>
      </c>
      <c r="BL19" s="2">
        <v>3343564.1865318939</v>
      </c>
      <c r="BM19" s="2">
        <v>3565010.0720314272</v>
      </c>
      <c r="BN19" s="2">
        <f>2678</f>
        <v>2678</v>
      </c>
      <c r="BO19" s="2">
        <v>5600</v>
      </c>
      <c r="BP19" s="2">
        <f>1500*7+438</f>
        <v>10938</v>
      </c>
      <c r="BQ19" s="2">
        <f>37913-BP19-BO19-BN19</f>
        <v>18697</v>
      </c>
      <c r="BR19" s="4">
        <v>0</v>
      </c>
      <c r="BS19" s="18">
        <v>0</v>
      </c>
      <c r="BT19" s="4"/>
      <c r="BU19" s="4"/>
      <c r="BV19" s="4"/>
      <c r="BW19" s="4"/>
      <c r="BX19" s="4"/>
      <c r="BY19" s="4"/>
      <c r="BZ19" s="19"/>
      <c r="CA19" s="33">
        <v>0</v>
      </c>
      <c r="CB19" s="33">
        <v>0</v>
      </c>
      <c r="CC19" s="33">
        <v>0</v>
      </c>
      <c r="CD19" s="33">
        <v>0</v>
      </c>
      <c r="CE19" s="33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19"/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19"/>
      <c r="CS19" s="2">
        <v>138914.29718599608</v>
      </c>
      <c r="CT19" s="2">
        <v>1108703.3588140039</v>
      </c>
      <c r="CU19" s="11"/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11"/>
      <c r="DF19" s="4">
        <f t="shared" si="8"/>
        <v>468607465.32021958</v>
      </c>
      <c r="DJ19" s="4"/>
    </row>
    <row r="20" spans="1:120" x14ac:dyDescent="0.2">
      <c r="A20" s="3">
        <f t="shared" si="9"/>
        <v>73818150.245000035</v>
      </c>
      <c r="B20" s="3"/>
      <c r="C20" s="3"/>
      <c r="D20" s="3"/>
      <c r="E20" t="s">
        <v>234</v>
      </c>
      <c r="F20" s="2">
        <v>12909272.595948156</v>
      </c>
      <c r="G20" s="2">
        <v>17723920.637521978</v>
      </c>
      <c r="H20" s="2">
        <v>17888810.907449245</v>
      </c>
      <c r="I20" s="2">
        <v>25296146.104080662</v>
      </c>
      <c r="J20" s="95">
        <v>402479.55800000002</v>
      </c>
      <c r="K20" s="4">
        <v>291.8</v>
      </c>
      <c r="L20" s="4">
        <v>0</v>
      </c>
      <c r="M20" s="4">
        <v>0</v>
      </c>
      <c r="N20" s="18">
        <v>0</v>
      </c>
      <c r="O20" s="2">
        <v>1221383.7607250656</v>
      </c>
      <c r="P20" s="2">
        <v>655806.10970301612</v>
      </c>
      <c r="Q20" s="2">
        <v>79956.963462873216</v>
      </c>
      <c r="R20" s="2">
        <v>63862.134109044382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19"/>
      <c r="AB20" s="2">
        <v>0</v>
      </c>
      <c r="AC20" s="2">
        <v>13934.36</v>
      </c>
      <c r="AD20" s="90">
        <v>0</v>
      </c>
      <c r="AE20" s="89">
        <f>+'HLF-Demand_kVAR'!W5</f>
        <v>42492</v>
      </c>
      <c r="AF20" s="2">
        <v>650956.80000000075</v>
      </c>
      <c r="AG20" s="2">
        <v>24113996.510000005</v>
      </c>
      <c r="AH20" s="2">
        <v>141851773.53800043</v>
      </c>
      <c r="AI20" s="19"/>
      <c r="AJ20" s="2">
        <v>2880</v>
      </c>
      <c r="AK20" s="2">
        <v>4871</v>
      </c>
      <c r="AL20" s="2">
        <v>9000</v>
      </c>
      <c r="AM20" s="2">
        <v>25957.418000000005</v>
      </c>
      <c r="AN20" s="2">
        <v>0</v>
      </c>
      <c r="AO20" s="88">
        <v>0</v>
      </c>
      <c r="AP20" s="2">
        <v>702.99031338245368</v>
      </c>
      <c r="AQ20" s="2">
        <v>1640.3107312257252</v>
      </c>
      <c r="AR20" s="2">
        <v>3514.9515669122684</v>
      </c>
      <c r="AS20" s="2">
        <v>1690926.0337892619</v>
      </c>
      <c r="AT20" s="2">
        <v>274416.31634882698</v>
      </c>
      <c r="AU20" s="2">
        <v>129160.19725039053</v>
      </c>
      <c r="AV20" s="2">
        <v>3229.5904077148466</v>
      </c>
      <c r="AW20" s="2">
        <v>7383.7762080103885</v>
      </c>
      <c r="AX20" s="2">
        <v>14784.398322924686</v>
      </c>
      <c r="AY20" s="2">
        <v>1662281.4406661501</v>
      </c>
      <c r="AZ20" s="2">
        <v>1523560.1468192416</v>
      </c>
      <c r="BA20" s="2">
        <v>133691.64036491516</v>
      </c>
      <c r="BB20" s="2">
        <v>4413648.8222874366</v>
      </c>
      <c r="BC20" s="2">
        <v>8714097.9908333924</v>
      </c>
      <c r="BD20" s="2">
        <v>13218858.798298478</v>
      </c>
      <c r="BE20" s="2">
        <v>83343094.401517078</v>
      </c>
      <c r="BF20" s="2">
        <v>45955666.129853405</v>
      </c>
      <c r="BG20" s="2">
        <v>33675088.718432792</v>
      </c>
      <c r="BH20" s="2">
        <v>55964.715277768024</v>
      </c>
      <c r="BI20" s="2">
        <v>128126.62382518158</v>
      </c>
      <c r="BJ20" s="2">
        <v>267937.78610129247</v>
      </c>
      <c r="BK20" s="2">
        <v>5482710.944146581</v>
      </c>
      <c r="BL20" s="2">
        <v>3105280.8386998195</v>
      </c>
      <c r="BM20" s="2">
        <v>3310945.1019493551</v>
      </c>
      <c r="BN20" s="2">
        <f>1896</f>
        <v>1896</v>
      </c>
      <c r="BO20" s="2">
        <v>7000</v>
      </c>
      <c r="BP20" s="2">
        <f>9000+953</f>
        <v>9953</v>
      </c>
      <c r="BQ20" s="2">
        <f>38048-BN20-BO20-BP20</f>
        <v>19199</v>
      </c>
      <c r="BR20" s="4">
        <v>0</v>
      </c>
      <c r="BS20" s="18">
        <v>0</v>
      </c>
      <c r="BT20" s="4"/>
      <c r="BU20" s="4"/>
      <c r="BV20" s="4"/>
      <c r="BW20" s="4"/>
      <c r="BX20" s="4"/>
      <c r="BY20" s="4"/>
      <c r="BZ20" s="19"/>
      <c r="CA20" s="33">
        <v>0</v>
      </c>
      <c r="CB20" s="33">
        <v>0</v>
      </c>
      <c r="CC20" s="33">
        <v>0</v>
      </c>
      <c r="CD20" s="33">
        <v>0</v>
      </c>
      <c r="CE20" s="33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19"/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19"/>
      <c r="CS20" s="2">
        <v>134857.64224553938</v>
      </c>
      <c r="CT20" s="2">
        <v>1076326.3677544603</v>
      </c>
      <c r="CU20" s="11"/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11"/>
      <c r="DF20" s="4">
        <f t="shared" si="8"/>
        <v>451323736.87101197</v>
      </c>
      <c r="DJ20" s="4"/>
    </row>
    <row r="21" spans="1:120" x14ac:dyDescent="0.2">
      <c r="A21" s="3">
        <f t="shared" si="9"/>
        <v>70298432.237999901</v>
      </c>
      <c r="B21" s="3"/>
      <c r="C21" s="3"/>
      <c r="D21" s="3"/>
      <c r="E21" t="s">
        <v>235</v>
      </c>
      <c r="F21" s="2">
        <v>12828378.468104417</v>
      </c>
      <c r="G21" s="2">
        <v>17127957.81251077</v>
      </c>
      <c r="H21" s="2">
        <v>16712702.732771909</v>
      </c>
      <c r="I21" s="2">
        <v>23629393.224612806</v>
      </c>
      <c r="J21" s="95">
        <v>382898.74299999996</v>
      </c>
      <c r="K21" s="4">
        <v>291.8</v>
      </c>
      <c r="L21" s="4">
        <v>0</v>
      </c>
      <c r="M21" s="4">
        <v>0</v>
      </c>
      <c r="N21" s="18">
        <v>0</v>
      </c>
      <c r="O21" s="2">
        <v>1241749.4971815855</v>
      </c>
      <c r="P21" s="2">
        <v>666497.45737185213</v>
      </c>
      <c r="Q21" s="2">
        <v>81260.470219333773</v>
      </c>
      <c r="R21" s="2">
        <v>64903.253227228292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19"/>
      <c r="AB21" s="2">
        <v>0</v>
      </c>
      <c r="AC21" s="2">
        <v>13362.68</v>
      </c>
      <c r="AD21" s="90">
        <v>0</v>
      </c>
      <c r="AE21" s="89">
        <f>+'HLF-Demand_kVAR'!W6</f>
        <v>60426</v>
      </c>
      <c r="AF21" s="2">
        <v>718607.59999999963</v>
      </c>
      <c r="AG21" s="2">
        <v>24198071.209999997</v>
      </c>
      <c r="AH21" s="2">
        <v>141977687.11700013</v>
      </c>
      <c r="AI21" s="19"/>
      <c r="AJ21" s="2">
        <f>29*300</f>
        <v>8700</v>
      </c>
      <c r="AK21" s="2">
        <v>15847</v>
      </c>
      <c r="AL21" s="2">
        <v>29546</v>
      </c>
      <c r="AM21" s="2">
        <v>56332.637999999992</v>
      </c>
      <c r="AN21" s="2">
        <v>0</v>
      </c>
      <c r="AO21" s="88">
        <v>0</v>
      </c>
      <c r="AP21" s="2">
        <v>665.66191548485529</v>
      </c>
      <c r="AQ21" s="2">
        <v>1553.2111361313289</v>
      </c>
      <c r="AR21" s="2">
        <v>3328.3095774242761</v>
      </c>
      <c r="AS21" s="2">
        <v>1601138.7940462385</v>
      </c>
      <c r="AT21" s="2">
        <v>259844.96130842061</v>
      </c>
      <c r="AU21" s="2">
        <v>122301.8620163005</v>
      </c>
      <c r="AV21" s="2">
        <v>3245.4351491928301</v>
      </c>
      <c r="AW21" s="2">
        <v>7420.0018621576564</v>
      </c>
      <c r="AX21" s="2">
        <v>14856.932279173347</v>
      </c>
      <c r="AY21" s="2">
        <v>1670436.7843370032</v>
      </c>
      <c r="AZ21" s="2">
        <v>1531034.9078895133</v>
      </c>
      <c r="BA21" s="2">
        <v>134347.54690782828</v>
      </c>
      <c r="BB21" s="2">
        <v>4313252.5427315626</v>
      </c>
      <c r="BC21" s="2">
        <v>8515880.358848894</v>
      </c>
      <c r="BD21" s="2">
        <v>12918172.382872296</v>
      </c>
      <c r="BE21" s="2">
        <v>81447307.731237829</v>
      </c>
      <c r="BF21" s="2">
        <v>44910322.90257825</v>
      </c>
      <c r="BG21" s="2">
        <v>32909089.030380484</v>
      </c>
      <c r="BH21" s="2">
        <v>52652.236162486835</v>
      </c>
      <c r="BI21" s="2">
        <v>120542.97467364193</v>
      </c>
      <c r="BJ21" s="2">
        <v>252078.89507951</v>
      </c>
      <c r="BK21" s="2">
        <v>5158196.3744311919</v>
      </c>
      <c r="BL21" s="2">
        <v>2921483.2820746684</v>
      </c>
      <c r="BM21" s="2">
        <v>3114974.543578506</v>
      </c>
      <c r="BN21" s="2">
        <f>68*300+215</f>
        <v>20615</v>
      </c>
      <c r="BO21" s="2">
        <f>67*700+677</f>
        <v>47577</v>
      </c>
      <c r="BP21" s="2">
        <f>65*1500+396</f>
        <v>97896</v>
      </c>
      <c r="BQ21" s="2">
        <f>815497-BP21-BO21-BN21</f>
        <v>649409</v>
      </c>
      <c r="BR21" s="4">
        <v>0</v>
      </c>
      <c r="BS21" s="18">
        <v>0</v>
      </c>
      <c r="BT21" s="4"/>
      <c r="BU21" s="4"/>
      <c r="BV21" s="4"/>
      <c r="BW21" s="4"/>
      <c r="BX21" s="4"/>
      <c r="BY21" s="4"/>
      <c r="BZ21" s="19"/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19"/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19"/>
      <c r="CS21" s="2">
        <v>140632.41803273399</v>
      </c>
      <c r="CT21" s="2">
        <v>1122416.031967266</v>
      </c>
      <c r="CU21" s="11"/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11"/>
      <c r="DF21" s="4">
        <f t="shared" si="8"/>
        <v>443877286.81707424</v>
      </c>
      <c r="DJ21" s="4"/>
    </row>
    <row r="22" spans="1:120" x14ac:dyDescent="0.2">
      <c r="A22" s="28">
        <v>0.60434356307372206</v>
      </c>
      <c r="B22" s="28">
        <v>0.32449440852902556</v>
      </c>
      <c r="C22" s="28">
        <v>3.9562893944997693E-2</v>
      </c>
      <c r="D22" s="28">
        <v>3.1599134452254644E-2</v>
      </c>
      <c r="E22" t="s">
        <v>236</v>
      </c>
      <c r="F22" s="2">
        <v>12396406.259608502</v>
      </c>
      <c r="G22" s="2">
        <v>15631098.834539302</v>
      </c>
      <c r="H22" s="2">
        <v>14815977.845437849</v>
      </c>
      <c r="I22" s="2">
        <v>20897817.423414286</v>
      </c>
      <c r="J22" s="95">
        <v>363183.772</v>
      </c>
      <c r="K22" s="4">
        <v>291.8</v>
      </c>
      <c r="L22" s="4">
        <v>0</v>
      </c>
      <c r="M22" s="4">
        <v>0</v>
      </c>
      <c r="N22" s="18">
        <v>0</v>
      </c>
      <c r="O22" s="85">
        <v>1193951.1259533875</v>
      </c>
      <c r="P22" s="85">
        <v>640824.15321358701</v>
      </c>
      <c r="Q22" s="85">
        <v>78130.338596309957</v>
      </c>
      <c r="R22" s="85">
        <v>62403.197236716267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19"/>
      <c r="AB22" s="2">
        <v>0</v>
      </c>
      <c r="AC22" s="2">
        <v>16368.32</v>
      </c>
      <c r="AD22" s="90">
        <v>0</v>
      </c>
      <c r="AE22" s="89">
        <f>+'HLF-Demand_kVAR'!W7</f>
        <v>51787</v>
      </c>
      <c r="AF22" s="2">
        <v>862608.19999999925</v>
      </c>
      <c r="AG22" s="2">
        <v>25296758.899999999</v>
      </c>
      <c r="AH22" s="2">
        <v>139890215.01600051</v>
      </c>
      <c r="AI22" s="19"/>
      <c r="AJ22" s="2">
        <v>6891</v>
      </c>
      <c r="AK22" s="2">
        <v>13258</v>
      </c>
      <c r="AL22" s="2">
        <v>27548</v>
      </c>
      <c r="AM22" s="2">
        <v>52472.008000000016</v>
      </c>
      <c r="AN22" s="2">
        <v>0</v>
      </c>
      <c r="AO22" s="88">
        <v>0</v>
      </c>
      <c r="AP22" s="2">
        <v>652.26856878922456</v>
      </c>
      <c r="AQ22" s="2">
        <v>1521.9599938415238</v>
      </c>
      <c r="AR22" s="2">
        <v>3261.3428439461227</v>
      </c>
      <c r="AS22" s="2">
        <v>1568923.3307943481</v>
      </c>
      <c r="AT22" s="2">
        <v>254616.79131257292</v>
      </c>
      <c r="AU22" s="2">
        <v>119841.10648650218</v>
      </c>
      <c r="AV22" s="2">
        <v>3456.1060494902904</v>
      </c>
      <c r="AW22" s="2">
        <v>7901.6563709215616</v>
      </c>
      <c r="AX22" s="2">
        <v>15821.340179818129</v>
      </c>
      <c r="AY22" s="2">
        <v>1778869.8310838456</v>
      </c>
      <c r="AZ22" s="2">
        <v>1630418.9619853538</v>
      </c>
      <c r="BA22" s="2">
        <v>143068.44791454435</v>
      </c>
      <c r="BB22" s="2">
        <v>4195802.8484745035</v>
      </c>
      <c r="BC22" s="2">
        <v>8283993.2772167381</v>
      </c>
      <c r="BD22" s="2">
        <v>12566411.065468082</v>
      </c>
      <c r="BE22" s="2">
        <v>79229500.798691183</v>
      </c>
      <c r="BF22" s="2">
        <v>43687416.605848134</v>
      </c>
      <c r="BG22" s="2">
        <v>32012975.852076128</v>
      </c>
      <c r="BH22" s="2">
        <v>48558.672997383823</v>
      </c>
      <c r="BI22" s="2">
        <v>111171.09767656322</v>
      </c>
      <c r="BJ22" s="2">
        <v>232480.47049573992</v>
      </c>
      <c r="BK22" s="2">
        <v>4757161.1247301828</v>
      </c>
      <c r="BL22" s="2">
        <v>2694346.1797860148</v>
      </c>
      <c r="BM22" s="2">
        <v>2872794.0403141165</v>
      </c>
      <c r="BN22" s="2">
        <f>81*300-11916</f>
        <v>12384</v>
      </c>
      <c r="BO22" s="2">
        <f>79*700+826</f>
        <v>56126</v>
      </c>
      <c r="BP22" s="2">
        <f>78*1500+841</f>
        <v>117841</v>
      </c>
      <c r="BQ22" s="2">
        <f>983485-BP22-BO22-BN22</f>
        <v>797134</v>
      </c>
      <c r="BR22" s="4">
        <v>0</v>
      </c>
      <c r="BS22" s="18">
        <v>0</v>
      </c>
      <c r="BT22" s="4"/>
      <c r="BU22" s="4"/>
      <c r="BV22" s="4"/>
      <c r="BW22" s="4"/>
      <c r="BX22" s="4"/>
      <c r="BY22" s="4"/>
      <c r="BZ22" s="19"/>
      <c r="CA22" s="33">
        <v>0</v>
      </c>
      <c r="CB22" s="33">
        <v>0</v>
      </c>
      <c r="CC22" s="33">
        <v>0</v>
      </c>
      <c r="CD22" s="33">
        <v>0</v>
      </c>
      <c r="CE22" s="33">
        <v>0</v>
      </c>
      <c r="CF22" s="33">
        <v>0</v>
      </c>
      <c r="CG22" s="33">
        <v>0</v>
      </c>
      <c r="CH22" s="33">
        <v>0</v>
      </c>
      <c r="CI22" s="33">
        <v>0</v>
      </c>
      <c r="CJ22" s="33">
        <v>0</v>
      </c>
      <c r="CK22" s="19"/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19"/>
      <c r="CS22" s="2">
        <v>119049.98891142123</v>
      </c>
      <c r="CT22" s="2">
        <v>950162.26008857961</v>
      </c>
      <c r="CU22" s="11"/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11"/>
      <c r="DF22" s="4">
        <f t="shared" si="8"/>
        <v>430571653.62035912</v>
      </c>
      <c r="DJ22" s="4"/>
    </row>
    <row r="23" spans="1:120" x14ac:dyDescent="0.2">
      <c r="A23" s="3">
        <f t="shared" si="9"/>
        <v>79807967.269000024</v>
      </c>
      <c r="B23" s="3"/>
      <c r="C23" s="3"/>
      <c r="D23" s="3"/>
      <c r="E23" t="s">
        <v>237</v>
      </c>
      <c r="F23" s="2">
        <v>12849669.625117078</v>
      </c>
      <c r="G23" s="2">
        <v>17586968.336742781</v>
      </c>
      <c r="H23" s="2">
        <v>18745895.01342373</v>
      </c>
      <c r="I23" s="2">
        <v>30625434.293716423</v>
      </c>
      <c r="J23" s="95">
        <v>430714.4549999999</v>
      </c>
      <c r="K23" s="4">
        <v>291.8</v>
      </c>
      <c r="L23" s="4">
        <v>0</v>
      </c>
      <c r="M23" s="4">
        <v>0</v>
      </c>
      <c r="N23" s="18">
        <v>0</v>
      </c>
      <c r="O23" s="2">
        <v>1342098.6733816883</v>
      </c>
      <c r="P23" s="2">
        <v>720385.0843777461</v>
      </c>
      <c r="Q23" s="2">
        <v>87830.538658559512</v>
      </c>
      <c r="R23" s="2">
        <v>70150.808582006852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19"/>
      <c r="AB23" s="2">
        <v>0</v>
      </c>
      <c r="AC23" s="2">
        <v>23522.52</v>
      </c>
      <c r="AD23" s="90">
        <v>0</v>
      </c>
      <c r="AE23" s="89">
        <f>+'HLF-Demand_kVAR'!W8</f>
        <v>70131</v>
      </c>
      <c r="AF23" s="2">
        <v>837693.20000000112</v>
      </c>
      <c r="AG23" s="2">
        <v>29868683.189999998</v>
      </c>
      <c r="AH23" s="2">
        <v>168206025.47199994</v>
      </c>
      <c r="AI23" s="19"/>
      <c r="AJ23" s="2">
        <f>9000-2746</f>
        <v>6254</v>
      </c>
      <c r="AK23" s="2">
        <f>21*700+2074</f>
        <v>16774</v>
      </c>
      <c r="AL23" s="2">
        <f>1500*12+5070</f>
        <v>23070</v>
      </c>
      <c r="AM23" s="2">
        <f>127923-AL23-AK23-AJ23</f>
        <v>81825</v>
      </c>
      <c r="AN23" s="2">
        <v>0</v>
      </c>
      <c r="AO23" s="88">
        <v>0</v>
      </c>
      <c r="AP23" s="2">
        <v>805.29451654238505</v>
      </c>
      <c r="AQ23" s="2">
        <v>1879.0205385988982</v>
      </c>
      <c r="AR23" s="2">
        <v>4026.4725827119246</v>
      </c>
      <c r="AS23" s="2">
        <v>1937001.7437899499</v>
      </c>
      <c r="AT23" s="2">
        <v>314351.35107650614</v>
      </c>
      <c r="AU23" s="2">
        <v>147956.51749569102</v>
      </c>
      <c r="AV23" s="2">
        <v>3887.1406193234011</v>
      </c>
      <c r="AW23" s="2">
        <v>8887.1258576902146</v>
      </c>
      <c r="AX23" s="2">
        <v>17794.527478164189</v>
      </c>
      <c r="AY23" s="2">
        <v>2000724.8266918089</v>
      </c>
      <c r="AZ23" s="2">
        <v>1833759.6366821702</v>
      </c>
      <c r="BA23" s="2">
        <v>160911.49035030272</v>
      </c>
      <c r="BB23" s="2">
        <v>5057719.4133179169</v>
      </c>
      <c r="BC23" s="2">
        <v>9985720.2855008747</v>
      </c>
      <c r="BD23" s="2">
        <v>15147847.383882442</v>
      </c>
      <c r="BE23" s="2">
        <v>95505103.258776918</v>
      </c>
      <c r="BF23" s="2">
        <v>52661839.239048392</v>
      </c>
      <c r="BG23" s="2">
        <v>38589193.842601731</v>
      </c>
      <c r="BH23" s="2">
        <v>54398.635872207204</v>
      </c>
      <c r="BI23" s="2">
        <v>124541.21352012163</v>
      </c>
      <c r="BJ23" s="2">
        <v>260439.99313116574</v>
      </c>
      <c r="BK23" s="2">
        <v>5329286.4041725202</v>
      </c>
      <c r="BL23" s="2">
        <v>3018384.723069936</v>
      </c>
      <c r="BM23" s="2">
        <v>3218293.8142340546</v>
      </c>
      <c r="BN23" s="2">
        <f>125*300-14745</f>
        <v>22755</v>
      </c>
      <c r="BO23" s="2">
        <f>124*700+173</f>
        <v>86973</v>
      </c>
      <c r="BP23" s="2">
        <f>122*1500+2399</f>
        <v>185399</v>
      </c>
      <c r="BQ23" s="2">
        <f>1709802-BP23-BO23-BN23</f>
        <v>1414675</v>
      </c>
      <c r="BR23" s="4">
        <v>0</v>
      </c>
      <c r="BS23" s="18">
        <v>0</v>
      </c>
      <c r="BT23" s="4"/>
      <c r="BU23" s="4"/>
      <c r="BV23" s="4"/>
      <c r="BW23" s="4"/>
      <c r="BX23" s="4"/>
      <c r="BY23" s="4"/>
      <c r="BZ23" s="19"/>
      <c r="CA23" s="33">
        <v>0</v>
      </c>
      <c r="CB23" s="33">
        <v>0</v>
      </c>
      <c r="CC23" s="33">
        <v>0</v>
      </c>
      <c r="CD23" s="33">
        <v>0</v>
      </c>
      <c r="CE23" s="33">
        <v>0</v>
      </c>
      <c r="CF23" s="33">
        <v>0</v>
      </c>
      <c r="CG23" s="33">
        <v>0</v>
      </c>
      <c r="CH23" s="33">
        <v>0</v>
      </c>
      <c r="CI23" s="33">
        <v>0</v>
      </c>
      <c r="CJ23" s="33">
        <v>0</v>
      </c>
      <c r="CK23" s="19"/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19"/>
      <c r="CS23" s="2">
        <v>136594.79717701903</v>
      </c>
      <c r="CT23" s="2">
        <v>1090190.9558229803</v>
      </c>
      <c r="CU23" s="11"/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11"/>
      <c r="DF23" s="4">
        <f t="shared" si="8"/>
        <v>519914758.11880785</v>
      </c>
      <c r="DJ23" s="4"/>
    </row>
    <row r="24" spans="1:120" x14ac:dyDescent="0.2">
      <c r="A24" s="3">
        <f t="shared" si="9"/>
        <v>85270368.501000002</v>
      </c>
      <c r="B24" s="3"/>
      <c r="C24" s="3"/>
      <c r="D24" s="3"/>
      <c r="E24" t="s">
        <v>238</v>
      </c>
      <c r="F24" s="2">
        <v>12917775.137762912</v>
      </c>
      <c r="G24" s="2">
        <v>18522337.16401118</v>
      </c>
      <c r="H24" s="2">
        <v>20522435.496620715</v>
      </c>
      <c r="I24" s="2">
        <v>33307820.702605195</v>
      </c>
      <c r="J24" s="95">
        <v>440295.34299999999</v>
      </c>
      <c r="K24" s="4">
        <v>291.8</v>
      </c>
      <c r="L24" s="4">
        <v>0</v>
      </c>
      <c r="M24" s="4">
        <v>0</v>
      </c>
      <c r="N24" s="18">
        <v>0</v>
      </c>
      <c r="O24" s="2">
        <v>1253557.8454649756</v>
      </c>
      <c r="P24" s="2">
        <v>672819.54039793927</v>
      </c>
      <c r="Q24" s="2">
        <v>82031.269018013787</v>
      </c>
      <c r="R24" s="2">
        <v>65518.895119072396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19"/>
      <c r="AB24" s="2">
        <v>0</v>
      </c>
      <c r="AC24" s="2">
        <v>25211.944000000003</v>
      </c>
      <c r="AD24" s="90">
        <v>0</v>
      </c>
      <c r="AE24" s="89">
        <f>+'HLF-Demand_kVAR'!W9</f>
        <v>74376</v>
      </c>
      <c r="AF24" s="2">
        <v>615665.19999999925</v>
      </c>
      <c r="AG24" s="2">
        <v>30446364.220000003</v>
      </c>
      <c r="AH24" s="2">
        <v>173563367.42100018</v>
      </c>
      <c r="AI24" s="19"/>
      <c r="AJ24" s="2">
        <f>34*300+1571</f>
        <v>11771</v>
      </c>
      <c r="AK24" s="2">
        <v>31247</v>
      </c>
      <c r="AL24" s="2">
        <v>32563</v>
      </c>
      <c r="AM24" s="2">
        <v>132967.67000000001</v>
      </c>
      <c r="AN24" s="2">
        <v>0</v>
      </c>
      <c r="AO24" s="88">
        <v>0</v>
      </c>
      <c r="AP24" s="2">
        <v>782.0984490011848</v>
      </c>
      <c r="AQ24" s="2">
        <v>1824.8963810027644</v>
      </c>
      <c r="AR24" s="2">
        <v>3910.4922450059239</v>
      </c>
      <c r="AS24" s="2">
        <v>1881207.4693308498</v>
      </c>
      <c r="AT24" s="2">
        <v>305296.63255868253</v>
      </c>
      <c r="AU24" s="2">
        <v>143694.71103545767</v>
      </c>
      <c r="AV24" s="2">
        <v>4144.4592548734645</v>
      </c>
      <c r="AW24" s="2">
        <v>9475.4305586558767</v>
      </c>
      <c r="AX24" s="2">
        <v>18972.479083047554</v>
      </c>
      <c r="AY24" s="2">
        <v>2133167.6253794171</v>
      </c>
      <c r="AZ24" s="2">
        <v>1955149.7724781756</v>
      </c>
      <c r="BA24" s="2">
        <v>171563.41401250203</v>
      </c>
      <c r="BB24" s="2">
        <v>5380382.8760968242</v>
      </c>
      <c r="BC24" s="2">
        <v>10622771.656357292</v>
      </c>
      <c r="BD24" s="2">
        <v>16114223.034864545</v>
      </c>
      <c r="BE24" s="2">
        <v>101597969.39314368</v>
      </c>
      <c r="BF24" s="2">
        <v>56021466.378591612</v>
      </c>
      <c r="BG24" s="2">
        <v>41051039.171212427</v>
      </c>
      <c r="BH24" s="2">
        <v>54144.33107114306</v>
      </c>
      <c r="BI24" s="2">
        <v>123959.00354333244</v>
      </c>
      <c r="BJ24" s="2">
        <v>259222.47839792946</v>
      </c>
      <c r="BK24" s="2">
        <v>5304372.854464937</v>
      </c>
      <c r="BL24" s="2">
        <v>3004274.2639705837</v>
      </c>
      <c r="BM24" s="2">
        <v>3203248.8125520754</v>
      </c>
      <c r="BN24" s="2">
        <f>174*300</f>
        <v>52200</v>
      </c>
      <c r="BO24" s="2">
        <f>700*174</f>
        <v>121800</v>
      </c>
      <c r="BP24" s="2">
        <f>158*1500</f>
        <v>237000</v>
      </c>
      <c r="BQ24" s="2">
        <f>1935475-BP24-BO24-BN24</f>
        <v>1524475</v>
      </c>
      <c r="BR24" s="4">
        <v>0</v>
      </c>
      <c r="BS24" s="18">
        <v>0</v>
      </c>
      <c r="BT24" s="42">
        <v>0</v>
      </c>
      <c r="BU24" s="42">
        <v>0</v>
      </c>
      <c r="BV24" s="42">
        <v>0</v>
      </c>
      <c r="BW24" s="42">
        <v>0</v>
      </c>
      <c r="BX24" s="4"/>
      <c r="BY24" s="4"/>
      <c r="BZ24" s="19"/>
      <c r="CA24" s="33">
        <v>0</v>
      </c>
      <c r="CB24" s="33">
        <v>0</v>
      </c>
      <c r="CC24" s="33">
        <v>0</v>
      </c>
      <c r="CD24" s="33">
        <v>0</v>
      </c>
      <c r="CE24" s="33">
        <v>0</v>
      </c>
      <c r="CF24" s="33">
        <v>0</v>
      </c>
      <c r="CG24" s="33">
        <v>0</v>
      </c>
      <c r="CH24" s="33">
        <v>0</v>
      </c>
      <c r="CI24" s="33">
        <v>0</v>
      </c>
      <c r="CJ24" s="33">
        <v>0</v>
      </c>
      <c r="CK24" s="19"/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19"/>
      <c r="CS24" s="2">
        <v>135356.87430262752</v>
      </c>
      <c r="CT24" s="2">
        <v>1080310.8406973723</v>
      </c>
      <c r="CU24" s="11"/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11"/>
      <c r="DF24" s="4">
        <f t="shared" si="8"/>
        <v>545235823.09903336</v>
      </c>
      <c r="DJ24" s="4"/>
    </row>
    <row r="25" spans="1:120" x14ac:dyDescent="0.2">
      <c r="A25" s="3">
        <f t="shared" si="9"/>
        <v>95825075.814999953</v>
      </c>
      <c r="B25" s="3"/>
      <c r="C25" s="3"/>
      <c r="D25" s="3"/>
      <c r="E25" t="s">
        <v>239</v>
      </c>
      <c r="F25" s="2">
        <v>13129710.412693059</v>
      </c>
      <c r="G25" s="2">
        <v>19653360.203559406</v>
      </c>
      <c r="H25" s="2">
        <v>22889092.282536902</v>
      </c>
      <c r="I25" s="2">
        <v>40152912.916210584</v>
      </c>
      <c r="J25" s="95">
        <v>458088.8679999999</v>
      </c>
      <c r="K25" s="4">
        <v>291.8</v>
      </c>
      <c r="L25" s="4">
        <v>0</v>
      </c>
      <c r="M25" s="4">
        <v>0</v>
      </c>
      <c r="N25" s="18">
        <v>0</v>
      </c>
      <c r="O25" s="2">
        <v>1277783.6704912484</v>
      </c>
      <c r="P25" s="2">
        <v>686089.30700818112</v>
      </c>
      <c r="Q25" s="2">
        <v>83649.140868119663</v>
      </c>
      <c r="R25" s="2">
        <v>66811.099632450205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19"/>
      <c r="AB25" s="2">
        <v>0</v>
      </c>
      <c r="AC25" s="2">
        <v>36035.32</v>
      </c>
      <c r="AD25" s="90">
        <v>0</v>
      </c>
      <c r="AE25" s="89">
        <f>+'HLF-Demand_kVAR'!W10</f>
        <v>78803.555000000008</v>
      </c>
      <c r="AF25" s="2">
        <v>921011.39999999851</v>
      </c>
      <c r="AG25" s="2">
        <v>32989339.026999999</v>
      </c>
      <c r="AH25" s="2">
        <v>182856143.12100005</v>
      </c>
      <c r="AI25" s="19"/>
      <c r="AJ25" s="2">
        <v>4330.4860491206628</v>
      </c>
      <c r="AK25" s="2">
        <v>9036.1909847102906</v>
      </c>
      <c r="AL25" s="2">
        <v>18104.430263317718</v>
      </c>
      <c r="AM25" s="2">
        <v>4943155.2921235347</v>
      </c>
      <c r="AN25" s="2">
        <v>2008990.481671907</v>
      </c>
      <c r="AO25" s="2">
        <v>2038613.0409972451</v>
      </c>
      <c r="AP25" s="2">
        <v>827.91339430008293</v>
      </c>
      <c r="AQ25" s="2">
        <v>1931.7979200335267</v>
      </c>
      <c r="AR25" s="2">
        <v>4139.5669715004142</v>
      </c>
      <c r="AS25" s="2">
        <v>1991407.6844231328</v>
      </c>
      <c r="AT25" s="2">
        <v>323180.76023912581</v>
      </c>
      <c r="AU25" s="2">
        <v>152112.27705190747</v>
      </c>
      <c r="AV25" s="2">
        <v>4679.1585612389836</v>
      </c>
      <c r="AW25" s="2">
        <v>10697.907566065285</v>
      </c>
      <c r="AX25" s="2">
        <v>21420.222149603425</v>
      </c>
      <c r="AY25" s="2">
        <v>2408379.2222386505</v>
      </c>
      <c r="AZ25" s="2">
        <v>2207394.3146233247</v>
      </c>
      <c r="BA25" s="2">
        <v>193697.74634121641</v>
      </c>
      <c r="BB25" s="2">
        <v>5584721.8840839993</v>
      </c>
      <c r="BC25" s="2">
        <v>11026208.86005106</v>
      </c>
      <c r="BD25" s="2">
        <v>16726217.464490904</v>
      </c>
      <c r="BE25" s="2">
        <v>105456510.45934507</v>
      </c>
      <c r="BF25" s="2">
        <v>58149079.065161742</v>
      </c>
      <c r="BG25" s="2">
        <v>42610097.107099228</v>
      </c>
      <c r="BH25" s="2">
        <v>57443.557097288394</v>
      </c>
      <c r="BI25" s="2">
        <v>131512.31083468744</v>
      </c>
      <c r="BJ25" s="2">
        <v>275017.9186660641</v>
      </c>
      <c r="BK25" s="2">
        <v>5627589.05508315</v>
      </c>
      <c r="BL25" s="2">
        <v>3187336.4543289198</v>
      </c>
      <c r="BM25" s="2">
        <v>3398435.3009898909</v>
      </c>
      <c r="BN25" s="2">
        <f>103*300</f>
        <v>30900</v>
      </c>
      <c r="BO25" s="2">
        <f>102*700+666</f>
        <v>72066</v>
      </c>
      <c r="BP25" s="2">
        <f>1500*100+433</f>
        <v>150433</v>
      </c>
      <c r="BQ25" s="2">
        <f>1460949-BP25-BO25-BN25</f>
        <v>1207550</v>
      </c>
      <c r="BR25" s="4">
        <v>0</v>
      </c>
      <c r="BS25" s="18">
        <v>0</v>
      </c>
      <c r="BT25" s="4"/>
      <c r="BU25" s="4"/>
      <c r="BV25" s="4"/>
      <c r="BW25" s="4"/>
      <c r="BX25" s="4"/>
      <c r="BY25" s="4"/>
      <c r="BZ25" s="19"/>
      <c r="CA25" s="33">
        <v>0</v>
      </c>
      <c r="CB25" s="33">
        <v>0</v>
      </c>
      <c r="CC25" s="33">
        <v>0</v>
      </c>
      <c r="CD25" s="33">
        <v>0</v>
      </c>
      <c r="CE25" s="33">
        <v>0</v>
      </c>
      <c r="CF25" s="33">
        <v>0</v>
      </c>
      <c r="CG25" s="33">
        <v>0</v>
      </c>
      <c r="CH25" s="33">
        <v>0</v>
      </c>
      <c r="CI25" s="33">
        <v>0</v>
      </c>
      <c r="CJ25" s="33">
        <v>0</v>
      </c>
      <c r="CK25" s="19"/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19"/>
      <c r="CS25" s="2">
        <v>143238.97543068993</v>
      </c>
      <c r="CT25" s="2">
        <v>1143219.4985693097</v>
      </c>
      <c r="CU25" s="11"/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11"/>
      <c r="DF25" s="4">
        <f t="shared" si="8"/>
        <v>586598797.52880192</v>
      </c>
      <c r="DJ25" s="4"/>
    </row>
    <row r="26" spans="1:120" x14ac:dyDescent="0.2">
      <c r="A26" s="3">
        <f t="shared" si="9"/>
        <v>87833360.817000031</v>
      </c>
      <c r="B26" s="3"/>
      <c r="C26" s="3"/>
      <c r="D26" s="3"/>
      <c r="E26" t="s">
        <v>240</v>
      </c>
      <c r="F26" s="2">
        <v>13177206.354344178</v>
      </c>
      <c r="G26" s="2">
        <v>19117844.617650993</v>
      </c>
      <c r="H26" s="2">
        <v>21357206.644208126</v>
      </c>
      <c r="I26" s="2">
        <v>34181103.200796731</v>
      </c>
      <c r="J26" s="95">
        <v>459824.23699999996</v>
      </c>
      <c r="K26" s="4">
        <v>291.8</v>
      </c>
      <c r="L26" s="4">
        <v>0</v>
      </c>
      <c r="M26" s="4">
        <v>0</v>
      </c>
      <c r="N26" s="18">
        <v>0</v>
      </c>
      <c r="O26" s="2">
        <v>1319555.530130018</v>
      </c>
      <c r="P26" s="2">
        <v>708518.16323310707</v>
      </c>
      <c r="Q26" s="2">
        <v>86383.704043358404</v>
      </c>
      <c r="R26" s="2">
        <v>68995.21259351632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19"/>
      <c r="AB26" s="2">
        <v>0</v>
      </c>
      <c r="AC26" s="2">
        <v>6193.44</v>
      </c>
      <c r="AD26" s="90">
        <v>0</v>
      </c>
      <c r="AE26" s="89">
        <f>+'HLF-Demand_kVAR'!W11</f>
        <v>37208</v>
      </c>
      <c r="AF26" s="2">
        <v>889357</v>
      </c>
      <c r="AG26" s="2">
        <v>32376110.750000004</v>
      </c>
      <c r="AH26" s="2">
        <v>182905025.11800009</v>
      </c>
      <c r="AI26" s="19"/>
      <c r="AJ26" s="2">
        <f>1871</f>
        <v>1871</v>
      </c>
      <c r="AK26" s="2">
        <v>3500</v>
      </c>
      <c r="AL26" s="2">
        <v>4866</v>
      </c>
      <c r="AM26" s="2">
        <v>3449.1329999999998</v>
      </c>
      <c r="AN26" s="2">
        <v>0</v>
      </c>
      <c r="AO26" s="88">
        <v>0</v>
      </c>
      <c r="AP26" s="2">
        <v>900.47657598466139</v>
      </c>
      <c r="AQ26" s="2">
        <v>2101.1120106308763</v>
      </c>
      <c r="AR26" s="2">
        <v>4502.382879923307</v>
      </c>
      <c r="AS26" s="2">
        <v>2165946.3241017722</v>
      </c>
      <c r="AT26" s="2">
        <v>351506.21599771676</v>
      </c>
      <c r="AU26" s="2">
        <v>165444.28843397213</v>
      </c>
      <c r="AV26" s="2">
        <v>4609.135064193365</v>
      </c>
      <c r="AW26" s="2">
        <v>10537.813632713234</v>
      </c>
      <c r="AX26" s="2">
        <v>21099.669032460908</v>
      </c>
      <c r="AY26" s="2">
        <v>2372337.8842189997</v>
      </c>
      <c r="AZ26" s="2">
        <v>2174360.710985919</v>
      </c>
      <c r="BA26" s="2">
        <v>190799.06415484575</v>
      </c>
      <c r="BB26" s="2">
        <v>5520566.7900533732</v>
      </c>
      <c r="BC26" s="2">
        <v>10899544.098420961</v>
      </c>
      <c r="BD26" s="2">
        <v>16534073.240215514</v>
      </c>
      <c r="BE26" s="2">
        <v>104245067.43942635</v>
      </c>
      <c r="BF26" s="2">
        <v>57481085.257654242</v>
      </c>
      <c r="BG26" s="2">
        <v>42120609.028140321</v>
      </c>
      <c r="BH26" s="2">
        <v>55213.241732341667</v>
      </c>
      <c r="BI26" s="2">
        <v>126406.18679996782</v>
      </c>
      <c r="BJ26" s="2">
        <v>264340.01638021233</v>
      </c>
      <c r="BK26" s="2">
        <v>5409091.1247425787</v>
      </c>
      <c r="BL26" s="2">
        <v>3063584.2734654513</v>
      </c>
      <c r="BM26" s="2">
        <v>3266486.9528794484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18">
        <v>0</v>
      </c>
      <c r="BT26" s="4"/>
      <c r="BU26" s="4"/>
      <c r="BV26" s="4"/>
      <c r="BW26" s="4"/>
      <c r="BX26" s="4"/>
      <c r="BY26" s="4"/>
      <c r="BZ26" s="19"/>
      <c r="CA26" s="33">
        <v>0</v>
      </c>
      <c r="CB26" s="33">
        <v>0</v>
      </c>
      <c r="CC26" s="33">
        <v>0</v>
      </c>
      <c r="CD26" s="33">
        <v>0</v>
      </c>
      <c r="CE26" s="33">
        <v>0</v>
      </c>
      <c r="CF26" s="33">
        <v>0</v>
      </c>
      <c r="CG26" s="33">
        <v>0</v>
      </c>
      <c r="CH26" s="33">
        <v>0</v>
      </c>
      <c r="CI26" s="33">
        <v>0</v>
      </c>
      <c r="CJ26" s="33">
        <v>0</v>
      </c>
      <c r="CK26" s="19"/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19"/>
      <c r="CS26" s="2">
        <v>128975.75932784715</v>
      </c>
      <c r="CT26" s="2">
        <v>1029381.8596721526</v>
      </c>
      <c r="CU26" s="11"/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11"/>
      <c r="DF26" s="4">
        <f t="shared" si="8"/>
        <v>564313080.25100005</v>
      </c>
      <c r="DJ26" s="4"/>
    </row>
    <row r="27" spans="1:120" x14ac:dyDescent="0.2">
      <c r="A27" s="3">
        <f t="shared" si="9"/>
        <v>67040644.047999933</v>
      </c>
      <c r="B27" s="3"/>
      <c r="C27" s="3"/>
      <c r="D27" s="3"/>
      <c r="E27" t="s">
        <v>241</v>
      </c>
      <c r="F27" s="2">
        <v>12792666.56594507</v>
      </c>
      <c r="G27" s="2">
        <v>16358722.017686436</v>
      </c>
      <c r="H27" s="2">
        <v>15864208.764635155</v>
      </c>
      <c r="I27" s="2">
        <v>22025046.699733272</v>
      </c>
      <c r="J27" s="95">
        <v>362814.30800000002</v>
      </c>
      <c r="K27" s="4">
        <v>291</v>
      </c>
      <c r="L27" s="4">
        <v>0</v>
      </c>
      <c r="M27" s="4">
        <v>0</v>
      </c>
      <c r="N27" s="18">
        <v>0</v>
      </c>
      <c r="O27" s="2">
        <v>1226099.4136610553</v>
      </c>
      <c r="P27" s="2">
        <v>658338.11815613741</v>
      </c>
      <c r="Q27" s="2">
        <v>80265.67011317506</v>
      </c>
      <c r="R27" s="2">
        <v>64108.700069632483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19"/>
      <c r="AB27" s="2">
        <v>0</v>
      </c>
      <c r="AC27" s="2">
        <v>14774.679999999998</v>
      </c>
      <c r="AD27" s="90">
        <v>0</v>
      </c>
      <c r="AE27" s="89">
        <v>39618</v>
      </c>
      <c r="AF27" s="2">
        <v>755171.19999999925</v>
      </c>
      <c r="AG27" s="2">
        <v>27502912.18</v>
      </c>
      <c r="AH27" s="2">
        <v>148967311.24899951</v>
      </c>
      <c r="AI27" s="19"/>
      <c r="AJ27" s="2">
        <f>2270</f>
        <v>2270</v>
      </c>
      <c r="AK27" s="2">
        <f>3266</f>
        <v>3266</v>
      </c>
      <c r="AL27" s="2">
        <f>2652</f>
        <v>2652</v>
      </c>
      <c r="AM27" s="2">
        <v>2115.5450000000001</v>
      </c>
      <c r="AN27" s="2">
        <v>0</v>
      </c>
      <c r="AO27" s="88">
        <v>0</v>
      </c>
      <c r="AP27" s="2">
        <v>775.10285527317501</v>
      </c>
      <c r="AQ27" s="2">
        <v>1808.5733289707414</v>
      </c>
      <c r="AR27" s="2">
        <v>3875.5142763658746</v>
      </c>
      <c r="AS27" s="2">
        <v>1864380.7345504102</v>
      </c>
      <c r="AT27" s="2">
        <v>302565.86226929299</v>
      </c>
      <c r="AU27" s="2">
        <v>142409.41271968733</v>
      </c>
      <c r="AV27" s="2">
        <v>4220.8858958843966</v>
      </c>
      <c r="AW27" s="2">
        <v>9650.1639280040854</v>
      </c>
      <c r="AX27" s="2">
        <v>19322.344471701679</v>
      </c>
      <c r="AY27" s="2">
        <v>2172504.6839183099</v>
      </c>
      <c r="AZ27" s="2">
        <v>1991204.0610100476</v>
      </c>
      <c r="BA27" s="2">
        <v>174727.15978655568</v>
      </c>
      <c r="BB27" s="2">
        <v>4497818.9920288306</v>
      </c>
      <c r="BC27" s="2">
        <v>8880279.5645299274</v>
      </c>
      <c r="BD27" s="2">
        <v>13470948.086241342</v>
      </c>
      <c r="BE27" s="2">
        <v>84932482.838387117</v>
      </c>
      <c r="BF27" s="2">
        <v>46832060.327596553</v>
      </c>
      <c r="BG27" s="2">
        <v>34317287.055367537</v>
      </c>
      <c r="BH27" s="2">
        <v>47944.353473796611</v>
      </c>
      <c r="BI27" s="2">
        <v>109764.66353111174</v>
      </c>
      <c r="BJ27" s="2">
        <v>229539.34210275504</v>
      </c>
      <c r="BK27" s="2">
        <v>4696977.9118172331</v>
      </c>
      <c r="BL27" s="2">
        <v>2660259.7981084445</v>
      </c>
      <c r="BM27" s="2">
        <v>2836450.1009666594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18">
        <v>0</v>
      </c>
      <c r="BT27" s="4"/>
      <c r="BU27" s="4"/>
      <c r="BV27" s="4"/>
      <c r="BW27" s="4"/>
      <c r="BX27" s="4"/>
      <c r="BY27" s="4"/>
      <c r="BZ27" s="19"/>
      <c r="CA27" s="33">
        <v>0</v>
      </c>
      <c r="CB27" s="33">
        <v>0</v>
      </c>
      <c r="CC27" s="33">
        <v>0</v>
      </c>
      <c r="CD27" s="33">
        <v>0</v>
      </c>
      <c r="CE27" s="33">
        <v>0</v>
      </c>
      <c r="CF27" s="33">
        <v>0</v>
      </c>
      <c r="CG27" s="33">
        <v>0</v>
      </c>
      <c r="CH27" s="33">
        <v>0</v>
      </c>
      <c r="CI27" s="33">
        <v>0</v>
      </c>
      <c r="CJ27" s="33">
        <v>0</v>
      </c>
      <c r="CK27" s="19"/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19"/>
      <c r="CS27" s="2">
        <v>107039.56127274936</v>
      </c>
      <c r="CT27" s="2">
        <v>854304.58572725079</v>
      </c>
      <c r="CU27" s="11"/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11"/>
      <c r="DF27" s="4">
        <f t="shared" si="8"/>
        <v>457883253.79216123</v>
      </c>
      <c r="DJ27" s="4"/>
    </row>
    <row r="28" spans="1:120" x14ac:dyDescent="0.2">
      <c r="A28" s="3">
        <f t="shared" si="9"/>
        <v>65200961.73300004</v>
      </c>
      <c r="B28" s="3"/>
      <c r="C28" s="3"/>
      <c r="D28" s="3"/>
      <c r="E28" t="s">
        <v>242</v>
      </c>
      <c r="F28" s="2">
        <v>10935252.765227299</v>
      </c>
      <c r="G28" s="2">
        <v>15352605.827202482</v>
      </c>
      <c r="H28" s="2">
        <v>16047915.720190171</v>
      </c>
      <c r="I28" s="2">
        <v>22865187.420380082</v>
      </c>
      <c r="J28" s="95">
        <v>352540.80599999998</v>
      </c>
      <c r="K28" s="4">
        <v>291.8</v>
      </c>
      <c r="L28" s="4">
        <v>0</v>
      </c>
      <c r="M28" s="4">
        <v>0</v>
      </c>
      <c r="N28" s="18">
        <v>0</v>
      </c>
      <c r="O28" s="2">
        <v>1230326.3774703227</v>
      </c>
      <c r="P28" s="2">
        <v>660607.73134467821</v>
      </c>
      <c r="Q28" s="2">
        <v>80542.385099671897</v>
      </c>
      <c r="R28" s="2">
        <v>64329.714085326676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19"/>
      <c r="AB28" s="2">
        <v>0</v>
      </c>
      <c r="AC28" s="2">
        <v>12350.04</v>
      </c>
      <c r="AD28" s="90">
        <v>0</v>
      </c>
      <c r="AE28" s="89">
        <f>+'HLF-Demand_kVAR'!W13</f>
        <v>36184</v>
      </c>
      <c r="AF28" s="2">
        <v>839264.19999999925</v>
      </c>
      <c r="AG28" s="2">
        <v>24452623.590000004</v>
      </c>
      <c r="AH28" s="2">
        <v>143817931.79700002</v>
      </c>
      <c r="AI28" s="19"/>
      <c r="AJ28" s="2">
        <f>2114</f>
        <v>2114</v>
      </c>
      <c r="AK28" s="2">
        <f>5500</f>
        <v>5500</v>
      </c>
      <c r="AL28" s="2">
        <f>6316</f>
        <v>6316</v>
      </c>
      <c r="AM28" s="2">
        <v>5095.3259999999973</v>
      </c>
      <c r="AN28" s="2">
        <v>0</v>
      </c>
      <c r="AO28" s="88">
        <v>0</v>
      </c>
      <c r="AP28" s="2">
        <v>696.35830403357875</v>
      </c>
      <c r="AQ28" s="2">
        <v>1624.8360427450168</v>
      </c>
      <c r="AR28" s="2">
        <v>3481.7915201678934</v>
      </c>
      <c r="AS28" s="2">
        <v>1674973.8406354347</v>
      </c>
      <c r="AT28" s="2">
        <v>271827.47331519739</v>
      </c>
      <c r="AU28" s="2">
        <v>127941.70018242153</v>
      </c>
      <c r="AV28" s="2">
        <v>3441.6824980419528</v>
      </c>
      <c r="AW28" s="2">
        <v>7868.6799675470529</v>
      </c>
      <c r="AX28" s="2">
        <v>15755.312138202071</v>
      </c>
      <c r="AY28" s="2">
        <v>1771445.9788752834</v>
      </c>
      <c r="AZ28" s="2">
        <v>1623614.6476952848</v>
      </c>
      <c r="BA28" s="2">
        <v>142471.37274104566</v>
      </c>
      <c r="BB28" s="2">
        <v>4426695.5726458896</v>
      </c>
      <c r="BC28" s="2">
        <v>8739856.8732599691</v>
      </c>
      <c r="BD28" s="2">
        <v>13257933.758203346</v>
      </c>
      <c r="BE28" s="2">
        <v>83589456.672404349</v>
      </c>
      <c r="BF28" s="2">
        <v>46091511.125160918</v>
      </c>
      <c r="BG28" s="2">
        <v>33774632.314558879</v>
      </c>
      <c r="BH28" s="2">
        <v>52931.408591404957</v>
      </c>
      <c r="BI28" s="2">
        <v>121182.11704405911</v>
      </c>
      <c r="BJ28" s="2">
        <v>253415.46656340989</v>
      </c>
      <c r="BK28" s="2">
        <v>5185546.1380051961</v>
      </c>
      <c r="BL28" s="2">
        <v>2936973.5564361131</v>
      </c>
      <c r="BM28" s="2">
        <v>3131490.746359814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18">
        <v>0</v>
      </c>
      <c r="BT28" s="4"/>
      <c r="BU28" s="4"/>
      <c r="BV28" s="4"/>
      <c r="BW28" s="4"/>
      <c r="BX28" s="4"/>
      <c r="BY28" s="4"/>
      <c r="BZ28" s="19"/>
      <c r="CA28" s="33">
        <v>0</v>
      </c>
      <c r="CB28" s="33">
        <v>0</v>
      </c>
      <c r="CC28" s="33">
        <v>0</v>
      </c>
      <c r="CD28" s="33">
        <v>0</v>
      </c>
      <c r="CE28" s="33">
        <v>0</v>
      </c>
      <c r="CF28" s="33">
        <v>0</v>
      </c>
      <c r="CG28" s="33">
        <v>0</v>
      </c>
      <c r="CH28" s="33">
        <v>0</v>
      </c>
      <c r="CI28" s="33">
        <v>0</v>
      </c>
      <c r="CJ28" s="33">
        <v>0</v>
      </c>
      <c r="CK28" s="19"/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19"/>
      <c r="CS28" s="2">
        <v>118515.43842750243</v>
      </c>
      <c r="CT28" s="2">
        <v>945895.90357249754</v>
      </c>
      <c r="CU28" s="11"/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11"/>
      <c r="DF28" s="4">
        <f t="shared" si="8"/>
        <v>445038160.26514882</v>
      </c>
      <c r="DJ28" s="4"/>
    </row>
    <row r="29" spans="1:120" x14ac:dyDescent="0.2">
      <c r="A29" s="3">
        <f t="shared" si="9"/>
        <v>78384850.182999998</v>
      </c>
      <c r="B29" s="3"/>
      <c r="C29" s="3"/>
      <c r="D29" s="3"/>
      <c r="E29" t="s">
        <v>243</v>
      </c>
      <c r="F29" s="2">
        <v>13146403.472170662</v>
      </c>
      <c r="G29" s="2">
        <v>17603714.559461299</v>
      </c>
      <c r="H29" s="2">
        <v>19248554.40317028</v>
      </c>
      <c r="I29" s="2">
        <v>28386177.748197749</v>
      </c>
      <c r="J29" s="95">
        <v>419000.75799999991</v>
      </c>
      <c r="K29" s="4">
        <v>291.8</v>
      </c>
      <c r="L29" s="4">
        <v>0</v>
      </c>
      <c r="M29" s="4">
        <v>0</v>
      </c>
      <c r="N29" s="18">
        <v>0</v>
      </c>
      <c r="O29" s="2">
        <v>1266790.4513717215</v>
      </c>
      <c r="P29" s="2">
        <v>680186.64111747849</v>
      </c>
      <c r="Q29" s="2">
        <v>82929.478098935986</v>
      </c>
      <c r="R29" s="2">
        <v>66236.300411864067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19"/>
      <c r="AB29" s="2">
        <v>0</v>
      </c>
      <c r="AC29" s="2">
        <v>14949.720000000001</v>
      </c>
      <c r="AD29" s="90">
        <v>0</v>
      </c>
      <c r="AE29" s="89">
        <f>+'HLF-Demand_kVAR'!W14</f>
        <v>43061</v>
      </c>
      <c r="AF29" s="2">
        <v>708419</v>
      </c>
      <c r="AG29" s="2">
        <v>24483773.129999999</v>
      </c>
      <c r="AH29" s="2">
        <v>147701944.34599993</v>
      </c>
      <c r="AI29" s="19"/>
      <c r="AJ29" s="2">
        <f>1628</f>
        <v>1628</v>
      </c>
      <c r="AK29" s="2">
        <v>2811</v>
      </c>
      <c r="AL29" s="2">
        <v>6000</v>
      </c>
      <c r="AM29" s="2">
        <f>25233-AJ29-AK29-AL29</f>
        <v>14794</v>
      </c>
      <c r="AN29" s="2">
        <v>0</v>
      </c>
      <c r="AO29" s="88">
        <v>0</v>
      </c>
      <c r="AP29" s="2">
        <v>699.24515664051489</v>
      </c>
      <c r="AQ29" s="2">
        <v>1631.5720321612012</v>
      </c>
      <c r="AR29" s="2">
        <v>3496.2257832025739</v>
      </c>
      <c r="AS29" s="2">
        <v>1681917.6834393183</v>
      </c>
      <c r="AT29" s="2">
        <v>272954.37285158748</v>
      </c>
      <c r="AU29" s="2">
        <v>128472.10073709008</v>
      </c>
      <c r="AV29" s="2">
        <v>3349.4064241021583</v>
      </c>
      <c r="AW29" s="2">
        <v>7657.7102180402226</v>
      </c>
      <c r="AX29" s="2">
        <v>15332.891316805444</v>
      </c>
      <c r="AY29" s="2">
        <v>1723951.1619594162</v>
      </c>
      <c r="AZ29" s="2">
        <v>1580083.3848999224</v>
      </c>
      <c r="BA29" s="2">
        <v>138651.52621748165</v>
      </c>
      <c r="BB29" s="2">
        <v>4673298.6413224181</v>
      </c>
      <c r="BC29" s="2">
        <v>9226738.2251328565</v>
      </c>
      <c r="BD29" s="2">
        <v>13996508.863590341</v>
      </c>
      <c r="BE29" s="2">
        <v>88246071.564062178</v>
      </c>
      <c r="BF29" s="2">
        <v>48659184.437425591</v>
      </c>
      <c r="BG29" s="2">
        <v>35656154.961758532</v>
      </c>
      <c r="BH29" s="2">
        <v>62573.023128240289</v>
      </c>
      <c r="BI29" s="2">
        <v>143255.80244917801</v>
      </c>
      <c r="BJ29" s="2">
        <v>299575.85245333746</v>
      </c>
      <c r="BK29" s="2">
        <v>6130108.8911252739</v>
      </c>
      <c r="BL29" s="2">
        <v>3471952.0822226638</v>
      </c>
      <c r="BM29" s="2">
        <v>3701901.1606213152</v>
      </c>
      <c r="BN29" s="4">
        <v>900</v>
      </c>
      <c r="BO29" s="4">
        <v>2100</v>
      </c>
      <c r="BP29" s="4">
        <v>4500</v>
      </c>
      <c r="BQ29" s="2">
        <f>18410-BN29-BO29-BP29</f>
        <v>10910</v>
      </c>
      <c r="BR29" s="4">
        <v>0</v>
      </c>
      <c r="BS29" s="18">
        <v>0</v>
      </c>
      <c r="BT29" s="4"/>
      <c r="BU29" s="4"/>
      <c r="BV29" s="4"/>
      <c r="BW29" s="4"/>
      <c r="BX29" s="4"/>
      <c r="BY29" s="4"/>
      <c r="BZ29" s="19"/>
      <c r="CA29" s="33">
        <v>0</v>
      </c>
      <c r="CB29" s="33">
        <v>0</v>
      </c>
      <c r="CC29" s="33">
        <v>0</v>
      </c>
      <c r="CD29" s="33">
        <v>0</v>
      </c>
      <c r="CE29" s="33">
        <v>0</v>
      </c>
      <c r="CF29" s="33">
        <v>0</v>
      </c>
      <c r="CG29" s="33">
        <v>0</v>
      </c>
      <c r="CH29" s="33">
        <v>0</v>
      </c>
      <c r="CI29" s="33">
        <v>0</v>
      </c>
      <c r="CJ29" s="33">
        <v>0</v>
      </c>
      <c r="CK29" s="19"/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19"/>
      <c r="CS29" s="2">
        <v>144957.8200111193</v>
      </c>
      <c r="CT29" s="2">
        <v>1156937.9479888803</v>
      </c>
      <c r="CU29" s="11"/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11"/>
      <c r="DF29" s="4">
        <f t="shared" si="8"/>
        <v>475023492.36232758</v>
      </c>
      <c r="DG29" s="2">
        <f>SUM(DF18:DF29)</f>
        <v>5886883003.717247</v>
      </c>
      <c r="DH29" s="2">
        <f>+'DEI Sales by Revenue'!D15</f>
        <v>5860812710.4110012</v>
      </c>
      <c r="DI29" s="3">
        <f>+DH29-DG29</f>
        <v>-26070293.306245804</v>
      </c>
    </row>
    <row r="30" spans="1:120" x14ac:dyDescent="0.2">
      <c r="E30" s="11"/>
      <c r="F30" s="11"/>
      <c r="G30" s="11"/>
      <c r="H30" s="11"/>
      <c r="I30" s="14"/>
      <c r="J30" s="16"/>
      <c r="K30" s="11"/>
      <c r="L30" s="11"/>
      <c r="M30" s="11"/>
      <c r="N30" s="14"/>
      <c r="O30" s="11"/>
      <c r="P30" s="11"/>
      <c r="Q30" s="11"/>
      <c r="R30" s="14"/>
      <c r="S30" s="11"/>
      <c r="T30" s="11"/>
      <c r="U30" s="11"/>
      <c r="V30" s="14"/>
      <c r="W30" s="11"/>
      <c r="X30" s="11"/>
      <c r="Y30" s="11"/>
      <c r="Z30" s="11"/>
      <c r="AA30" s="11"/>
      <c r="AB30" s="92"/>
      <c r="AC30" s="92"/>
      <c r="AD30" s="93"/>
      <c r="AE30" s="94"/>
      <c r="AF30" s="92"/>
      <c r="AG30" s="92"/>
      <c r="AH30" s="92"/>
      <c r="AI30" s="11"/>
      <c r="AJ30" s="92"/>
      <c r="AK30" s="92"/>
      <c r="AL30" s="92"/>
      <c r="AM30" s="92"/>
      <c r="AN30" s="92"/>
      <c r="AO30" s="94"/>
      <c r="AP30" s="92"/>
      <c r="AQ30" s="92"/>
      <c r="AR30" s="92"/>
      <c r="AS30" s="92"/>
      <c r="AT30" s="92"/>
      <c r="AU30" s="94"/>
      <c r="AV30" s="92"/>
      <c r="AW30" s="92"/>
      <c r="AX30" s="92"/>
      <c r="AY30" s="92"/>
      <c r="AZ30" s="92"/>
      <c r="BA30" s="94"/>
      <c r="BB30" s="92"/>
      <c r="BC30" s="92"/>
      <c r="BD30" s="92"/>
      <c r="BE30" s="92"/>
      <c r="BF30" s="92"/>
      <c r="BG30" s="94"/>
      <c r="BH30" s="92"/>
      <c r="BI30" s="92"/>
      <c r="BJ30" s="92"/>
      <c r="BK30" s="92"/>
      <c r="BL30" s="92"/>
      <c r="BM30" s="94"/>
      <c r="BN30" s="11"/>
      <c r="BO30" s="11"/>
      <c r="BP30" s="11"/>
      <c r="BQ30" s="11"/>
      <c r="BR30" s="11"/>
      <c r="BS30" s="14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4"/>
      <c r="CO30" s="27"/>
      <c r="CP30" s="11"/>
      <c r="CQ30" s="14">
        <v>4</v>
      </c>
      <c r="CR30" s="11"/>
      <c r="CS30" s="92"/>
      <c r="CT30" s="92"/>
      <c r="CU30" s="11"/>
      <c r="CV30" s="11"/>
      <c r="CW30" s="11"/>
      <c r="CX30" s="11"/>
      <c r="CY30" s="11"/>
      <c r="CZ30" s="11"/>
      <c r="DA30" s="11"/>
      <c r="DB30" s="92"/>
      <c r="DC30" s="11"/>
      <c r="DD30" s="92"/>
      <c r="DE30" s="11"/>
      <c r="DI30" s="103">
        <f>+DI29/DG29</f>
        <v>-4.4285393967883899E-3</v>
      </c>
      <c r="DJ30" s="4"/>
    </row>
    <row r="31" spans="1:120" x14ac:dyDescent="0.2">
      <c r="E31" t="s">
        <v>47</v>
      </c>
      <c r="F31" s="344" t="str">
        <f>F16</f>
        <v>CSN0</v>
      </c>
      <c r="G31" s="344"/>
      <c r="H31" s="344"/>
      <c r="I31" s="345"/>
      <c r="J31" s="15" t="str">
        <f>J16</f>
        <v>CSN2</v>
      </c>
      <c r="K31" s="343" t="str">
        <f>K16</f>
        <v>CSN7</v>
      </c>
      <c r="L31" s="344"/>
      <c r="M31" s="344"/>
      <c r="N31" s="345"/>
      <c r="O31" s="343" t="str">
        <f>O16</f>
        <v>CSN8</v>
      </c>
      <c r="P31" s="344"/>
      <c r="Q31" s="344"/>
      <c r="R31" s="345"/>
      <c r="S31" s="343" t="str">
        <f>S16</f>
        <v>CSN9</v>
      </c>
      <c r="T31" s="344"/>
      <c r="U31" s="344"/>
      <c r="V31" s="345"/>
      <c r="W31" s="343" t="str">
        <f>W16</f>
        <v>SFOC</v>
      </c>
      <c r="X31" s="344"/>
      <c r="Y31" s="344"/>
      <c r="Z31" s="344"/>
      <c r="AA31" s="11"/>
      <c r="AB31" s="2" t="str">
        <f>AB16</f>
        <v>HBN0</v>
      </c>
      <c r="AC31" s="2" t="str">
        <f>AC16</f>
        <v>HCN0</v>
      </c>
      <c r="AD31" s="87" t="str">
        <f>AD16</f>
        <v>HCN3</v>
      </c>
      <c r="AE31" s="88" t="s">
        <v>60</v>
      </c>
      <c r="AF31" s="2" t="str">
        <f>AF16</f>
        <v>HDN0</v>
      </c>
      <c r="AG31" s="2" t="str">
        <f>AG16</f>
        <v>HPN0</v>
      </c>
      <c r="AH31" s="2" t="str">
        <f>AH16</f>
        <v>HSN0</v>
      </c>
      <c r="AI31" s="11"/>
      <c r="AJ31" s="346" t="str">
        <f>AJ16</f>
        <v>LBN0</v>
      </c>
      <c r="AK31" s="347"/>
      <c r="AL31" s="347"/>
      <c r="AM31" s="347"/>
      <c r="AN31" s="347"/>
      <c r="AO31" s="348"/>
      <c r="AP31" s="346" t="str">
        <f>AP16</f>
        <v>LDN0</v>
      </c>
      <c r="AQ31" s="347"/>
      <c r="AR31" s="347"/>
      <c r="AS31" s="347"/>
      <c r="AT31" s="347"/>
      <c r="AU31" s="348"/>
      <c r="AV31" s="346" t="str">
        <f>AV16</f>
        <v>LPN0</v>
      </c>
      <c r="AW31" s="347"/>
      <c r="AX31" s="347"/>
      <c r="AY31" s="347"/>
      <c r="AZ31" s="347"/>
      <c r="BA31" s="348"/>
      <c r="BB31" s="346" t="str">
        <f>BB16</f>
        <v>LSN0</v>
      </c>
      <c r="BC31" s="347"/>
      <c r="BD31" s="347"/>
      <c r="BE31" s="347"/>
      <c r="BF31" s="347"/>
      <c r="BG31" s="348"/>
      <c r="BH31" s="346" t="str">
        <f>BH16</f>
        <v>LSN2</v>
      </c>
      <c r="BI31" s="347"/>
      <c r="BJ31" s="347"/>
      <c r="BK31" s="347"/>
      <c r="BL31" s="347"/>
      <c r="BM31" s="348"/>
      <c r="BN31" s="353" t="str">
        <f>BN16</f>
        <v>LSN3 Current</v>
      </c>
      <c r="BO31" s="354"/>
      <c r="BP31" s="354"/>
      <c r="BQ31" s="354"/>
      <c r="BR31" s="354"/>
      <c r="BS31" s="354"/>
      <c r="BT31" s="349" t="s">
        <v>254</v>
      </c>
      <c r="BU31" s="344"/>
      <c r="BV31" s="344"/>
      <c r="BW31" s="344"/>
      <c r="BX31" s="344"/>
      <c r="BY31" s="344"/>
      <c r="BZ31" s="11"/>
      <c r="CA31" t="str">
        <f>CA16</f>
        <v>NUCF</v>
      </c>
      <c r="CB31" t="str">
        <f t="shared" ref="CB31:CJ31" si="10">CB16</f>
        <v>NUIF</v>
      </c>
      <c r="CC31" t="s">
        <v>184</v>
      </c>
      <c r="CD31" t="str">
        <f t="shared" si="10"/>
        <v>NUCS</v>
      </c>
      <c r="CE31" t="str">
        <f t="shared" si="10"/>
        <v>SAES</v>
      </c>
      <c r="CF31" t="str">
        <f t="shared" si="10"/>
        <v>SASN</v>
      </c>
      <c r="CG31" t="str">
        <f>CG16</f>
        <v>SPUF</v>
      </c>
      <c r="CH31" t="str">
        <f t="shared" si="10"/>
        <v>SPUR</v>
      </c>
      <c r="CI31" t="str">
        <f t="shared" si="10"/>
        <v>SDEH</v>
      </c>
      <c r="CJ31" t="str">
        <f t="shared" si="10"/>
        <v>SDED</v>
      </c>
      <c r="CK31" s="11"/>
      <c r="CL31" s="344" t="str">
        <f t="shared" ref="CL31:CQ32" si="11">CL16</f>
        <v>RSN0</v>
      </c>
      <c r="CM31" s="344"/>
      <c r="CN31" s="345"/>
      <c r="CO31" s="343" t="str">
        <f>CO16</f>
        <v>RSN2</v>
      </c>
      <c r="CP31" s="344"/>
      <c r="CQ31" s="345"/>
      <c r="CR31" s="11"/>
      <c r="CS31" s="2" t="str">
        <f>CS16</f>
        <v xml:space="preserve">SWP </v>
      </c>
      <c r="CU31" s="11"/>
      <c r="CV31" t="str">
        <f t="shared" ref="CV31:DD31" si="12">CV16</f>
        <v>MHLS</v>
      </c>
      <c r="CW31" t="str">
        <f t="shared" si="12"/>
        <v>FS</v>
      </c>
      <c r="CX31" t="str">
        <f t="shared" si="12"/>
        <v>MOLS</v>
      </c>
      <c r="CY31" t="str">
        <f t="shared" si="12"/>
        <v>MS</v>
      </c>
      <c r="CZ31" t="str">
        <f t="shared" si="12"/>
        <v>SL</v>
      </c>
      <c r="DA31" t="str">
        <f t="shared" si="12"/>
        <v>TS</v>
      </c>
      <c r="DB31" s="2" t="str">
        <f t="shared" si="12"/>
        <v>UOLS</v>
      </c>
      <c r="DC31" t="str">
        <f t="shared" si="12"/>
        <v>WHTL</v>
      </c>
      <c r="DD31" s="2" t="str">
        <f t="shared" si="12"/>
        <v>XLED</v>
      </c>
      <c r="DE31" s="11"/>
      <c r="DJ31" s="4"/>
    </row>
    <row r="32" spans="1:120" x14ac:dyDescent="0.2">
      <c r="F32" t="str">
        <f t="shared" ref="F32:Z32" si="13">F17</f>
        <v>First 300</v>
      </c>
      <c r="G32" t="str">
        <f t="shared" si="13"/>
        <v>Next 700</v>
      </c>
      <c r="H32" t="str">
        <f t="shared" si="13"/>
        <v>Next 1500</v>
      </c>
      <c r="I32" s="13" t="str">
        <f t="shared" si="13"/>
        <v>Over 2500</v>
      </c>
      <c r="J32" s="15"/>
      <c r="K32" t="str">
        <f t="shared" si="13"/>
        <v>First 300</v>
      </c>
      <c r="L32" t="str">
        <f t="shared" si="13"/>
        <v>Next 700</v>
      </c>
      <c r="M32" t="str">
        <f t="shared" si="13"/>
        <v>Next 1500</v>
      </c>
      <c r="N32" s="13" t="str">
        <f t="shared" si="13"/>
        <v>Over 2500</v>
      </c>
      <c r="O32" t="str">
        <f t="shared" si="13"/>
        <v>First 300</v>
      </c>
      <c r="P32" t="str">
        <f t="shared" si="13"/>
        <v>Next 700</v>
      </c>
      <c r="Q32" t="str">
        <f t="shared" si="13"/>
        <v>Next 1500</v>
      </c>
      <c r="R32" s="13" t="str">
        <f t="shared" si="13"/>
        <v>Over 2500</v>
      </c>
      <c r="S32" t="str">
        <f t="shared" si="13"/>
        <v>First 300</v>
      </c>
      <c r="T32" t="str">
        <f t="shared" si="13"/>
        <v>Next 700</v>
      </c>
      <c r="U32" t="str">
        <f t="shared" si="13"/>
        <v>Next 1500</v>
      </c>
      <c r="V32" s="13" t="str">
        <f t="shared" si="13"/>
        <v>Over 2500</v>
      </c>
      <c r="W32" t="str">
        <f t="shared" si="13"/>
        <v>First 300</v>
      </c>
      <c r="X32" t="str">
        <f t="shared" si="13"/>
        <v>Next 700</v>
      </c>
      <c r="Y32" t="str">
        <f t="shared" si="13"/>
        <v>Next 1500</v>
      </c>
      <c r="Z32" t="str">
        <f t="shared" si="13"/>
        <v>Over 2500</v>
      </c>
      <c r="AA32" s="11"/>
      <c r="AB32" s="2"/>
      <c r="AC32" s="2"/>
      <c r="AD32" s="87" t="s">
        <v>8</v>
      </c>
      <c r="AE32" s="88" t="s">
        <v>8</v>
      </c>
      <c r="AF32" s="2"/>
      <c r="AG32" s="2"/>
      <c r="AH32" s="2"/>
      <c r="AI32" s="11"/>
      <c r="AJ32" s="2" t="str">
        <f t="shared" ref="AJ32:BS32" si="14">AJ17</f>
        <v>First 300 kWh</v>
      </c>
      <c r="AK32" s="2" t="str">
        <f t="shared" si="14"/>
        <v>Next 700 kWh</v>
      </c>
      <c r="AL32" s="2" t="str">
        <f t="shared" si="14"/>
        <v>Next 1500 kWh</v>
      </c>
      <c r="AM32" s="2" t="str">
        <f t="shared" si="14"/>
        <v>Over 2500 kWh</v>
      </c>
      <c r="AN32" s="2" t="str">
        <f t="shared" si="14"/>
        <v>KWH_NEXT110</v>
      </c>
      <c r="AO32" s="88" t="str">
        <f t="shared" si="14"/>
        <v>KWH_300+</v>
      </c>
      <c r="AP32" s="2" t="str">
        <f t="shared" si="14"/>
        <v>First 300 kWh</v>
      </c>
      <c r="AQ32" s="2" t="str">
        <f t="shared" si="14"/>
        <v>Next 700 kWh</v>
      </c>
      <c r="AR32" s="2" t="str">
        <f t="shared" si="14"/>
        <v>Next 1500 kWh</v>
      </c>
      <c r="AS32" s="2" t="str">
        <f t="shared" si="14"/>
        <v>Over 2500 kWh</v>
      </c>
      <c r="AT32" s="2" t="str">
        <f t="shared" si="14"/>
        <v>KWH_NEXT110</v>
      </c>
      <c r="AU32" s="88" t="str">
        <f t="shared" si="14"/>
        <v>KWH_300+</v>
      </c>
      <c r="AV32" s="2" t="str">
        <f t="shared" si="14"/>
        <v>First 300 kWh</v>
      </c>
      <c r="AW32" s="2" t="str">
        <f t="shared" si="14"/>
        <v>Next 700 kWh</v>
      </c>
      <c r="AX32" s="2" t="str">
        <f t="shared" si="14"/>
        <v>Next 1500 kWh</v>
      </c>
      <c r="AY32" s="2" t="str">
        <f t="shared" si="14"/>
        <v>Over 2500 kWh</v>
      </c>
      <c r="AZ32" s="2" t="str">
        <f t="shared" si="14"/>
        <v>KWH_NEXT110</v>
      </c>
      <c r="BA32" s="88" t="str">
        <f t="shared" si="14"/>
        <v>KWH_300+</v>
      </c>
      <c r="BB32" s="2" t="str">
        <f t="shared" si="14"/>
        <v>First 300 kWh</v>
      </c>
      <c r="BC32" s="2" t="str">
        <f t="shared" si="14"/>
        <v>Next 700 kWh</v>
      </c>
      <c r="BD32" s="2" t="str">
        <f t="shared" si="14"/>
        <v>Next 1500 kWh</v>
      </c>
      <c r="BE32" s="2" t="str">
        <f t="shared" si="14"/>
        <v>Over 2500 kWh</v>
      </c>
      <c r="BF32" s="2" t="str">
        <f t="shared" si="14"/>
        <v>KWH_NEXT110</v>
      </c>
      <c r="BG32" s="88" t="str">
        <f t="shared" si="14"/>
        <v>KWH_300+</v>
      </c>
      <c r="BH32" s="2" t="str">
        <f t="shared" si="14"/>
        <v>First 300 kWh</v>
      </c>
      <c r="BI32" s="2" t="str">
        <f t="shared" si="14"/>
        <v>Next 700 kWh</v>
      </c>
      <c r="BJ32" s="2" t="str">
        <f t="shared" si="14"/>
        <v>Next 1500 kWh</v>
      </c>
      <c r="BK32" s="2" t="str">
        <f t="shared" si="14"/>
        <v>Over 2500 kWh</v>
      </c>
      <c r="BL32" s="2" t="str">
        <f t="shared" si="14"/>
        <v>KWH_NEXT110</v>
      </c>
      <c r="BM32" s="88" t="str">
        <f t="shared" si="14"/>
        <v>KWH_300+</v>
      </c>
      <c r="BN32" s="10" t="str">
        <f t="shared" si="14"/>
        <v>First 300 kWh</v>
      </c>
      <c r="BO32" s="10" t="str">
        <f t="shared" si="14"/>
        <v>Next 700 kWh</v>
      </c>
      <c r="BP32" s="10" t="str">
        <f t="shared" si="14"/>
        <v>Next 1500 kWh</v>
      </c>
      <c r="BQ32" s="10" t="str">
        <f t="shared" si="14"/>
        <v>Over 2500 kWh</v>
      </c>
      <c r="BR32" s="10" t="str">
        <f t="shared" si="14"/>
        <v>KWH_NEXT110</v>
      </c>
      <c r="BS32" s="91" t="str">
        <f t="shared" si="14"/>
        <v>KWH_300+</v>
      </c>
      <c r="BT32" t="s">
        <v>223</v>
      </c>
      <c r="BU32" t="s">
        <v>224</v>
      </c>
      <c r="BV32" t="s">
        <v>225</v>
      </c>
      <c r="BW32" t="s">
        <v>226</v>
      </c>
      <c r="BX32" t="s">
        <v>227</v>
      </c>
      <c r="BY32" s="13" t="s">
        <v>228</v>
      </c>
      <c r="BZ32" s="11"/>
      <c r="CK32" s="11"/>
      <c r="CL32" t="str">
        <f t="shared" si="11"/>
        <v>First 300 kWh</v>
      </c>
      <c r="CM32" t="str">
        <f t="shared" si="11"/>
        <v>Next 700 kWh</v>
      </c>
      <c r="CN32" s="13" t="str">
        <f t="shared" si="11"/>
        <v>Over 1000 kWh</v>
      </c>
      <c r="CO32" s="25" t="str">
        <f t="shared" si="11"/>
        <v>First 300 kWh</v>
      </c>
      <c r="CP32" t="str">
        <f t="shared" si="11"/>
        <v>Next 700 kWh</v>
      </c>
      <c r="CQ32" s="13" t="str">
        <f t="shared" si="11"/>
        <v>Over 1000 kWh</v>
      </c>
      <c r="CR32" s="11"/>
      <c r="CU32" s="11"/>
      <c r="DB32" s="2"/>
      <c r="DD32" s="2"/>
      <c r="DE32" s="11"/>
      <c r="DJ32" s="4"/>
      <c r="DK32" t="s">
        <v>256</v>
      </c>
      <c r="DL32" t="s">
        <v>218</v>
      </c>
      <c r="DM32" t="s">
        <v>219</v>
      </c>
      <c r="DN32" t="s">
        <v>220</v>
      </c>
      <c r="DO32" t="s">
        <v>257</v>
      </c>
      <c r="DP32" t="s">
        <v>258</v>
      </c>
    </row>
    <row r="33" spans="1:123" x14ac:dyDescent="0.2">
      <c r="A33" s="98">
        <v>0.1545567244537851</v>
      </c>
      <c r="B33" s="98">
        <v>0.22458057288319186</v>
      </c>
      <c r="C33" s="98">
        <v>0.24556472785534375</v>
      </c>
      <c r="D33" s="98">
        <f t="shared" ref="D33:D43" si="15">1-A33-B33-C33</f>
        <v>0.37529797480767924</v>
      </c>
      <c r="E33" t="s">
        <v>232</v>
      </c>
      <c r="F33" s="2">
        <v>32925.194590427374</v>
      </c>
      <c r="G33" s="2">
        <v>47842.36395757585</v>
      </c>
      <c r="H33" s="2">
        <v>52312.615175796876</v>
      </c>
      <c r="I33" s="2">
        <v>79949.668276199896</v>
      </c>
      <c r="J33" s="2">
        <v>3057.3040000000001</v>
      </c>
      <c r="K33" s="4">
        <v>0</v>
      </c>
      <c r="L33" s="4">
        <v>0</v>
      </c>
      <c r="M33" s="4">
        <v>0</v>
      </c>
      <c r="N33" s="18">
        <v>0</v>
      </c>
      <c r="O33" s="4">
        <v>0</v>
      </c>
      <c r="P33" s="4">
        <v>0</v>
      </c>
      <c r="Q33" s="4">
        <v>0</v>
      </c>
      <c r="R33" s="18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19"/>
      <c r="AB33" s="2">
        <v>101632402.296</v>
      </c>
      <c r="AC33" s="2">
        <v>73210719</v>
      </c>
      <c r="AD33" s="90">
        <f>+'HLF-Demand_kVAR'!P3</f>
        <v>8457804</v>
      </c>
      <c r="AE33" s="89">
        <v>0</v>
      </c>
      <c r="AF33" s="2">
        <v>121119356.31999998</v>
      </c>
      <c r="AG33" s="2">
        <v>74555021.279999986</v>
      </c>
      <c r="AH33" s="2">
        <v>97021568.542999998</v>
      </c>
      <c r="AI33" s="19"/>
      <c r="AJ33" s="2">
        <v>3000</v>
      </c>
      <c r="AK33" s="2">
        <v>7000</v>
      </c>
      <c r="AL33" s="2">
        <v>15000</v>
      </c>
      <c r="AM33" s="2">
        <v>6214885.7925528372</v>
      </c>
      <c r="AN33" s="2">
        <v>2525845.4699595114</v>
      </c>
      <c r="AO33" s="2">
        <v>2577657.0454876488</v>
      </c>
      <c r="AP33" s="2">
        <v>5938.3701686744935</v>
      </c>
      <c r="AQ33" s="2">
        <v>13856.197060240484</v>
      </c>
      <c r="AR33" s="2">
        <v>29691.850843372467</v>
      </c>
      <c r="AS33" s="2">
        <v>14283759.712385049</v>
      </c>
      <c r="AT33" s="2">
        <v>2318076.9859582116</v>
      </c>
      <c r="AU33" s="2">
        <v>1091054.951584453</v>
      </c>
      <c r="AV33" s="2">
        <v>36519.541945869591</v>
      </c>
      <c r="AW33" s="2">
        <v>83494.217812637857</v>
      </c>
      <c r="AX33" s="2">
        <v>167178.92566460822</v>
      </c>
      <c r="AY33" s="2">
        <v>18796735.540591795</v>
      </c>
      <c r="AZ33" s="2">
        <v>17228103.773131214</v>
      </c>
      <c r="BA33" s="2">
        <v>1511757.483690704</v>
      </c>
      <c r="BB33" s="2">
        <v>1604797.7896969039</v>
      </c>
      <c r="BC33" s="2">
        <v>3168436.3115332909</v>
      </c>
      <c r="BD33" s="2">
        <v>4806362.3174329987</v>
      </c>
      <c r="BE33" s="2">
        <v>30303456.180443868</v>
      </c>
      <c r="BF33" s="2">
        <v>16709428.955205334</v>
      </c>
      <c r="BG33" s="2">
        <v>12244224.703672778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88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112">
        <v>600</v>
      </c>
      <c r="BU33" s="112">
        <v>1400</v>
      </c>
      <c r="BV33" s="112">
        <v>3000</v>
      </c>
      <c r="BW33" s="112">
        <f>380608-BT33-BU33-BV33</f>
        <v>375608</v>
      </c>
      <c r="BX33" s="111"/>
      <c r="BY33" s="111"/>
      <c r="BZ33" s="19"/>
      <c r="CA33" s="33">
        <v>0</v>
      </c>
      <c r="CB33" s="33">
        <v>0</v>
      </c>
      <c r="CC33" s="33">
        <v>0</v>
      </c>
      <c r="CD33" s="33">
        <v>0</v>
      </c>
      <c r="CE33" s="33">
        <v>0</v>
      </c>
      <c r="CF33" s="33">
        <v>0</v>
      </c>
      <c r="CG33" s="33">
        <v>0</v>
      </c>
      <c r="CH33" s="33">
        <v>0</v>
      </c>
      <c r="CI33" s="106">
        <v>0</v>
      </c>
      <c r="CJ33" s="33">
        <v>0</v>
      </c>
      <c r="CK33" s="19"/>
      <c r="CL33" s="4">
        <v>0</v>
      </c>
      <c r="CM33" s="4">
        <v>0</v>
      </c>
      <c r="CN33" s="4">
        <v>0</v>
      </c>
      <c r="CO33" s="26">
        <v>0</v>
      </c>
      <c r="CP33" s="4">
        <v>0</v>
      </c>
      <c r="CQ33" s="4">
        <v>0</v>
      </c>
      <c r="CR33" s="19"/>
      <c r="CS33" s="2">
        <v>189634.28536596478</v>
      </c>
      <c r="CT33" s="2">
        <v>1513509.9366340353</v>
      </c>
      <c r="CU33" s="11"/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11"/>
      <c r="DF33" s="4">
        <f t="shared" ref="DF33:DF44" si="16">SUM(F33:DD33)</f>
        <v>614042972.92382205</v>
      </c>
      <c r="DJ33" s="4" t="s">
        <v>33</v>
      </c>
      <c r="DK33" s="108">
        <f>5459/DS33</f>
        <v>4.7997955932442722E-4</v>
      </c>
      <c r="DL33" s="108">
        <f>11391/DS33</f>
        <v>1.0015473823529128E-3</v>
      </c>
      <c r="DM33" s="108">
        <v>2.0066469123879481E-3</v>
      </c>
      <c r="DN33" s="108">
        <v>0.54788618918826471</v>
      </c>
      <c r="DO33" s="108">
        <v>0.22267116326945649</v>
      </c>
      <c r="DP33" s="108">
        <v>0.22595444898144362</v>
      </c>
      <c r="DQ33" s="109">
        <f>SUM(DK33:DP33)</f>
        <v>0.99999997529323004</v>
      </c>
      <c r="DS33">
        <v>11373401</v>
      </c>
    </row>
    <row r="34" spans="1:123" x14ac:dyDescent="0.2">
      <c r="A34" s="98">
        <v>0.16185922010132922</v>
      </c>
      <c r="B34" s="98">
        <v>0.23087859068844735</v>
      </c>
      <c r="C34" s="98">
        <v>0.24582242338921495</v>
      </c>
      <c r="D34" s="98">
        <f t="shared" si="15"/>
        <v>0.36143976582100851</v>
      </c>
      <c r="E34" t="s">
        <v>233</v>
      </c>
      <c r="F34" s="2">
        <v>86441.778719180336</v>
      </c>
      <c r="G34" s="2">
        <v>123301.94124741788</v>
      </c>
      <c r="H34" s="2">
        <v>131282.77470705961</v>
      </c>
      <c r="I34" s="2">
        <v>193028.83232634209</v>
      </c>
      <c r="J34" s="101">
        <v>3218.0129999999999</v>
      </c>
      <c r="K34" s="4">
        <v>0</v>
      </c>
      <c r="L34" s="4">
        <v>0</v>
      </c>
      <c r="M34" s="4">
        <v>0</v>
      </c>
      <c r="N34" s="18">
        <v>0</v>
      </c>
      <c r="O34" s="4">
        <v>0</v>
      </c>
      <c r="P34" s="4">
        <v>0</v>
      </c>
      <c r="Q34" s="4">
        <v>0</v>
      </c>
      <c r="R34" s="18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19"/>
      <c r="AB34" s="2">
        <v>97411930.824000001</v>
      </c>
      <c r="AC34" s="2">
        <v>71769371.357999995</v>
      </c>
      <c r="AD34" s="90">
        <f>+'HLF-Demand_kVAR'!P4</f>
        <v>7744644</v>
      </c>
      <c r="AE34" s="89">
        <v>0</v>
      </c>
      <c r="AF34" s="2">
        <v>121736828.83999999</v>
      </c>
      <c r="AG34" s="2">
        <v>77052117.530000016</v>
      </c>
      <c r="AH34" s="2">
        <v>98372145.791000023</v>
      </c>
      <c r="AI34" s="19"/>
      <c r="AJ34" s="2">
        <v>1500</v>
      </c>
      <c r="AK34" s="2">
        <v>3500</v>
      </c>
      <c r="AL34" s="2">
        <v>7500</v>
      </c>
      <c r="AM34" s="2">
        <v>5911713.5680572297</v>
      </c>
      <c r="AN34" s="2">
        <v>2402630.6249212679</v>
      </c>
      <c r="AO34" s="2">
        <v>3016544.1150215007</v>
      </c>
      <c r="AP34" s="2">
        <v>6640.5774629492425</v>
      </c>
      <c r="AQ34" s="2">
        <v>15494.680746881564</v>
      </c>
      <c r="AR34" s="2">
        <v>33202.887314746207</v>
      </c>
      <c r="AS34" s="2">
        <v>15972802.324213911</v>
      </c>
      <c r="AT34" s="2">
        <v>2592187.6462900541</v>
      </c>
      <c r="AU34" s="2">
        <v>1220071.2849714633</v>
      </c>
      <c r="AV34" s="2">
        <v>38404.639867030462</v>
      </c>
      <c r="AW34" s="2">
        <v>87804.095977617355</v>
      </c>
      <c r="AX34" s="2">
        <v>175808.51487740243</v>
      </c>
      <c r="AY34" s="2">
        <v>19767002.011751298</v>
      </c>
      <c r="AZ34" s="2">
        <v>18117399.226409663</v>
      </c>
      <c r="BA34" s="2">
        <v>1589792.7146371603</v>
      </c>
      <c r="BB34" s="2">
        <v>1648100.7690685485</v>
      </c>
      <c r="BC34" s="2">
        <v>3253931.6512698997</v>
      </c>
      <c r="BD34" s="2">
        <v>4936054.5500748195</v>
      </c>
      <c r="BE34" s="2">
        <v>31121147.945908684</v>
      </c>
      <c r="BF34" s="2">
        <v>17160306.97984162</v>
      </c>
      <c r="BG34" s="2">
        <v>12574616.116951745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88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0</v>
      </c>
      <c r="BS34" s="75">
        <v>0</v>
      </c>
      <c r="BT34" s="112">
        <v>900</v>
      </c>
      <c r="BU34" s="112">
        <v>1532</v>
      </c>
      <c r="BV34" s="112">
        <v>3000</v>
      </c>
      <c r="BW34" s="112">
        <f>354418-BT34-BU34-BV34</f>
        <v>348986</v>
      </c>
      <c r="BX34" s="111"/>
      <c r="BY34" s="111"/>
      <c r="BZ34" s="19"/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106">
        <v>0</v>
      </c>
      <c r="CJ34" s="33">
        <v>0</v>
      </c>
      <c r="CK34" s="19"/>
      <c r="CL34" s="4">
        <v>0</v>
      </c>
      <c r="CM34" s="4">
        <v>0</v>
      </c>
      <c r="CN34" s="4">
        <v>0</v>
      </c>
      <c r="CO34" s="26">
        <v>0</v>
      </c>
      <c r="CP34" s="4">
        <v>0</v>
      </c>
      <c r="CQ34" s="4">
        <v>0</v>
      </c>
      <c r="CR34" s="19"/>
      <c r="CS34" s="2">
        <v>172994.49940092029</v>
      </c>
      <c r="CT34" s="2">
        <v>1380704.4085990798</v>
      </c>
      <c r="CU34" s="11"/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11"/>
      <c r="DF34" s="4">
        <f t="shared" si="16"/>
        <v>618186585.51663554</v>
      </c>
      <c r="DJ34" s="4" t="s">
        <v>259</v>
      </c>
      <c r="DK34" s="108">
        <f>6600/DS34</f>
        <v>3.3469978747577739E-4</v>
      </c>
      <c r="DL34" s="108">
        <f>15400/DS34</f>
        <v>7.8096617077681382E-4</v>
      </c>
      <c r="DM34" s="108">
        <f>33000/DS34</f>
        <v>1.6734989373788868E-3</v>
      </c>
      <c r="DN34" s="108">
        <f>15875200/DS34</f>
        <v>0.80506455547506983</v>
      </c>
      <c r="DO34" s="108">
        <f>2576348/DS34</f>
        <v>0.13065198910055215</v>
      </c>
      <c r="DP34" s="108">
        <f>1212616/DS34</f>
        <v>6.1494290528746554E-2</v>
      </c>
      <c r="DQ34" s="109">
        <f t="shared" ref="DQ34:DQ37" si="17">SUM(DK34:DP34)</f>
        <v>1</v>
      </c>
      <c r="DS34">
        <v>19719164</v>
      </c>
    </row>
    <row r="35" spans="1:123" x14ac:dyDescent="0.2">
      <c r="A35" s="98">
        <v>0.17487938336442593</v>
      </c>
      <c r="B35" s="98">
        <v>0.24010247586395569</v>
      </c>
      <c r="C35" s="98">
        <v>0.24233621200310304</v>
      </c>
      <c r="D35" s="98">
        <f t="shared" si="15"/>
        <v>0.34268192876851522</v>
      </c>
      <c r="E35" t="s">
        <v>234</v>
      </c>
      <c r="F35" s="2">
        <v>125187.06469222982</v>
      </c>
      <c r="G35" s="2">
        <v>171876.88794687236</v>
      </c>
      <c r="H35" s="2">
        <v>173475.90359512682</v>
      </c>
      <c r="I35" s="2">
        <v>245308.18876577084</v>
      </c>
      <c r="J35" s="101">
        <v>2738.56</v>
      </c>
      <c r="K35" s="4">
        <v>0</v>
      </c>
      <c r="L35" s="4">
        <v>0</v>
      </c>
      <c r="M35" s="4">
        <v>0</v>
      </c>
      <c r="N35" s="18">
        <v>0</v>
      </c>
      <c r="O35" s="4">
        <v>0</v>
      </c>
      <c r="P35" s="4">
        <v>0</v>
      </c>
      <c r="Q35" s="4">
        <v>0</v>
      </c>
      <c r="R35" s="18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19"/>
      <c r="AB35" s="2">
        <f>+'HLF-Demand_kVAR'!D5</f>
        <v>95002101.088</v>
      </c>
      <c r="AC35" s="2">
        <v>74921175.988000005</v>
      </c>
      <c r="AD35" s="90">
        <f>+'HLF-Demand_kVAR'!P5</f>
        <v>8651700</v>
      </c>
      <c r="AE35" s="89">
        <v>0</v>
      </c>
      <c r="AF35" s="2">
        <v>123268281.83999999</v>
      </c>
      <c r="AG35" s="2">
        <v>77485534.809999987</v>
      </c>
      <c r="AH35" s="2">
        <v>100364386.34000003</v>
      </c>
      <c r="AI35" s="19"/>
      <c r="AJ35" s="2">
        <v>3900</v>
      </c>
      <c r="AK35" s="2">
        <v>9100</v>
      </c>
      <c r="AL35" s="2">
        <v>19500</v>
      </c>
      <c r="AM35" s="2">
        <v>5605798.2593105724</v>
      </c>
      <c r="AN35" s="2">
        <v>2278300.9392953613</v>
      </c>
      <c r="AO35" s="2">
        <v>2315084.6253940677</v>
      </c>
      <c r="AP35" s="2">
        <v>6722.2435199382708</v>
      </c>
      <c r="AQ35" s="2">
        <v>15685.234879855963</v>
      </c>
      <c r="AR35" s="2">
        <v>33611.21759969135</v>
      </c>
      <c r="AS35" s="2">
        <v>16169236.41329152</v>
      </c>
      <c r="AT35" s="2">
        <v>2624066.4618342309</v>
      </c>
      <c r="AU35" s="2">
        <v>1235075.7648747675</v>
      </c>
      <c r="AV35" s="2">
        <v>39758.755372852902</v>
      </c>
      <c r="AW35" s="2">
        <v>90899.995021318158</v>
      </c>
      <c r="AX35" s="2">
        <v>182007.37618362388</v>
      </c>
      <c r="AY35" s="2">
        <v>20463969.982819669</v>
      </c>
      <c r="AZ35" s="2">
        <v>18756203.581888542</v>
      </c>
      <c r="BA35" s="2">
        <v>1645847.4771186549</v>
      </c>
      <c r="BB35" s="2">
        <v>1635836.5770952464</v>
      </c>
      <c r="BC35" s="2">
        <v>3229717.8148418446</v>
      </c>
      <c r="BD35" s="2">
        <v>4899323.3490894446</v>
      </c>
      <c r="BE35" s="2">
        <v>30889562.754031207</v>
      </c>
      <c r="BF35" s="2">
        <v>17032610.11623266</v>
      </c>
      <c r="BG35" s="2">
        <v>12481043.254816603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88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112">
        <v>900</v>
      </c>
      <c r="BU35" s="112">
        <v>1556</v>
      </c>
      <c r="BV35" s="112">
        <v>3000</v>
      </c>
      <c r="BW35" s="112">
        <f>520606-BT35-BU35-BV35</f>
        <v>515150</v>
      </c>
      <c r="BX35" s="111"/>
      <c r="BY35" s="111"/>
      <c r="BZ35" s="19"/>
      <c r="CA35" s="33">
        <v>0</v>
      </c>
      <c r="CB35" s="33">
        <v>0</v>
      </c>
      <c r="CC35" s="33">
        <v>0</v>
      </c>
      <c r="CD35" s="33">
        <v>0</v>
      </c>
      <c r="CE35" s="33">
        <v>0</v>
      </c>
      <c r="CF35" s="33">
        <v>0</v>
      </c>
      <c r="CG35" s="33">
        <v>0</v>
      </c>
      <c r="CH35" s="33">
        <v>0</v>
      </c>
      <c r="CI35" s="106">
        <v>0</v>
      </c>
      <c r="CJ35" s="33">
        <v>0</v>
      </c>
      <c r="CK35" s="19"/>
      <c r="CL35" s="4">
        <v>0</v>
      </c>
      <c r="CM35" s="4">
        <v>0</v>
      </c>
      <c r="CN35" s="4">
        <v>0</v>
      </c>
      <c r="CO35" s="26">
        <v>0</v>
      </c>
      <c r="CP35" s="4">
        <v>0</v>
      </c>
      <c r="CQ35" s="4">
        <v>0</v>
      </c>
      <c r="CR35" s="19"/>
      <c r="CS35" s="2">
        <v>167316.03608919974</v>
      </c>
      <c r="CT35" s="2">
        <v>1335383.4339108004</v>
      </c>
      <c r="CU35" s="11"/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11"/>
      <c r="DF35" s="4">
        <f t="shared" si="16"/>
        <v>624097934.3355118</v>
      </c>
      <c r="DJ35" s="4" t="s">
        <v>37</v>
      </c>
      <c r="DK35" s="108">
        <f>43519/DS35</f>
        <v>9.6551777690635624E-4</v>
      </c>
      <c r="DL35" s="108">
        <f>99497/DS35</f>
        <v>2.2074524287978062E-3</v>
      </c>
      <c r="DM35" s="108">
        <f>199221/DS35</f>
        <v>4.4199411069432018E-3</v>
      </c>
      <c r="DN35" s="108">
        <f>22399381/DS35</f>
        <v>0.49695536540817747</v>
      </c>
      <c r="DO35" s="108">
        <f>20530100/DS35</f>
        <v>0.45548327194248917</v>
      </c>
      <c r="DP35" s="108">
        <f>1801506/DS35</f>
        <v>3.9968429150565553E-2</v>
      </c>
      <c r="DQ35" s="109">
        <f t="shared" si="17"/>
        <v>0.9999999778138795</v>
      </c>
      <c r="DS35">
        <v>45073225</v>
      </c>
    </row>
    <row r="36" spans="1:123" x14ac:dyDescent="0.2">
      <c r="A36" s="98">
        <v>0.18248455989278833</v>
      </c>
      <c r="B36" s="98">
        <v>0.24364636973016635</v>
      </c>
      <c r="C36" s="98">
        <v>0.23773933785877285</v>
      </c>
      <c r="D36" s="98">
        <f t="shared" si="15"/>
        <v>0.33612973251827238</v>
      </c>
      <c r="E36" t="s">
        <v>235</v>
      </c>
      <c r="F36" s="2">
        <v>135563.68933542701</v>
      </c>
      <c r="G36" s="2">
        <v>180999.42698280944</v>
      </c>
      <c r="H36" s="2">
        <v>176611.2254057636</v>
      </c>
      <c r="I36" s="2">
        <v>249703.2442759999</v>
      </c>
      <c r="J36" s="101">
        <v>2387.5520000000001</v>
      </c>
      <c r="K36" s="4">
        <v>0</v>
      </c>
      <c r="L36" s="4">
        <v>0</v>
      </c>
      <c r="M36" s="4">
        <v>0</v>
      </c>
      <c r="N36" s="18">
        <v>0</v>
      </c>
      <c r="O36" s="4">
        <v>0</v>
      </c>
      <c r="P36" s="4">
        <v>0</v>
      </c>
      <c r="Q36" s="4">
        <v>0</v>
      </c>
      <c r="R36" s="18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19"/>
      <c r="AB36" s="2">
        <f>+'HLF-Demand_kVAR'!D6</f>
        <v>89079178.011000007</v>
      </c>
      <c r="AC36" s="2">
        <v>70817881.546000004</v>
      </c>
      <c r="AD36" s="90">
        <f>+'HLF-Demand_kVAR'!P6</f>
        <v>7402896</v>
      </c>
      <c r="AE36" s="89">
        <v>0</v>
      </c>
      <c r="AF36" s="2">
        <v>130780934.06</v>
      </c>
      <c r="AG36" s="2">
        <v>75686694.810000002</v>
      </c>
      <c r="AH36" s="2">
        <v>99570672.695999995</v>
      </c>
      <c r="AI36" s="19"/>
      <c r="AJ36" s="2">
        <v>9172.7439999999988</v>
      </c>
      <c r="AK36" s="2">
        <v>18023.2</v>
      </c>
      <c r="AL36" s="2">
        <v>35904.800000000003</v>
      </c>
      <c r="AM36" s="2">
        <v>5313677.7594322078</v>
      </c>
      <c r="AN36" s="2">
        <v>2159577.7212139885</v>
      </c>
      <c r="AO36" s="88">
        <v>2162150.2613538029</v>
      </c>
      <c r="AP36" s="2">
        <v>6397.4658269995625</v>
      </c>
      <c r="AQ36" s="2">
        <v>14927.420262998978</v>
      </c>
      <c r="AR36" s="2">
        <v>31987.32913499781</v>
      </c>
      <c r="AS36" s="2">
        <v>15388037.802542947</v>
      </c>
      <c r="AT36" s="2">
        <v>2497287.6194634349</v>
      </c>
      <c r="AU36" s="2">
        <v>1175404.4577686214</v>
      </c>
      <c r="AV36" s="2">
        <v>36912.844163050206</v>
      </c>
      <c r="AW36" s="2">
        <v>84393.420246122536</v>
      </c>
      <c r="AX36" s="2">
        <v>168979.38204018993</v>
      </c>
      <c r="AY36" s="2">
        <v>18999169.562760811</v>
      </c>
      <c r="AZ36" s="2">
        <v>17413644.200276595</v>
      </c>
      <c r="BA36" s="2">
        <v>1528038.5633125745</v>
      </c>
      <c r="BB36" s="2">
        <v>1634674.2680354617</v>
      </c>
      <c r="BC36" s="2">
        <v>3227423.0072007263</v>
      </c>
      <c r="BD36" s="2">
        <v>4895842.2385707069</v>
      </c>
      <c r="BE36" s="2">
        <v>30867614.828948405</v>
      </c>
      <c r="BF36" s="2">
        <v>17020507.95558466</v>
      </c>
      <c r="BG36" s="2">
        <v>12472175.113674778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88">
        <v>0</v>
      </c>
      <c r="BN36" s="75">
        <v>0</v>
      </c>
      <c r="BO36" s="75">
        <v>0</v>
      </c>
      <c r="BP36" s="75">
        <v>0</v>
      </c>
      <c r="BQ36" s="75">
        <v>0</v>
      </c>
      <c r="BR36" s="75">
        <v>0</v>
      </c>
      <c r="BS36" s="75">
        <v>0</v>
      </c>
      <c r="BT36" s="112">
        <v>900</v>
      </c>
      <c r="BU36" s="112">
        <v>1515</v>
      </c>
      <c r="BV36" s="112">
        <v>3000</v>
      </c>
      <c r="BW36" s="112">
        <f>494635-BT36-BU36-BV36</f>
        <v>489220</v>
      </c>
      <c r="BX36" s="111"/>
      <c r="BY36" s="111"/>
      <c r="BZ36" s="19"/>
      <c r="CA36" s="33">
        <v>0</v>
      </c>
      <c r="CB36" s="33">
        <v>0</v>
      </c>
      <c r="CC36" s="33">
        <v>0</v>
      </c>
      <c r="CD36" s="33">
        <v>0</v>
      </c>
      <c r="CE36" s="33">
        <v>0</v>
      </c>
      <c r="CF36" s="33">
        <v>0</v>
      </c>
      <c r="CG36" s="33">
        <v>0</v>
      </c>
      <c r="CH36" s="33">
        <v>0</v>
      </c>
      <c r="CI36" s="106">
        <v>0</v>
      </c>
      <c r="CJ36" s="33">
        <v>0</v>
      </c>
      <c r="CK36" s="19"/>
      <c r="CL36" s="4">
        <v>0</v>
      </c>
      <c r="CM36" s="4">
        <v>0</v>
      </c>
      <c r="CN36" s="4">
        <v>0</v>
      </c>
      <c r="CO36" s="26">
        <v>0</v>
      </c>
      <c r="CP36" s="4">
        <v>0</v>
      </c>
      <c r="CQ36" s="4">
        <v>0</v>
      </c>
      <c r="CR36" s="19"/>
      <c r="CS36" s="2">
        <v>176741.46234821304</v>
      </c>
      <c r="CT36" s="2">
        <v>1410609.6846517874</v>
      </c>
      <c r="CU36" s="11"/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11"/>
      <c r="DF36" s="4">
        <f t="shared" si="16"/>
        <v>613327432.37381387</v>
      </c>
      <c r="DJ36" s="4" t="s">
        <v>40</v>
      </c>
      <c r="DK36" s="108">
        <f>7828909/DS36</f>
        <v>2.3313107064626536E-2</v>
      </c>
      <c r="DL36" s="108">
        <f>15457025/DS36</f>
        <v>4.6028288069973604E-2</v>
      </c>
      <c r="DM36" s="108">
        <f>23447548/DS36</f>
        <v>6.9822653057657183E-2</v>
      </c>
      <c r="DN36" s="108">
        <f>147833579/DS36</f>
        <v>0.44022226532125042</v>
      </c>
      <c r="DO36" s="108">
        <f>81515939/DS36</f>
        <v>0.24274005654945865</v>
      </c>
      <c r="DP36" s="108">
        <f>59732710/DS36</f>
        <v>0.17787345126763998</v>
      </c>
      <c r="DQ36" s="109">
        <f t="shared" si="17"/>
        <v>0.99999982133060639</v>
      </c>
      <c r="DS36">
        <v>335815770</v>
      </c>
    </row>
    <row r="37" spans="1:123" x14ac:dyDescent="0.2">
      <c r="A37" s="98">
        <v>0.19447997121195021</v>
      </c>
      <c r="B37" s="98">
        <v>0.24522717210853642</v>
      </c>
      <c r="C37" s="98">
        <v>0.23243921540763096</v>
      </c>
      <c r="D37" s="98">
        <f t="shared" si="15"/>
        <v>0.32785364127188238</v>
      </c>
      <c r="E37" t="s">
        <v>236</v>
      </c>
      <c r="F37" s="2">
        <v>136532.36095201052</v>
      </c>
      <c r="G37" s="2">
        <v>172158.83244385305</v>
      </c>
      <c r="H37" s="2">
        <v>163181.19886417768</v>
      </c>
      <c r="I37" s="2">
        <v>230165.76673995872</v>
      </c>
      <c r="J37" s="101">
        <v>1904.626</v>
      </c>
      <c r="K37" s="4">
        <v>0</v>
      </c>
      <c r="L37" s="4">
        <v>0</v>
      </c>
      <c r="M37" s="4">
        <v>0</v>
      </c>
      <c r="N37" s="18">
        <v>0</v>
      </c>
      <c r="O37" s="4">
        <v>0</v>
      </c>
      <c r="P37" s="4">
        <v>0</v>
      </c>
      <c r="Q37" s="4">
        <v>0</v>
      </c>
      <c r="R37" s="18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19"/>
      <c r="AB37" s="2">
        <f>+'HLF-Demand_kVAR'!D7</f>
        <v>96862169.071999997</v>
      </c>
      <c r="AC37" s="2">
        <v>70204653.113999993</v>
      </c>
      <c r="AD37" s="90">
        <f>+'HLF-Demand_kVAR'!P7</f>
        <v>8394912</v>
      </c>
      <c r="AE37" s="89">
        <v>0</v>
      </c>
      <c r="AF37" s="2">
        <v>120898950</v>
      </c>
      <c r="AG37" s="2">
        <v>75940993.399999991</v>
      </c>
      <c r="AH37" s="2">
        <v>100525740.81899998</v>
      </c>
      <c r="AI37" s="19"/>
      <c r="AJ37" s="2">
        <v>3900</v>
      </c>
      <c r="AK37" s="2">
        <v>9100</v>
      </c>
      <c r="AL37" s="2">
        <f>1500*12+23</f>
        <v>18023</v>
      </c>
      <c r="AM37" s="2">
        <v>10258258.26351659</v>
      </c>
      <c r="AN37" s="2">
        <v>4169147.4356015394</v>
      </c>
      <c r="AO37" s="88">
        <v>4264909.2238818705</v>
      </c>
      <c r="AP37" s="2">
        <v>6318.523398233312</v>
      </c>
      <c r="AQ37" s="2">
        <v>14743.221262544394</v>
      </c>
      <c r="AR37" s="2">
        <v>31592.616991166557</v>
      </c>
      <c r="AS37" s="2">
        <v>15198154.947217193</v>
      </c>
      <c r="AT37" s="2">
        <v>2466471.9878775147</v>
      </c>
      <c r="AU37" s="2">
        <v>1160900.3892533462</v>
      </c>
      <c r="AV37" s="2">
        <v>39288.02158541431</v>
      </c>
      <c r="AW37" s="2">
        <v>89823.761660055796</v>
      </c>
      <c r="AX37" s="2">
        <v>179852.45406070509</v>
      </c>
      <c r="AY37" s="2">
        <v>20221681.661525294</v>
      </c>
      <c r="AZ37" s="2">
        <v>18534134.79056767</v>
      </c>
      <c r="BA37" s="2">
        <v>1626361.0518222707</v>
      </c>
      <c r="BB37" s="2">
        <v>1605372.3929522964</v>
      </c>
      <c r="BC37" s="2">
        <v>3169570.780829547</v>
      </c>
      <c r="BD37" s="2">
        <v>4808083.2516540727</v>
      </c>
      <c r="BE37" s="2">
        <v>30314306.435025923</v>
      </c>
      <c r="BF37" s="2">
        <v>16715411.822539184</v>
      </c>
      <c r="BG37" s="2">
        <v>12248608.789580459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88">
        <v>0</v>
      </c>
      <c r="BN37" s="75">
        <v>0</v>
      </c>
      <c r="BO37" s="75">
        <v>0</v>
      </c>
      <c r="BP37" s="75">
        <v>0</v>
      </c>
      <c r="BQ37" s="75">
        <v>0</v>
      </c>
      <c r="BR37" s="75">
        <v>0</v>
      </c>
      <c r="BS37" s="75">
        <v>0</v>
      </c>
      <c r="BT37" s="112">
        <v>900</v>
      </c>
      <c r="BU37" s="112">
        <v>1504</v>
      </c>
      <c r="BV37" s="112">
        <v>3000</v>
      </c>
      <c r="BW37" s="112">
        <f>524942-BT37-BU37-BV37</f>
        <v>519538</v>
      </c>
      <c r="BX37" s="111"/>
      <c r="BY37" s="111"/>
      <c r="BZ37" s="19"/>
      <c r="CA37" s="33">
        <v>0</v>
      </c>
      <c r="CB37" s="33">
        <v>0</v>
      </c>
      <c r="CC37" s="33">
        <v>0</v>
      </c>
      <c r="CD37" s="33">
        <v>0</v>
      </c>
      <c r="CE37" s="33">
        <v>0</v>
      </c>
      <c r="CF37" s="33">
        <v>0</v>
      </c>
      <c r="CG37" s="33">
        <v>0</v>
      </c>
      <c r="CH37" s="33">
        <v>0</v>
      </c>
      <c r="CI37" s="106">
        <v>0</v>
      </c>
      <c r="CJ37" s="33">
        <v>0</v>
      </c>
      <c r="CK37" s="19"/>
      <c r="CL37" s="4">
        <v>0</v>
      </c>
      <c r="CM37" s="4">
        <v>0</v>
      </c>
      <c r="CN37" s="4">
        <v>0</v>
      </c>
      <c r="CO37" s="26">
        <v>0</v>
      </c>
      <c r="CP37" s="4">
        <v>0</v>
      </c>
      <c r="CQ37" s="4">
        <v>0</v>
      </c>
      <c r="CR37" s="19"/>
      <c r="CS37" s="2">
        <v>155504.33837352259</v>
      </c>
      <c r="CT37" s="2">
        <v>1241111.8636264773</v>
      </c>
      <c r="CU37" s="11"/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11"/>
      <c r="DF37" s="4">
        <f t="shared" si="16"/>
        <v>622606934.21480274</v>
      </c>
      <c r="DJ37" s="4" t="s">
        <v>42</v>
      </c>
      <c r="DK37" s="108">
        <f>70355/DS37</f>
        <v>4.5312014649263885E-3</v>
      </c>
      <c r="DL37" s="108">
        <f>161072/DS37</f>
        <v>1.0373813977096484E-2</v>
      </c>
      <c r="DM37" s="108">
        <f>336833/DS37</f>
        <v>2.1693670429046265E-2</v>
      </c>
      <c r="DN37" s="108">
        <f>6892488/DS37</f>
        <v>0.44390948365556893</v>
      </c>
      <c r="DO37" s="108">
        <f>3903746/DS37</f>
        <v>0.25142007808827416</v>
      </c>
      <c r="DP37" s="108">
        <f>4162293/DS37</f>
        <v>0.26807175238508779</v>
      </c>
      <c r="DQ37" s="109">
        <f t="shared" si="17"/>
        <v>1</v>
      </c>
      <c r="DS37">
        <v>15526787</v>
      </c>
    </row>
    <row r="38" spans="1:123" x14ac:dyDescent="0.2">
      <c r="A38" s="98">
        <v>0.16100735383731926</v>
      </c>
      <c r="B38" s="98">
        <v>0.22036607294437544</v>
      </c>
      <c r="C38" s="98">
        <v>0.23488751380221207</v>
      </c>
      <c r="D38" s="98">
        <f t="shared" si="15"/>
        <v>0.38373905941609332</v>
      </c>
      <c r="E38" t="s">
        <v>237</v>
      </c>
      <c r="F38" s="2">
        <v>132329.53625391604</v>
      </c>
      <c r="G38" s="2">
        <v>181115.57977836128</v>
      </c>
      <c r="H38" s="2">
        <v>193050.53485126916</v>
      </c>
      <c r="I38" s="2">
        <v>315389.39411645348</v>
      </c>
      <c r="J38" s="101">
        <v>2052.549</v>
      </c>
      <c r="K38" s="4">
        <v>0</v>
      </c>
      <c r="L38" s="4">
        <v>0</v>
      </c>
      <c r="M38" s="4">
        <v>0</v>
      </c>
      <c r="N38" s="18">
        <v>0</v>
      </c>
      <c r="O38" s="4">
        <v>0</v>
      </c>
      <c r="P38" s="4">
        <v>0</v>
      </c>
      <c r="Q38" s="4">
        <v>0</v>
      </c>
      <c r="R38" s="18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19"/>
      <c r="AB38" s="2">
        <f>+'HLF-Demand_kVAR'!D8</f>
        <v>94047241.835999995</v>
      </c>
      <c r="AC38" s="2">
        <v>76789917.197999999</v>
      </c>
      <c r="AD38" s="90">
        <f>+'HLF-Demand_kVAR'!P8</f>
        <v>8028540</v>
      </c>
      <c r="AE38" s="89">
        <v>0</v>
      </c>
      <c r="AF38" s="2">
        <v>131586437.36</v>
      </c>
      <c r="AG38" s="2">
        <v>84216624.159999996</v>
      </c>
      <c r="AH38" s="2">
        <v>112294724.374</v>
      </c>
      <c r="AI38" s="19"/>
      <c r="AJ38" s="2">
        <f>4200</f>
        <v>4200</v>
      </c>
      <c r="AK38" s="2">
        <v>8400</v>
      </c>
      <c r="AL38" s="2">
        <f>1500*14</f>
        <v>21000</v>
      </c>
      <c r="AM38" s="2">
        <v>11722387.939686187</v>
      </c>
      <c r="AN38" s="2">
        <v>4764197.0364192557</v>
      </c>
      <c r="AO38" s="88">
        <v>4875477.4278945569</v>
      </c>
      <c r="AP38" s="2">
        <v>6840.4927620663848</v>
      </c>
      <c r="AQ38" s="2">
        <v>15961.149778154895</v>
      </c>
      <c r="AR38" s="2">
        <v>34202.463810331923</v>
      </c>
      <c r="AS38" s="2">
        <v>16453665.257023675</v>
      </c>
      <c r="AT38" s="2">
        <v>2670225.73432791</v>
      </c>
      <c r="AU38" s="2">
        <v>1256801.6622978621</v>
      </c>
      <c r="AV38" s="2">
        <v>42790.403965399484</v>
      </c>
      <c r="AW38" s="2">
        <v>97831.219084660785</v>
      </c>
      <c r="AX38" s="2">
        <v>195885.63773043614</v>
      </c>
      <c r="AY38" s="2">
        <v>22024370.081226449</v>
      </c>
      <c r="AZ38" s="2">
        <v>20186384.623958454</v>
      </c>
      <c r="BA38" s="2">
        <v>1771345.1477766254</v>
      </c>
      <c r="BB38" s="2">
        <v>1777494.8821616329</v>
      </c>
      <c r="BC38" s="2">
        <v>3509401.2244802453</v>
      </c>
      <c r="BD38" s="2">
        <v>5323589.349325587</v>
      </c>
      <c r="BE38" s="2">
        <v>33564501.782322086</v>
      </c>
      <c r="BF38" s="2">
        <v>18507580.607604437</v>
      </c>
      <c r="BG38" s="2">
        <v>13561862.364557434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88">
        <v>0</v>
      </c>
      <c r="BN38" s="75">
        <v>0</v>
      </c>
      <c r="BO38" s="75">
        <v>0</v>
      </c>
      <c r="BP38" s="75">
        <v>0</v>
      </c>
      <c r="BQ38" s="75">
        <v>0</v>
      </c>
      <c r="BR38" s="75">
        <v>0</v>
      </c>
      <c r="BS38" s="75">
        <v>0</v>
      </c>
      <c r="BT38" s="112">
        <v>900</v>
      </c>
      <c r="BU38" s="112">
        <v>1572</v>
      </c>
      <c r="BV38" s="112">
        <v>3000</v>
      </c>
      <c r="BW38" s="112">
        <f>484933-BT38-BU38-BV38</f>
        <v>479461</v>
      </c>
      <c r="BX38" s="111"/>
      <c r="BY38" s="111"/>
      <c r="BZ38" s="19"/>
      <c r="CA38" s="33">
        <v>0</v>
      </c>
      <c r="CB38" s="33">
        <v>0</v>
      </c>
      <c r="CC38" s="33">
        <v>0</v>
      </c>
      <c r="CD38" s="33">
        <v>0</v>
      </c>
      <c r="CE38" s="33">
        <v>0</v>
      </c>
      <c r="CF38" s="33">
        <v>0</v>
      </c>
      <c r="CG38" s="33">
        <v>0</v>
      </c>
      <c r="CH38" s="33">
        <v>0</v>
      </c>
      <c r="CI38" s="106">
        <v>0</v>
      </c>
      <c r="CJ38" s="33">
        <v>0</v>
      </c>
      <c r="CK38" s="19"/>
      <c r="CL38" s="4">
        <v>0</v>
      </c>
      <c r="CM38" s="4">
        <v>0</v>
      </c>
      <c r="CN38" s="4">
        <v>0</v>
      </c>
      <c r="CO38" s="26">
        <v>0</v>
      </c>
      <c r="CP38" s="4">
        <v>0</v>
      </c>
      <c r="CQ38" s="4">
        <v>0</v>
      </c>
      <c r="CR38" s="19"/>
      <c r="CS38" s="2">
        <v>183068.68800098356</v>
      </c>
      <c r="CT38" s="2">
        <v>1461108.5639990168</v>
      </c>
      <c r="CU38" s="11"/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11"/>
      <c r="DF38" s="4">
        <f t="shared" si="16"/>
        <v>672312929.26219332</v>
      </c>
      <c r="DJ38" s="4"/>
    </row>
    <row r="39" spans="1:123" x14ac:dyDescent="0.2">
      <c r="A39" s="98">
        <v>0.15149195863521359</v>
      </c>
      <c r="B39" s="98">
        <v>0.21721891777439617</v>
      </c>
      <c r="C39" s="98">
        <v>0.24067487753826278</v>
      </c>
      <c r="D39" s="98">
        <f t="shared" si="15"/>
        <v>0.39061424605212747</v>
      </c>
      <c r="E39" t="s">
        <v>238</v>
      </c>
      <c r="F39" s="2">
        <v>121282.52707656434</v>
      </c>
      <c r="G39" s="2">
        <v>173902.69103294483</v>
      </c>
      <c r="H39" s="2">
        <v>192681.23281692236</v>
      </c>
      <c r="I39" s="2">
        <v>312720.77607356838</v>
      </c>
      <c r="J39" s="101">
        <v>2254.2539999999999</v>
      </c>
      <c r="K39" s="4">
        <v>0</v>
      </c>
      <c r="L39" s="4">
        <v>0</v>
      </c>
      <c r="M39" s="4">
        <v>0</v>
      </c>
      <c r="N39" s="18">
        <v>0</v>
      </c>
      <c r="O39" s="4">
        <v>0</v>
      </c>
      <c r="P39" s="4">
        <v>0</v>
      </c>
      <c r="Q39" s="4">
        <v>0</v>
      </c>
      <c r="R39" s="18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19"/>
      <c r="AB39" s="2">
        <f>+'HLF-Demand_kVAR'!D9</f>
        <v>92521538.599999994</v>
      </c>
      <c r="AC39" s="2">
        <v>71129796.402999997</v>
      </c>
      <c r="AD39" s="90">
        <f>+'HLF-Demand_kVAR'!P9</f>
        <v>7099344</v>
      </c>
      <c r="AE39" s="89">
        <v>0</v>
      </c>
      <c r="AF39" s="2">
        <v>125640861.27999999</v>
      </c>
      <c r="AG39" s="2">
        <v>81598121.249999985</v>
      </c>
      <c r="AH39" s="2">
        <v>107211126.14400004</v>
      </c>
      <c r="AI39" s="19"/>
      <c r="AJ39" s="2">
        <f>3300</f>
        <v>3300</v>
      </c>
      <c r="AK39" s="2">
        <f>7700</f>
        <v>7700</v>
      </c>
      <c r="AL39" s="2">
        <f>1500*11</f>
        <v>16500</v>
      </c>
      <c r="AM39" s="2">
        <v>5624385.8121960294</v>
      </c>
      <c r="AN39" s="2">
        <v>2285855.2673748285</v>
      </c>
      <c r="AO39" s="88">
        <v>2327868.6824291423</v>
      </c>
      <c r="AP39" s="2">
        <v>5838.0087207246715</v>
      </c>
      <c r="AQ39" s="2">
        <v>13622.020348357566</v>
      </c>
      <c r="AR39" s="2">
        <v>29190.043603623355</v>
      </c>
      <c r="AS39" s="2">
        <v>14042356.976249743</v>
      </c>
      <c r="AT39" s="2">
        <v>2278900.3169123586</v>
      </c>
      <c r="AU39" s="2">
        <v>1072615.5731651923</v>
      </c>
      <c r="AV39" s="2">
        <v>39186.457523012563</v>
      </c>
      <c r="AW39" s="2">
        <v>89591.55688704201</v>
      </c>
      <c r="AX39" s="2">
        <v>179387.5147451018</v>
      </c>
      <c r="AY39" s="2">
        <v>20169406.284571674</v>
      </c>
      <c r="AZ39" s="2">
        <v>18486221.91670765</v>
      </c>
      <c r="BA39" s="2">
        <v>1622156.7211207121</v>
      </c>
      <c r="BB39" s="2">
        <v>1708435.5826645035</v>
      </c>
      <c r="BC39" s="2">
        <v>3373053.8331886088</v>
      </c>
      <c r="BD39" s="2">
        <v>5116757.0512614101</v>
      </c>
      <c r="BE39" s="2">
        <v>32260452.468695693</v>
      </c>
      <c r="BF39" s="2">
        <v>17788523.374318074</v>
      </c>
      <c r="BG39" s="2">
        <v>13034956.366586942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88">
        <v>0</v>
      </c>
      <c r="BN39" s="75">
        <v>0</v>
      </c>
      <c r="BO39" s="75">
        <v>0</v>
      </c>
      <c r="BP39" s="75">
        <v>0</v>
      </c>
      <c r="BQ39" s="75">
        <v>0</v>
      </c>
      <c r="BR39" s="75">
        <v>0</v>
      </c>
      <c r="BS39" s="75">
        <v>0</v>
      </c>
      <c r="BT39" s="112">
        <v>900</v>
      </c>
      <c r="BU39" s="112">
        <v>1519</v>
      </c>
      <c r="BV39" s="112">
        <v>4500</v>
      </c>
      <c r="BW39" s="112">
        <f>483446-BT39-BU39-BV39</f>
        <v>476527</v>
      </c>
      <c r="BX39" s="111"/>
      <c r="BY39" s="111"/>
      <c r="BZ39" s="19"/>
      <c r="CA39" s="33">
        <v>0</v>
      </c>
      <c r="CB39" s="33">
        <v>0</v>
      </c>
      <c r="CC39" s="33">
        <v>0</v>
      </c>
      <c r="CD39" s="33">
        <v>0</v>
      </c>
      <c r="CE39" s="33">
        <v>0</v>
      </c>
      <c r="CF39" s="33">
        <v>0</v>
      </c>
      <c r="CG39" s="33">
        <v>0</v>
      </c>
      <c r="CH39" s="33">
        <v>0</v>
      </c>
      <c r="CI39" s="106">
        <v>0</v>
      </c>
      <c r="CJ39" s="33">
        <v>0</v>
      </c>
      <c r="CK39" s="19"/>
      <c r="CL39" s="4">
        <v>0</v>
      </c>
      <c r="CM39" s="4">
        <v>0</v>
      </c>
      <c r="CN39" s="4">
        <v>0</v>
      </c>
      <c r="CO39" s="26">
        <v>0</v>
      </c>
      <c r="CP39" s="4">
        <v>0</v>
      </c>
      <c r="CQ39" s="4">
        <v>0</v>
      </c>
      <c r="CR39" s="19"/>
      <c r="CS39" s="2">
        <v>167648.55197074494</v>
      </c>
      <c r="CT39" s="2">
        <v>1338037.3110292549</v>
      </c>
      <c r="CU39" s="11"/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11"/>
      <c r="DF39" s="4">
        <f t="shared" si="16"/>
        <v>629569022.85027027</v>
      </c>
      <c r="DJ39" s="4"/>
    </row>
    <row r="40" spans="1:123" x14ac:dyDescent="0.2">
      <c r="A40" s="98">
        <v>0.13701748003874578</v>
      </c>
      <c r="B40" s="98">
        <v>0.20509621345358717</v>
      </c>
      <c r="C40" s="98">
        <v>0.23886328383111974</v>
      </c>
      <c r="D40" s="98">
        <f t="shared" si="15"/>
        <v>0.41902302267654723</v>
      </c>
      <c r="E40" t="s">
        <v>239</v>
      </c>
      <c r="F40" s="2">
        <v>113337.23688289577</v>
      </c>
      <c r="G40" s="2">
        <v>169650.1652300198</v>
      </c>
      <c r="H40" s="2">
        <v>197581.39307874104</v>
      </c>
      <c r="I40" s="2">
        <v>346604.76580834331</v>
      </c>
      <c r="J40" s="101">
        <v>2295.174</v>
      </c>
      <c r="K40" s="4">
        <v>0</v>
      </c>
      <c r="L40" s="4">
        <v>0</v>
      </c>
      <c r="M40" s="4">
        <v>0</v>
      </c>
      <c r="N40" s="18">
        <v>0</v>
      </c>
      <c r="O40" s="4">
        <v>0</v>
      </c>
      <c r="P40" s="4">
        <v>0</v>
      </c>
      <c r="Q40" s="4">
        <v>0</v>
      </c>
      <c r="R40" s="18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19"/>
      <c r="AB40" s="2">
        <f>+'HLF-Demand_kVAR'!D10</f>
        <v>100641479.23999999</v>
      </c>
      <c r="AC40" s="2">
        <v>75970941.519999996</v>
      </c>
      <c r="AD40" s="90">
        <f>+'HLF-Demand_kVAR'!P10</f>
        <v>8922888</v>
      </c>
      <c r="AE40" s="89">
        <v>0</v>
      </c>
      <c r="AF40" s="2">
        <v>138272301.16</v>
      </c>
      <c r="AG40" s="2">
        <v>89431987.969999984</v>
      </c>
      <c r="AH40" s="2">
        <v>115467338.58600003</v>
      </c>
      <c r="AI40" s="19"/>
      <c r="AJ40" s="2">
        <v>558.06323160987642</v>
      </c>
      <c r="AK40" s="2">
        <v>1164.4803574405757</v>
      </c>
      <c r="AL40" s="2">
        <v>2333.0907303706258</v>
      </c>
      <c r="AM40" s="2">
        <v>637016.99656371726</v>
      </c>
      <c r="AN40" s="2">
        <v>258895.58533572996</v>
      </c>
      <c r="AO40" s="2">
        <v>262713.00005503389</v>
      </c>
      <c r="AP40" s="2">
        <v>6067.968127705617</v>
      </c>
      <c r="AQ40" s="2">
        <v>14158.592297979771</v>
      </c>
      <c r="AR40" s="2">
        <v>30339.840638528083</v>
      </c>
      <c r="AS40" s="2">
        <v>14595486.003174577</v>
      </c>
      <c r="AT40" s="2">
        <v>2368666.2954360773</v>
      </c>
      <c r="AU40" s="2">
        <v>1114865.9453251325</v>
      </c>
      <c r="AV40" s="2">
        <v>44486.839690745932</v>
      </c>
      <c r="AW40" s="2">
        <v>101709.76099428177</v>
      </c>
      <c r="AX40" s="2">
        <v>203651.57034927493</v>
      </c>
      <c r="AY40" s="2">
        <v>22897531.462555215</v>
      </c>
      <c r="AZ40" s="2">
        <v>20986678.635423221</v>
      </c>
      <c r="BA40" s="2">
        <v>1841570.5467477872</v>
      </c>
      <c r="BB40" s="2">
        <v>2025382.2492742392</v>
      </c>
      <c r="BC40" s="2">
        <v>3998818.234007848</v>
      </c>
      <c r="BD40" s="2">
        <v>6066010.9228764428</v>
      </c>
      <c r="BE40" s="2">
        <v>38245368.128979519</v>
      </c>
      <c r="BF40" s="2">
        <v>21088626.254759338</v>
      </c>
      <c r="BG40" s="2">
        <v>15453183.902769318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88">
        <v>0</v>
      </c>
      <c r="BN40" s="75">
        <v>0</v>
      </c>
      <c r="BO40" s="75">
        <v>0</v>
      </c>
      <c r="BP40" s="75">
        <v>0</v>
      </c>
      <c r="BQ40" s="75">
        <v>0</v>
      </c>
      <c r="BR40" s="75">
        <v>0</v>
      </c>
      <c r="BS40" s="75">
        <v>0</v>
      </c>
      <c r="BT40" s="112">
        <v>300</v>
      </c>
      <c r="BU40" s="112">
        <v>61</v>
      </c>
      <c r="BV40" s="112">
        <v>0</v>
      </c>
      <c r="BW40" s="112">
        <v>361</v>
      </c>
      <c r="BX40" s="111"/>
      <c r="BY40" s="111"/>
      <c r="BZ40" s="19"/>
      <c r="CA40" s="33">
        <v>0</v>
      </c>
      <c r="CB40" s="33">
        <v>0</v>
      </c>
      <c r="CC40" s="33">
        <v>0</v>
      </c>
      <c r="CD40" s="33">
        <v>0</v>
      </c>
      <c r="CE40" s="33">
        <v>0</v>
      </c>
      <c r="CF40" s="33">
        <v>0</v>
      </c>
      <c r="CG40" s="33">
        <v>0</v>
      </c>
      <c r="CH40" s="33">
        <v>0</v>
      </c>
      <c r="CI40" s="106">
        <v>0</v>
      </c>
      <c r="CJ40" s="33">
        <v>0</v>
      </c>
      <c r="CK40" s="19"/>
      <c r="CL40" s="4">
        <v>0</v>
      </c>
      <c r="CM40" s="4">
        <v>0</v>
      </c>
      <c r="CN40" s="4">
        <v>0</v>
      </c>
      <c r="CO40" s="26">
        <v>0</v>
      </c>
      <c r="CP40" s="4">
        <v>0</v>
      </c>
      <c r="CQ40" s="4">
        <v>0</v>
      </c>
      <c r="CR40" s="19"/>
      <c r="CS40" s="2">
        <v>142475.24632259677</v>
      </c>
      <c r="CT40" s="2">
        <v>1137124.0206774035</v>
      </c>
      <c r="CU40" s="11"/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11"/>
      <c r="DF40" s="4">
        <f t="shared" si="16"/>
        <v>683062010.84770119</v>
      </c>
      <c r="DJ40" s="4"/>
    </row>
    <row r="41" spans="1:123" x14ac:dyDescent="0.2">
      <c r="A41" s="98">
        <v>0.15002507283990604</v>
      </c>
      <c r="B41" s="98">
        <v>0.2176604019227141</v>
      </c>
      <c r="C41" s="98">
        <v>0.24315597679002246</v>
      </c>
      <c r="D41" s="98">
        <f t="shared" si="15"/>
        <v>0.38915854844735742</v>
      </c>
      <c r="E41" t="s">
        <v>240</v>
      </c>
      <c r="F41" s="2">
        <v>31704.702777235801</v>
      </c>
      <c r="G41" s="2">
        <v>45998.033653330342</v>
      </c>
      <c r="H41" s="2">
        <v>51385.997198366276</v>
      </c>
      <c r="I41" s="2">
        <v>82240.627371067589</v>
      </c>
      <c r="J41" s="101">
        <v>3021.0709999999999</v>
      </c>
      <c r="K41" s="4">
        <v>0</v>
      </c>
      <c r="L41" s="4">
        <v>0</v>
      </c>
      <c r="M41" s="4">
        <v>0</v>
      </c>
      <c r="N41" s="18">
        <v>0</v>
      </c>
      <c r="O41" s="4">
        <v>0</v>
      </c>
      <c r="P41" s="4">
        <v>0</v>
      </c>
      <c r="Q41" s="4">
        <v>0</v>
      </c>
      <c r="R41" s="18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19"/>
      <c r="AB41" s="2">
        <f>+'HLF-Demand_kVAR'!D11</f>
        <v>107191188.824</v>
      </c>
      <c r="AC41" s="2">
        <v>84187252.520999998</v>
      </c>
      <c r="AD41" s="90">
        <f>+'HLF-Demand_kVAR'!P11</f>
        <v>7973712</v>
      </c>
      <c r="AE41" s="89">
        <v>0</v>
      </c>
      <c r="AF41" s="2">
        <v>153670435.24000001</v>
      </c>
      <c r="AG41" s="2">
        <v>87524331.209999993</v>
      </c>
      <c r="AH41" s="2">
        <v>116679526.81899996</v>
      </c>
      <c r="AI41" s="19"/>
      <c r="AJ41" s="2">
        <v>4989.9062057283481</v>
      </c>
      <c r="AK41" s="2">
        <v>10412.167354726438</v>
      </c>
      <c r="AL41" s="2">
        <v>20861.263123212066</v>
      </c>
      <c r="AM41" s="2">
        <v>5695869.0059871553</v>
      </c>
      <c r="AN41" s="2">
        <v>2314907.3702198896</v>
      </c>
      <c r="AO41" s="2">
        <v>2349040.6732557174</v>
      </c>
      <c r="AP41" s="2">
        <v>6342.5206985752548</v>
      </c>
      <c r="AQ41" s="2">
        <v>14799.214963342258</v>
      </c>
      <c r="AR41" s="2">
        <v>31712.603492876267</v>
      </c>
      <c r="AS41" s="2">
        <v>15255876.453639677</v>
      </c>
      <c r="AT41" s="2">
        <v>2475839.4722322668</v>
      </c>
      <c r="AU41" s="2">
        <v>1165309.4059732622</v>
      </c>
      <c r="AV41" s="2">
        <v>41974.338911111619</v>
      </c>
      <c r="AW41" s="2">
        <v>95965.458733860447</v>
      </c>
      <c r="AX41" s="2">
        <v>192149.86034170288</v>
      </c>
      <c r="AY41" s="2">
        <v>21604338.553117357</v>
      </c>
      <c r="AZ41" s="2">
        <v>19801405.714263029</v>
      </c>
      <c r="BA41" s="2">
        <v>1737563.4411268882</v>
      </c>
      <c r="BB41" s="2">
        <v>1910967.6060140345</v>
      </c>
      <c r="BC41" s="2">
        <v>3772923.4124894133</v>
      </c>
      <c r="BD41" s="2">
        <v>5723339.5698505584</v>
      </c>
      <c r="BE41" s="2">
        <v>36084872.176968291</v>
      </c>
      <c r="BF41" s="2">
        <v>19897321.427904714</v>
      </c>
      <c r="BG41" s="2">
        <v>14580227.440302419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88">
        <v>0</v>
      </c>
      <c r="BN41" s="75">
        <v>0</v>
      </c>
      <c r="BO41" s="75">
        <v>0</v>
      </c>
      <c r="BP41" s="75">
        <v>0</v>
      </c>
      <c r="BQ41" s="75">
        <v>0</v>
      </c>
      <c r="BR41" s="75">
        <v>0</v>
      </c>
      <c r="BS41" s="75">
        <v>0</v>
      </c>
      <c r="BT41" s="112">
        <v>600</v>
      </c>
      <c r="BU41" s="112">
        <v>1400</v>
      </c>
      <c r="BV41" s="112">
        <v>3000</v>
      </c>
      <c r="BW41" s="112">
        <f>408172-BV41-BU41-BT41</f>
        <v>403172</v>
      </c>
      <c r="BX41" s="111"/>
      <c r="BY41" s="111"/>
      <c r="BZ41" s="19"/>
      <c r="CA41" s="33">
        <v>0</v>
      </c>
      <c r="CB41" s="33">
        <v>0</v>
      </c>
      <c r="CC41" s="33">
        <v>0</v>
      </c>
      <c r="CD41" s="33">
        <v>0</v>
      </c>
      <c r="CE41" s="33">
        <v>0</v>
      </c>
      <c r="CF41" s="33">
        <v>0</v>
      </c>
      <c r="CG41" s="33">
        <v>0</v>
      </c>
      <c r="CH41" s="33">
        <v>0</v>
      </c>
      <c r="CI41" s="106">
        <v>0</v>
      </c>
      <c r="CJ41" s="33">
        <v>0</v>
      </c>
      <c r="CK41" s="19"/>
      <c r="CL41" s="4">
        <v>0</v>
      </c>
      <c r="CM41" s="4">
        <v>0</v>
      </c>
      <c r="CN41" s="4">
        <v>0</v>
      </c>
      <c r="CO41" s="26">
        <v>0</v>
      </c>
      <c r="CP41" s="4">
        <v>0</v>
      </c>
      <c r="CQ41" s="4">
        <v>0</v>
      </c>
      <c r="CR41" s="19"/>
      <c r="CS41" s="2">
        <v>166563.16699484966</v>
      </c>
      <c r="CT41" s="2">
        <v>1329374.6320051504</v>
      </c>
      <c r="CU41" s="11"/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11"/>
      <c r="DF41" s="4">
        <f t="shared" si="16"/>
        <v>714133915.9021697</v>
      </c>
      <c r="DJ41" s="4"/>
    </row>
    <row r="42" spans="1:123" x14ac:dyDescent="0.2">
      <c r="A42" s="98">
        <v>0.19081956546816201</v>
      </c>
      <c r="B42" s="98">
        <v>0.2440120057017035</v>
      </c>
      <c r="C42" s="98">
        <v>0.23663568555929529</v>
      </c>
      <c r="D42" s="98">
        <f t="shared" si="15"/>
        <v>0.32853274327083914</v>
      </c>
      <c r="E42" t="s">
        <v>241</v>
      </c>
      <c r="F42" s="2">
        <v>32845.189804360052</v>
      </c>
      <c r="G42" s="2">
        <v>42001.042304816838</v>
      </c>
      <c r="H42" s="2">
        <v>40731.378816480545</v>
      </c>
      <c r="I42" s="2">
        <v>56549.33907434257</v>
      </c>
      <c r="J42" s="101">
        <v>2462.3270000000002</v>
      </c>
      <c r="K42" s="4">
        <v>0</v>
      </c>
      <c r="L42" s="4">
        <v>0</v>
      </c>
      <c r="M42" s="4">
        <v>0</v>
      </c>
      <c r="N42" s="18">
        <v>0</v>
      </c>
      <c r="O42" s="4">
        <v>0</v>
      </c>
      <c r="P42" s="4">
        <v>0</v>
      </c>
      <c r="Q42" s="4">
        <v>0</v>
      </c>
      <c r="R42" s="18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19"/>
      <c r="AB42" s="2">
        <f>+'HLF-Demand_kVAR'!D12</f>
        <v>102126152.92</v>
      </c>
      <c r="AC42" s="2">
        <v>73204802.392000005</v>
      </c>
      <c r="AD42" s="90">
        <f>+'HLF-Demand_kVAR'!P12</f>
        <v>8108964</v>
      </c>
      <c r="AE42" s="89">
        <v>0</v>
      </c>
      <c r="AF42" s="2">
        <v>137039000.48000002</v>
      </c>
      <c r="AG42" s="2">
        <v>81198923.570000023</v>
      </c>
      <c r="AH42" s="2">
        <v>104095788.296</v>
      </c>
      <c r="AI42" s="19"/>
      <c r="AJ42" s="2">
        <v>5334.0868445808783</v>
      </c>
      <c r="AK42" s="2">
        <v>11130.35047565869</v>
      </c>
      <c r="AL42" s="2">
        <v>22300.176516168282</v>
      </c>
      <c r="AM42" s="2">
        <v>6088743.6918981764</v>
      </c>
      <c r="AN42" s="2">
        <v>2474578.9681854094</v>
      </c>
      <c r="AO42" s="2">
        <v>2511066.6285098637</v>
      </c>
      <c r="AP42" s="2">
        <v>6457.9887016102712</v>
      </c>
      <c r="AQ42" s="2">
        <v>15068.640303757296</v>
      </c>
      <c r="AR42" s="2">
        <v>32289.94350805135</v>
      </c>
      <c r="AS42" s="2">
        <v>15533615.490273237</v>
      </c>
      <c r="AT42" s="2">
        <v>2520913.0720327604</v>
      </c>
      <c r="AU42" s="2">
        <v>1186524.3071805818</v>
      </c>
      <c r="AV42" s="2">
        <v>39293.79027413117</v>
      </c>
      <c r="AW42" s="2">
        <v>89836.950548156659</v>
      </c>
      <c r="AX42" s="2">
        <v>179878.86192703617</v>
      </c>
      <c r="AY42" s="2">
        <v>20224650.825716551</v>
      </c>
      <c r="AZ42" s="2">
        <v>18536856.171027377</v>
      </c>
      <c r="BA42" s="2">
        <v>1626599.8515956008</v>
      </c>
      <c r="BB42" s="2">
        <v>1765182.691205204</v>
      </c>
      <c r="BC42" s="2">
        <v>3485092.6211463334</v>
      </c>
      <c r="BD42" s="2">
        <v>5286714.3915969906</v>
      </c>
      <c r="BE42" s="2">
        <v>33332010.223866079</v>
      </c>
      <c r="BF42" s="2">
        <v>18379383.970376875</v>
      </c>
      <c r="BG42" s="2">
        <v>13467923.281619444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88">
        <v>0</v>
      </c>
      <c r="BN42" s="75">
        <v>0</v>
      </c>
      <c r="BO42" s="75">
        <v>0</v>
      </c>
      <c r="BP42" s="75">
        <v>0</v>
      </c>
      <c r="BQ42" s="75">
        <v>0</v>
      </c>
      <c r="BR42" s="75">
        <v>0</v>
      </c>
      <c r="BS42" s="75">
        <v>0</v>
      </c>
      <c r="BT42" s="112">
        <v>600</v>
      </c>
      <c r="BU42" s="112">
        <v>1400</v>
      </c>
      <c r="BV42" s="112">
        <v>3000</v>
      </c>
      <c r="BW42" s="112">
        <f>355548-BV42-BU42-BT42</f>
        <v>350548</v>
      </c>
      <c r="BX42" s="111"/>
      <c r="BY42" s="111"/>
      <c r="BZ42" s="19"/>
      <c r="CA42" s="33">
        <v>0</v>
      </c>
      <c r="CB42" s="33">
        <v>0</v>
      </c>
      <c r="CC42" s="33">
        <v>0</v>
      </c>
      <c r="CD42" s="33">
        <v>0</v>
      </c>
      <c r="CE42" s="33">
        <v>0</v>
      </c>
      <c r="CF42" s="33">
        <v>0</v>
      </c>
      <c r="CG42" s="33">
        <v>0</v>
      </c>
      <c r="CH42" s="33">
        <v>0</v>
      </c>
      <c r="CI42" s="106">
        <v>0</v>
      </c>
      <c r="CJ42" s="33">
        <v>0</v>
      </c>
      <c r="CK42" s="19"/>
      <c r="CL42" s="4">
        <v>0</v>
      </c>
      <c r="CM42" s="4">
        <v>0</v>
      </c>
      <c r="CN42" s="4">
        <v>0</v>
      </c>
      <c r="CO42" s="26">
        <v>0</v>
      </c>
      <c r="CP42" s="4">
        <v>0</v>
      </c>
      <c r="CQ42" s="4">
        <v>0</v>
      </c>
      <c r="CR42" s="19"/>
      <c r="CS42" s="2">
        <v>155150.46566746061</v>
      </c>
      <c r="CT42" s="2">
        <v>1238287.5333325393</v>
      </c>
      <c r="CU42" s="11"/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11"/>
      <c r="DF42" s="4">
        <f t="shared" si="16"/>
        <v>654518653.90932989</v>
      </c>
      <c r="DJ42" s="4"/>
    </row>
    <row r="43" spans="1:123" x14ac:dyDescent="0.2">
      <c r="A43" s="98">
        <v>0.16771612679591291</v>
      </c>
      <c r="B43" s="98">
        <v>0.23546594128583381</v>
      </c>
      <c r="C43" s="98">
        <v>0.24613004614727749</v>
      </c>
      <c r="D43" s="98">
        <f t="shared" si="15"/>
        <v>0.35068788577097587</v>
      </c>
      <c r="E43" t="s">
        <v>242</v>
      </c>
      <c r="F43" s="2">
        <v>30231.521000528308</v>
      </c>
      <c r="G43" s="2">
        <v>42443.703446324289</v>
      </c>
      <c r="H43" s="2">
        <v>44365.952166406387</v>
      </c>
      <c r="I43" s="2">
        <v>63212.932386741035</v>
      </c>
      <c r="J43" s="101">
        <v>2498.5230000000001</v>
      </c>
      <c r="K43" s="4">
        <v>0</v>
      </c>
      <c r="L43" s="4">
        <v>0</v>
      </c>
      <c r="M43" s="4">
        <v>0</v>
      </c>
      <c r="N43" s="18">
        <v>0</v>
      </c>
      <c r="O43" s="4">
        <v>0</v>
      </c>
      <c r="P43" s="4">
        <v>0</v>
      </c>
      <c r="Q43" s="4">
        <v>0</v>
      </c>
      <c r="R43" s="18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19"/>
      <c r="AB43" s="2">
        <f>+'HLF-Demand_kVAR'!D13</f>
        <v>103607259.016</v>
      </c>
      <c r="AC43" s="2">
        <v>75217412.606000006</v>
      </c>
      <c r="AD43" s="90">
        <f>+'HLF-Demand_kVAR'!P13</f>
        <v>7943148</v>
      </c>
      <c r="AE43" s="89">
        <v>0</v>
      </c>
      <c r="AF43" s="2">
        <v>118486420.03999999</v>
      </c>
      <c r="AG43" s="2">
        <v>78554495.379999995</v>
      </c>
      <c r="AH43" s="2">
        <v>100932789.67700005</v>
      </c>
      <c r="AI43" s="19"/>
      <c r="AJ43" s="2">
        <v>5253.6891922798641</v>
      </c>
      <c r="AK43" s="2">
        <v>10962.589043645345</v>
      </c>
      <c r="AL43" s="2">
        <v>21964.058659440921</v>
      </c>
      <c r="AM43" s="2">
        <v>5996971.5268483059</v>
      </c>
      <c r="AN43" s="2">
        <v>2437281.0491090273</v>
      </c>
      <c r="AO43" s="2">
        <v>2473218.7517155972</v>
      </c>
      <c r="AP43" s="2">
        <v>6010.5087950584521</v>
      </c>
      <c r="AQ43" s="2">
        <v>14024.520521803053</v>
      </c>
      <c r="AR43" s="2">
        <v>30052.543975292258</v>
      </c>
      <c r="AS43" s="2">
        <v>14457277.155047262</v>
      </c>
      <c r="AT43" s="2">
        <v>2346236.7141107959</v>
      </c>
      <c r="AU43" s="2">
        <v>1104308.9595497877</v>
      </c>
      <c r="AV43" s="2">
        <v>38777.873376252326</v>
      </c>
      <c r="AW43" s="2">
        <v>88657.415549920217</v>
      </c>
      <c r="AX43" s="2">
        <v>177517.10084998197</v>
      </c>
      <c r="AY43" s="2">
        <v>19959106.599977762</v>
      </c>
      <c r="AZ43" s="2">
        <v>18293472.235157013</v>
      </c>
      <c r="BA43" s="2">
        <v>1605243.0330329011</v>
      </c>
      <c r="BB43" s="2">
        <v>1749458.5577433109</v>
      </c>
      <c r="BC43" s="2">
        <v>3454047.6410573046</v>
      </c>
      <c r="BD43" s="2">
        <v>5239620.6810804745</v>
      </c>
      <c r="BE43" s="2">
        <v>33035090.828539688</v>
      </c>
      <c r="BF43" s="2">
        <v>18215661.604449831</v>
      </c>
      <c r="BG43" s="2">
        <v>13347951.89044852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88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112">
        <v>600</v>
      </c>
      <c r="BU43" s="112">
        <v>1400</v>
      </c>
      <c r="BV43" s="112">
        <v>3000</v>
      </c>
      <c r="BW43" s="112">
        <f>374006-BV42-BU42-BT42</f>
        <v>369006</v>
      </c>
      <c r="BX43" s="111"/>
      <c r="BY43" s="111"/>
      <c r="BZ43" s="19"/>
      <c r="CA43" s="33">
        <v>0</v>
      </c>
      <c r="CB43" s="33">
        <v>0</v>
      </c>
      <c r="CC43" s="33">
        <v>0</v>
      </c>
      <c r="CD43" s="33">
        <v>0</v>
      </c>
      <c r="CE43" s="33">
        <v>0</v>
      </c>
      <c r="CF43" s="33">
        <v>0</v>
      </c>
      <c r="CG43" s="33">
        <v>0</v>
      </c>
      <c r="CH43" s="33">
        <v>0</v>
      </c>
      <c r="CI43" s="106">
        <v>0</v>
      </c>
      <c r="CJ43" s="33">
        <v>0</v>
      </c>
      <c r="CK43" s="19"/>
      <c r="CL43" s="4">
        <v>0</v>
      </c>
      <c r="CM43" s="4">
        <v>0</v>
      </c>
      <c r="CN43" s="4">
        <v>0</v>
      </c>
      <c r="CO43" s="26">
        <v>0</v>
      </c>
      <c r="CP43" s="4">
        <v>0</v>
      </c>
      <c r="CQ43" s="4">
        <v>0</v>
      </c>
      <c r="CR43" s="19"/>
      <c r="CS43" s="2">
        <v>149249.24146791053</v>
      </c>
      <c r="CT43" s="2">
        <v>1191188.6585320896</v>
      </c>
      <c r="CU43" s="11"/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11"/>
      <c r="DF43" s="4">
        <f t="shared" si="16"/>
        <v>630746888.77883148</v>
      </c>
      <c r="DJ43" s="4"/>
    </row>
    <row r="44" spans="1:123" x14ac:dyDescent="0.2">
      <c r="A44" s="98">
        <v>0.16771612679591291</v>
      </c>
      <c r="B44" s="98">
        <v>0.22458057288319183</v>
      </c>
      <c r="C44" s="98">
        <v>0.24556472785534372</v>
      </c>
      <c r="D44" s="98">
        <f>1-A44-B44-C44</f>
        <v>0.36213857246555164</v>
      </c>
      <c r="E44" t="s">
        <v>243</v>
      </c>
      <c r="F44" s="2">
        <v>34399.185241369116</v>
      </c>
      <c r="G44" s="2">
        <v>46062.289153758196</v>
      </c>
      <c r="H44" s="2">
        <v>50366.215364140015</v>
      </c>
      <c r="I44" s="2">
        <v>74275.933240732687</v>
      </c>
      <c r="J44" s="101">
        <v>3054.3670000000002</v>
      </c>
      <c r="K44" s="4">
        <v>0</v>
      </c>
      <c r="L44" s="4">
        <v>0</v>
      </c>
      <c r="M44" s="4">
        <v>0</v>
      </c>
      <c r="N44" s="18">
        <v>0</v>
      </c>
      <c r="O44" s="4">
        <v>0</v>
      </c>
      <c r="P44" s="4">
        <v>0</v>
      </c>
      <c r="Q44" s="4">
        <v>0</v>
      </c>
      <c r="R44" s="18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19"/>
      <c r="AB44" s="2">
        <f>+'HLF-Demand_kVAR'!D14</f>
        <v>101255756.624</v>
      </c>
      <c r="AC44" s="2">
        <v>76328278.766000003</v>
      </c>
      <c r="AD44" s="90">
        <f>+'HLF-Demand_kVAR'!P14</f>
        <v>7266852</v>
      </c>
      <c r="AE44" s="89">
        <v>0</v>
      </c>
      <c r="AF44" s="2">
        <v>117811306.76000001</v>
      </c>
      <c r="AG44" s="2">
        <v>73789492.529999986</v>
      </c>
      <c r="AH44" s="2">
        <v>98128778.220999986</v>
      </c>
      <c r="AI44" s="19"/>
      <c r="AJ44" s="2">
        <v>5259.7499589726931</v>
      </c>
      <c r="AK44" s="2">
        <v>10975.235717651211</v>
      </c>
      <c r="AL44" s="2">
        <v>21989.396860900972</v>
      </c>
      <c r="AM44" s="2">
        <v>6003889.7597238207</v>
      </c>
      <c r="AN44" s="2">
        <v>2440092.7479482377</v>
      </c>
      <c r="AO44" s="2">
        <v>2476071.9090467361</v>
      </c>
      <c r="AP44" s="2">
        <v>6346.283648292595</v>
      </c>
      <c r="AQ44" s="2">
        <v>14807.995179349387</v>
      </c>
      <c r="AR44" s="2">
        <v>31731.418241462972</v>
      </c>
      <c r="AS44" s="2">
        <v>15264927.602026455</v>
      </c>
      <c r="AT44" s="2">
        <v>2477308.3613198986</v>
      </c>
      <c r="AU44" s="2">
        <v>1166000.7715845413</v>
      </c>
      <c r="AV44" s="2">
        <v>38324.622203751904</v>
      </c>
      <c r="AW44" s="2">
        <v>87621.152494466849</v>
      </c>
      <c r="AX44" s="2">
        <v>175442.21052996756</v>
      </c>
      <c r="AY44" s="2">
        <v>19725816.64153355</v>
      </c>
      <c r="AZ44" s="2">
        <v>18079650.872153472</v>
      </c>
      <c r="BA44" s="2">
        <v>1586480.3154436518</v>
      </c>
      <c r="BB44" s="2">
        <v>1695533.7749516105</v>
      </c>
      <c r="BC44" s="2">
        <v>3347581.1186170918</v>
      </c>
      <c r="BD44" s="2">
        <v>5078116.1939421045</v>
      </c>
      <c r="BE44" s="2">
        <v>32016827.155160077</v>
      </c>
      <c r="BF44" s="2">
        <v>17654187.546616673</v>
      </c>
      <c r="BG44" s="2">
        <v>12936518.648305889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88">
        <v>0</v>
      </c>
      <c r="BN44" s="75">
        <v>0</v>
      </c>
      <c r="BO44" s="75">
        <v>0</v>
      </c>
      <c r="BP44" s="75">
        <v>0</v>
      </c>
      <c r="BQ44" s="75">
        <v>0</v>
      </c>
      <c r="BR44" s="75">
        <v>0</v>
      </c>
      <c r="BS44" s="75">
        <v>0</v>
      </c>
      <c r="BT44" s="112">
        <v>600</v>
      </c>
      <c r="BU44" s="112">
        <v>1400</v>
      </c>
      <c r="BV44" s="112">
        <v>3000</v>
      </c>
      <c r="BW44" s="112">
        <f>387618-BV44-BU44-BT44</f>
        <v>382618</v>
      </c>
      <c r="BX44" s="111"/>
      <c r="BY44" s="111"/>
      <c r="BZ44" s="19"/>
      <c r="CA44" s="33">
        <v>0</v>
      </c>
      <c r="CB44" s="33">
        <v>0</v>
      </c>
      <c r="CC44" s="33">
        <v>0</v>
      </c>
      <c r="CD44" s="33">
        <v>0</v>
      </c>
      <c r="CE44" s="33">
        <v>0</v>
      </c>
      <c r="CF44" s="33">
        <v>0</v>
      </c>
      <c r="CG44" s="33">
        <v>0</v>
      </c>
      <c r="CH44" s="33">
        <v>0</v>
      </c>
      <c r="CI44" s="106">
        <v>0</v>
      </c>
      <c r="CJ44" s="33">
        <v>0</v>
      </c>
      <c r="CK44" s="19"/>
      <c r="CL44" s="4">
        <v>0</v>
      </c>
      <c r="CM44" s="4">
        <v>0</v>
      </c>
      <c r="CN44" s="4">
        <v>0</v>
      </c>
      <c r="CO44" s="26">
        <v>0</v>
      </c>
      <c r="CP44" s="4">
        <v>0</v>
      </c>
      <c r="CQ44" s="4">
        <v>0</v>
      </c>
      <c r="CR44" s="19"/>
      <c r="CS44" s="2">
        <v>169636.92778239353</v>
      </c>
      <c r="CT44" s="2">
        <v>1353906.9442176057</v>
      </c>
      <c r="CU44" s="11"/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11"/>
      <c r="DF44" s="4">
        <f t="shared" si="16"/>
        <v>619041286.24620855</v>
      </c>
      <c r="DG44" s="2">
        <f>SUM(DF33:DF44)</f>
        <v>7695646567.1612892</v>
      </c>
      <c r="DH44" s="2">
        <f>+'DEI Sales by Revenue'!E15</f>
        <v>9250045215.7039986</v>
      </c>
      <c r="DI44" s="3">
        <f>+DH44-DG44</f>
        <v>1554398648.5427094</v>
      </c>
    </row>
    <row r="45" spans="1:123" x14ac:dyDescent="0.2">
      <c r="A45" s="8"/>
      <c r="B45" s="8"/>
      <c r="C45" s="8"/>
      <c r="D45" s="8"/>
      <c r="E45" s="11"/>
      <c r="F45" s="11"/>
      <c r="G45" s="11"/>
      <c r="H45" s="11"/>
      <c r="I45" s="14"/>
      <c r="J45" s="16"/>
      <c r="K45" s="11"/>
      <c r="L45" s="11"/>
      <c r="M45" s="11"/>
      <c r="N45" s="14"/>
      <c r="O45" s="11"/>
      <c r="P45" s="11"/>
      <c r="Q45" s="11"/>
      <c r="R45" s="14"/>
      <c r="S45" s="11"/>
      <c r="T45" s="11"/>
      <c r="U45" s="11"/>
      <c r="V45" s="14"/>
      <c r="W45" s="11"/>
      <c r="X45" s="11"/>
      <c r="Y45" s="11"/>
      <c r="Z45" s="11"/>
      <c r="AA45" s="11"/>
      <c r="AB45" s="11"/>
      <c r="AC45" s="11"/>
      <c r="AD45" s="27"/>
      <c r="AE45" s="14"/>
      <c r="AF45" s="11"/>
      <c r="AG45" s="11"/>
      <c r="AH45" s="11"/>
      <c r="AI45" s="11"/>
      <c r="AJ45" s="92"/>
      <c r="AK45" s="92"/>
      <c r="AL45" s="92"/>
      <c r="AM45" s="92"/>
      <c r="AN45" s="92"/>
      <c r="AO45" s="94"/>
      <c r="AP45" s="92"/>
      <c r="AQ45" s="92"/>
      <c r="AR45" s="92"/>
      <c r="AS45" s="92"/>
      <c r="AT45" s="92"/>
      <c r="AU45" s="94"/>
      <c r="AV45" s="92"/>
      <c r="AW45" s="92"/>
      <c r="AX45" s="92"/>
      <c r="AY45" s="92"/>
      <c r="AZ45" s="92"/>
      <c r="BA45" s="94"/>
      <c r="BB45" s="92"/>
      <c r="BC45" s="92"/>
      <c r="BD45" s="92"/>
      <c r="BE45" s="92"/>
      <c r="BF45" s="92"/>
      <c r="BG45" s="94"/>
      <c r="BH45" s="92"/>
      <c r="BI45" s="92"/>
      <c r="BJ45" s="92"/>
      <c r="BK45" s="92"/>
      <c r="BL45" s="92"/>
      <c r="BM45" s="94"/>
      <c r="BN45" s="11"/>
      <c r="BO45" s="11"/>
      <c r="BP45" s="11"/>
      <c r="BQ45" s="11"/>
      <c r="BR45" s="11"/>
      <c r="BS45" s="14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4"/>
      <c r="CO45" s="27"/>
      <c r="CP45" s="11"/>
      <c r="CQ45" s="14"/>
      <c r="CR45" s="11"/>
      <c r="CS45" s="92"/>
      <c r="CT45" s="92"/>
      <c r="CU45" s="11"/>
      <c r="CV45" s="11"/>
      <c r="CW45" s="11"/>
      <c r="CX45" s="11"/>
      <c r="CY45" s="11"/>
      <c r="CZ45" s="11"/>
      <c r="DA45" s="11"/>
      <c r="DB45" s="92"/>
      <c r="DC45" s="11"/>
      <c r="DD45" s="92"/>
      <c r="DE45" s="11"/>
      <c r="DI45" s="103">
        <f>+DI44/DH44</f>
        <v>0.16804227571815256</v>
      </c>
      <c r="DJ45" s="4"/>
    </row>
    <row r="46" spans="1:123" x14ac:dyDescent="0.2">
      <c r="E46" t="s">
        <v>30</v>
      </c>
      <c r="F46" s="344" t="str">
        <f>F31</f>
        <v>CSN0</v>
      </c>
      <c r="G46" s="344"/>
      <c r="H46" s="344"/>
      <c r="I46" s="345"/>
      <c r="J46" s="15" t="str">
        <f>J31</f>
        <v>CSN2</v>
      </c>
      <c r="K46" s="343" t="str">
        <f>K31</f>
        <v>CSN7</v>
      </c>
      <c r="L46" s="344"/>
      <c r="M46" s="344"/>
      <c r="N46" s="345"/>
      <c r="O46" s="343" t="str">
        <f>O31</f>
        <v>CSN8</v>
      </c>
      <c r="P46" s="344"/>
      <c r="Q46" s="344"/>
      <c r="R46" s="345"/>
      <c r="S46" s="343" t="str">
        <f>S31</f>
        <v>CSN9</v>
      </c>
      <c r="T46" s="344"/>
      <c r="U46" s="344"/>
      <c r="V46" s="345"/>
      <c r="W46" s="343" t="str">
        <f>W31</f>
        <v>SFOC</v>
      </c>
      <c r="X46" s="344"/>
      <c r="Y46" s="344"/>
      <c r="Z46" s="344"/>
      <c r="AA46" s="11"/>
      <c r="AB46" t="str">
        <f t="shared" ref="AB46:AH46" si="18">AB31</f>
        <v>HBN0</v>
      </c>
      <c r="AC46" t="str">
        <f t="shared" si="18"/>
        <v>HCN0</v>
      </c>
      <c r="AD46" s="25" t="str">
        <f t="shared" si="18"/>
        <v>HCN3</v>
      </c>
      <c r="AE46" s="13" t="str">
        <f t="shared" si="18"/>
        <v>HSN3</v>
      </c>
      <c r="AF46" t="str">
        <f t="shared" si="18"/>
        <v>HDN0</v>
      </c>
      <c r="AG46" t="str">
        <f t="shared" si="18"/>
        <v>HPN0</v>
      </c>
      <c r="AH46" t="str">
        <f t="shared" si="18"/>
        <v>HSN0</v>
      </c>
      <c r="AI46" s="11"/>
      <c r="AJ46" s="346" t="str">
        <f>AJ31</f>
        <v>LBN0</v>
      </c>
      <c r="AK46" s="347"/>
      <c r="AL46" s="347"/>
      <c r="AM46" s="347"/>
      <c r="AN46" s="347"/>
      <c r="AO46" s="348"/>
      <c r="AP46" s="346" t="str">
        <f>AP31</f>
        <v>LDN0</v>
      </c>
      <c r="AQ46" s="347"/>
      <c r="AR46" s="347"/>
      <c r="AS46" s="347"/>
      <c r="AT46" s="347"/>
      <c r="AU46" s="348"/>
      <c r="AV46" s="346" t="str">
        <f>AV31</f>
        <v>LPN0</v>
      </c>
      <c r="AW46" s="347"/>
      <c r="AX46" s="347"/>
      <c r="AY46" s="347"/>
      <c r="AZ46" s="347"/>
      <c r="BA46" s="348"/>
      <c r="BB46" s="346" t="str">
        <f>BB31</f>
        <v>LSN0</v>
      </c>
      <c r="BC46" s="347"/>
      <c r="BD46" s="347"/>
      <c r="BE46" s="347"/>
      <c r="BF46" s="347"/>
      <c r="BG46" s="348"/>
      <c r="BH46" s="346" t="str">
        <f>BH31</f>
        <v>LSN2</v>
      </c>
      <c r="BI46" s="347"/>
      <c r="BJ46" s="347"/>
      <c r="BK46" s="347"/>
      <c r="BL46" s="347"/>
      <c r="BM46" s="348"/>
      <c r="BN46" s="343" t="str">
        <f>BN31</f>
        <v>LSN3 Current</v>
      </c>
      <c r="BO46" s="344"/>
      <c r="BP46" s="344"/>
      <c r="BQ46" s="344"/>
      <c r="BR46" s="344"/>
      <c r="BS46" s="344"/>
      <c r="BT46" s="349" t="s">
        <v>254</v>
      </c>
      <c r="BU46" s="344"/>
      <c r="BV46" s="344"/>
      <c r="BW46" s="344"/>
      <c r="BX46" s="344"/>
      <c r="BY46" s="344"/>
      <c r="BZ46" s="11"/>
      <c r="CA46" t="str">
        <f>CA31</f>
        <v>NUCF</v>
      </c>
      <c r="CB46" t="str">
        <f t="shared" ref="CB46:CJ46" si="19">CB31</f>
        <v>NUIF</v>
      </c>
      <c r="CC46" t="str">
        <f t="shared" si="19"/>
        <v>NUID</v>
      </c>
      <c r="CD46" t="str">
        <f t="shared" si="19"/>
        <v>NUCS</v>
      </c>
      <c r="CE46" t="str">
        <f t="shared" si="19"/>
        <v>SAES</v>
      </c>
      <c r="CF46" t="str">
        <f t="shared" si="19"/>
        <v>SASN</v>
      </c>
      <c r="CG46" t="str">
        <f t="shared" si="19"/>
        <v>SPUF</v>
      </c>
      <c r="CH46" t="str">
        <f t="shared" si="19"/>
        <v>SPUR</v>
      </c>
      <c r="CI46" t="str">
        <f t="shared" si="19"/>
        <v>SDEH</v>
      </c>
      <c r="CJ46" t="str">
        <f t="shared" si="19"/>
        <v>SDED</v>
      </c>
      <c r="CK46" s="11"/>
      <c r="CL46" s="344" t="str">
        <f t="shared" ref="CL46:CQ47" si="20">CL31</f>
        <v>RSN0</v>
      </c>
      <c r="CM46" s="344"/>
      <c r="CN46" s="345"/>
      <c r="CO46" s="343" t="str">
        <f>CO31</f>
        <v>RSN2</v>
      </c>
      <c r="CP46" s="344"/>
      <c r="CQ46" s="345"/>
      <c r="CR46" s="11"/>
      <c r="CS46" s="2" t="str">
        <f>CS31</f>
        <v xml:space="preserve">SWP </v>
      </c>
      <c r="CU46" s="11"/>
      <c r="CV46" t="str">
        <f t="shared" ref="CV46:DD46" si="21">CV31</f>
        <v>MHLS</v>
      </c>
      <c r="CW46" t="str">
        <f t="shared" si="21"/>
        <v>FS</v>
      </c>
      <c r="CX46" t="str">
        <f t="shared" si="21"/>
        <v>MOLS</v>
      </c>
      <c r="CY46" t="str">
        <f t="shared" si="21"/>
        <v>MS</v>
      </c>
      <c r="CZ46" t="str">
        <f t="shared" si="21"/>
        <v>SL</v>
      </c>
      <c r="DA46" t="str">
        <f t="shared" si="21"/>
        <v>TS</v>
      </c>
      <c r="DB46" s="2" t="str">
        <f t="shared" si="21"/>
        <v>UOLS</v>
      </c>
      <c r="DC46" t="str">
        <f t="shared" si="21"/>
        <v>WHTL</v>
      </c>
      <c r="DD46" s="2" t="str">
        <f t="shared" si="21"/>
        <v>XLED</v>
      </c>
      <c r="DE46" s="11"/>
      <c r="DG46" s="3" t="s">
        <v>8</v>
      </c>
      <c r="DH46" s="3" t="s">
        <v>8</v>
      </c>
      <c r="DI46" s="105" t="s">
        <v>8</v>
      </c>
      <c r="DJ46" s="4"/>
    </row>
    <row r="47" spans="1:123" x14ac:dyDescent="0.2">
      <c r="F47" t="str">
        <f t="shared" ref="F47:Z47" si="22">F32</f>
        <v>First 300</v>
      </c>
      <c r="G47" t="str">
        <f t="shared" si="22"/>
        <v>Next 700</v>
      </c>
      <c r="H47" t="str">
        <f t="shared" si="22"/>
        <v>Next 1500</v>
      </c>
      <c r="I47" s="13" t="str">
        <f t="shared" si="22"/>
        <v>Over 2500</v>
      </c>
      <c r="J47" s="15"/>
      <c r="K47" t="str">
        <f t="shared" si="22"/>
        <v>First 300</v>
      </c>
      <c r="L47" t="str">
        <f t="shared" si="22"/>
        <v>Next 700</v>
      </c>
      <c r="M47" t="str">
        <f t="shared" si="22"/>
        <v>Next 1500</v>
      </c>
      <c r="N47" s="13" t="str">
        <f t="shared" si="22"/>
        <v>Over 2500</v>
      </c>
      <c r="O47" t="str">
        <f t="shared" si="22"/>
        <v>First 300</v>
      </c>
      <c r="P47" t="str">
        <f t="shared" si="22"/>
        <v>Next 700</v>
      </c>
      <c r="Q47" t="str">
        <f t="shared" si="22"/>
        <v>Next 1500</v>
      </c>
      <c r="R47" s="13" t="str">
        <f t="shared" si="22"/>
        <v>Over 2500</v>
      </c>
      <c r="S47" t="str">
        <f t="shared" si="22"/>
        <v>First 300</v>
      </c>
      <c r="T47" t="str">
        <f t="shared" si="22"/>
        <v>Next 700</v>
      </c>
      <c r="U47" t="str">
        <f t="shared" si="22"/>
        <v>Next 1500</v>
      </c>
      <c r="V47" s="13" t="str">
        <f t="shared" si="22"/>
        <v>Over 2500</v>
      </c>
      <c r="W47" t="str">
        <f t="shared" si="22"/>
        <v>First 300</v>
      </c>
      <c r="X47" t="str">
        <f t="shared" si="22"/>
        <v>Next 700</v>
      </c>
      <c r="Y47" t="str">
        <f t="shared" si="22"/>
        <v>Next 1500</v>
      </c>
      <c r="Z47" t="str">
        <f t="shared" si="22"/>
        <v>Over 2500</v>
      </c>
      <c r="AA47" s="11"/>
      <c r="AD47" s="25" t="str">
        <f>AD32</f>
        <v xml:space="preserve"> </v>
      </c>
      <c r="AE47" s="13" t="str">
        <f>AE32</f>
        <v xml:space="preserve"> </v>
      </c>
      <c r="AI47" s="11"/>
      <c r="AJ47" s="2" t="str">
        <f t="shared" ref="AJ47:BS47" si="23">AJ32</f>
        <v>First 300 kWh</v>
      </c>
      <c r="AK47" s="2" t="str">
        <f t="shared" si="23"/>
        <v>Next 700 kWh</v>
      </c>
      <c r="AL47" s="2" t="str">
        <f t="shared" si="23"/>
        <v>Next 1500 kWh</v>
      </c>
      <c r="AM47" s="2" t="str">
        <f t="shared" si="23"/>
        <v>Over 2500 kWh</v>
      </c>
      <c r="AN47" s="2" t="str">
        <f t="shared" si="23"/>
        <v>KWH_NEXT110</v>
      </c>
      <c r="AO47" s="88" t="str">
        <f t="shared" si="23"/>
        <v>KWH_300+</v>
      </c>
      <c r="AP47" s="2" t="str">
        <f t="shared" si="23"/>
        <v>First 300 kWh</v>
      </c>
      <c r="AQ47" s="2" t="str">
        <f t="shared" si="23"/>
        <v>Next 700 kWh</v>
      </c>
      <c r="AR47" s="2" t="str">
        <f t="shared" si="23"/>
        <v>Next 1500 kWh</v>
      </c>
      <c r="AS47" s="2" t="str">
        <f t="shared" si="23"/>
        <v>Over 2500 kWh</v>
      </c>
      <c r="AT47" s="2" t="str">
        <f t="shared" si="23"/>
        <v>KWH_NEXT110</v>
      </c>
      <c r="AU47" s="88" t="str">
        <f t="shared" si="23"/>
        <v>KWH_300+</v>
      </c>
      <c r="AV47" s="2" t="str">
        <f t="shared" si="23"/>
        <v>First 300 kWh</v>
      </c>
      <c r="AW47" s="2" t="str">
        <f t="shared" si="23"/>
        <v>Next 700 kWh</v>
      </c>
      <c r="AX47" s="2" t="str">
        <f t="shared" si="23"/>
        <v>Next 1500 kWh</v>
      </c>
      <c r="AY47" s="2" t="str">
        <f t="shared" si="23"/>
        <v>Over 2500 kWh</v>
      </c>
      <c r="AZ47" s="2" t="str">
        <f t="shared" si="23"/>
        <v>KWH_NEXT110</v>
      </c>
      <c r="BA47" s="88" t="str">
        <f t="shared" si="23"/>
        <v>KWH_300+</v>
      </c>
      <c r="BB47" s="2" t="str">
        <f t="shared" si="23"/>
        <v>First 300 kWh</v>
      </c>
      <c r="BC47" s="2" t="str">
        <f t="shared" si="23"/>
        <v>Next 700 kWh</v>
      </c>
      <c r="BD47" s="2" t="str">
        <f t="shared" si="23"/>
        <v>Next 1500 kWh</v>
      </c>
      <c r="BE47" s="2" t="str">
        <f t="shared" si="23"/>
        <v>Over 2500 kWh</v>
      </c>
      <c r="BF47" s="2" t="str">
        <f t="shared" si="23"/>
        <v>KWH_NEXT110</v>
      </c>
      <c r="BG47" s="88" t="str">
        <f t="shared" si="23"/>
        <v>KWH_300+</v>
      </c>
      <c r="BH47" s="2" t="str">
        <f t="shared" si="23"/>
        <v>First 300 kWh</v>
      </c>
      <c r="BI47" s="2" t="str">
        <f t="shared" si="23"/>
        <v>Next 700 kWh</v>
      </c>
      <c r="BJ47" s="2" t="str">
        <f t="shared" si="23"/>
        <v>Next 1500 kWh</v>
      </c>
      <c r="BK47" s="2" t="str">
        <f t="shared" si="23"/>
        <v>Over 2500 kWh</v>
      </c>
      <c r="BL47" s="2" t="str">
        <f t="shared" si="23"/>
        <v>KWH_NEXT110</v>
      </c>
      <c r="BM47" s="88" t="str">
        <f t="shared" si="23"/>
        <v>KWH_300+</v>
      </c>
      <c r="BN47" t="str">
        <f t="shared" si="23"/>
        <v>First 300 kWh</v>
      </c>
      <c r="BO47" t="str">
        <f t="shared" si="23"/>
        <v>Next 700 kWh</v>
      </c>
      <c r="BP47" t="str">
        <f t="shared" si="23"/>
        <v>Next 1500 kWh</v>
      </c>
      <c r="BQ47" t="str">
        <f t="shared" si="23"/>
        <v>Over 2500 kWh</v>
      </c>
      <c r="BR47" t="str">
        <f t="shared" si="23"/>
        <v>KWH_NEXT110</v>
      </c>
      <c r="BS47" s="13" t="str">
        <f t="shared" si="23"/>
        <v>KWH_300+</v>
      </c>
      <c r="BT47" t="s">
        <v>223</v>
      </c>
      <c r="BU47" t="s">
        <v>224</v>
      </c>
      <c r="BV47" t="s">
        <v>225</v>
      </c>
      <c r="BW47" t="s">
        <v>226</v>
      </c>
      <c r="BX47" t="s">
        <v>227</v>
      </c>
      <c r="BY47" s="13" t="s">
        <v>228</v>
      </c>
      <c r="BZ47" s="11"/>
      <c r="CK47" s="11"/>
      <c r="CL47" t="str">
        <f t="shared" si="20"/>
        <v>First 300 kWh</v>
      </c>
      <c r="CM47" t="str">
        <f t="shared" si="20"/>
        <v>Next 700 kWh</v>
      </c>
      <c r="CN47" s="13" t="str">
        <f t="shared" si="20"/>
        <v>Over 1000 kWh</v>
      </c>
      <c r="CO47" s="25" t="str">
        <f t="shared" si="20"/>
        <v>First 300 kWh</v>
      </c>
      <c r="CP47" t="str">
        <f t="shared" si="20"/>
        <v>Next 700 kWh</v>
      </c>
      <c r="CQ47" s="13" t="str">
        <f t="shared" si="20"/>
        <v>Over 1000 kWh</v>
      </c>
      <c r="CR47" s="11"/>
      <c r="CU47" s="11"/>
      <c r="DB47" s="2"/>
      <c r="DD47" s="2"/>
      <c r="DE47" s="11"/>
      <c r="DJ47" s="4"/>
    </row>
    <row r="48" spans="1:123" x14ac:dyDescent="0.2">
      <c r="A48">
        <v>1</v>
      </c>
      <c r="E48" t="s">
        <v>232</v>
      </c>
      <c r="F48" s="2">
        <v>845165.9540434808</v>
      </c>
      <c r="G48" s="2">
        <v>1228078.912847366</v>
      </c>
      <c r="H48" s="2">
        <v>1342827.0315042031</v>
      </c>
      <c r="I48" s="2">
        <v>2052250.2146049489</v>
      </c>
      <c r="J48" s="2">
        <v>1174.44</v>
      </c>
      <c r="K48" s="4">
        <v>0</v>
      </c>
      <c r="L48" s="4">
        <v>0</v>
      </c>
      <c r="M48" s="4">
        <v>0</v>
      </c>
      <c r="N48" s="18">
        <v>0</v>
      </c>
      <c r="O48" s="4">
        <v>0</v>
      </c>
      <c r="P48" s="4">
        <v>0</v>
      </c>
      <c r="Q48" s="4">
        <v>0</v>
      </c>
      <c r="R48" s="18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19"/>
      <c r="AB48" s="4">
        <v>0</v>
      </c>
      <c r="AC48" s="2">
        <v>6978890</v>
      </c>
      <c r="AD48" s="90">
        <v>0</v>
      </c>
      <c r="AE48" s="89">
        <v>0</v>
      </c>
      <c r="AF48" s="2">
        <v>0</v>
      </c>
      <c r="AG48" s="2">
        <v>28406997.719999999</v>
      </c>
      <c r="AH48" s="2">
        <v>22209249.980999999</v>
      </c>
      <c r="AI48" s="19"/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88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88">
        <v>0</v>
      </c>
      <c r="AV48" s="2">
        <v>3732.278884601335</v>
      </c>
      <c r="AW48" s="2">
        <v>8533.0672161855509</v>
      </c>
      <c r="AX48" s="2">
        <v>17085.602418924205</v>
      </c>
      <c r="AY48" s="2">
        <v>1921016.952008096</v>
      </c>
      <c r="AZ48" s="2">
        <v>1760703.5715148295</v>
      </c>
      <c r="BA48" s="2">
        <v>154500.85719530808</v>
      </c>
      <c r="BB48" s="2">
        <v>1312041.9506816873</v>
      </c>
      <c r="BC48" s="2">
        <v>2590433.1283880817</v>
      </c>
      <c r="BD48" s="2">
        <v>3929559.867999807</v>
      </c>
      <c r="BE48" s="2">
        <v>24775336.814799525</v>
      </c>
      <c r="BF48" s="2">
        <v>13661205.107532792</v>
      </c>
      <c r="BG48" s="2">
        <v>10010567.417235726</v>
      </c>
      <c r="BH48" s="2">
        <v>4520.5716287857886</v>
      </c>
      <c r="BI48" s="2">
        <v>10349.477839411335</v>
      </c>
      <c r="BJ48" s="2">
        <v>21642.778813713358</v>
      </c>
      <c r="BK48" s="2">
        <v>442868.10751967161</v>
      </c>
      <c r="BL48" s="2">
        <v>250830.2666986853</v>
      </c>
      <c r="BM48" s="2">
        <v>267442.87749973254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18">
        <v>0</v>
      </c>
      <c r="BT48" s="4"/>
      <c r="BU48" s="4"/>
      <c r="BV48" s="4"/>
      <c r="BW48" s="4"/>
      <c r="BX48" s="4"/>
      <c r="BY48" s="4"/>
      <c r="BZ48" s="19"/>
      <c r="CA48" s="33">
        <v>0</v>
      </c>
      <c r="CB48" s="33">
        <v>0</v>
      </c>
      <c r="CC48" s="33">
        <v>0</v>
      </c>
      <c r="CD48" s="33">
        <v>0</v>
      </c>
      <c r="CE48" s="33">
        <v>0</v>
      </c>
      <c r="CF48" s="33">
        <v>0</v>
      </c>
      <c r="CG48" s="2">
        <v>0</v>
      </c>
      <c r="CH48" s="4">
        <v>0</v>
      </c>
      <c r="CI48" s="33">
        <v>0</v>
      </c>
      <c r="CJ48" s="33">
        <v>0</v>
      </c>
      <c r="CK48" s="19"/>
      <c r="CL48" s="4">
        <v>0</v>
      </c>
      <c r="CM48" s="4">
        <v>0</v>
      </c>
      <c r="CN48" s="4">
        <v>0</v>
      </c>
      <c r="CO48" s="26">
        <v>0</v>
      </c>
      <c r="CP48" s="4">
        <v>0</v>
      </c>
      <c r="CQ48" s="4">
        <v>0</v>
      </c>
      <c r="CR48" s="19"/>
      <c r="CS48" s="2">
        <v>1258723.9443634127</v>
      </c>
      <c r="CT48" s="2">
        <v>10046132.710636584</v>
      </c>
      <c r="CU48" s="11"/>
      <c r="CV48" s="2">
        <v>0</v>
      </c>
      <c r="CW48" s="2">
        <v>0</v>
      </c>
      <c r="CX48" s="2">
        <v>147349</v>
      </c>
      <c r="CY48" s="2">
        <v>0</v>
      </c>
      <c r="CZ48" s="2">
        <v>0</v>
      </c>
      <c r="DA48" s="2">
        <v>0</v>
      </c>
      <c r="DB48" s="2">
        <v>662228.5120000001</v>
      </c>
      <c r="DC48" s="2">
        <v>0</v>
      </c>
      <c r="DD48" s="2">
        <v>12607.638999999997</v>
      </c>
      <c r="DE48" s="11"/>
      <c r="DF48" s="2">
        <f t="shared" ref="DF48:DF59" si="24">SUM(F48:DD48)</f>
        <v>136334046.75587556</v>
      </c>
      <c r="DJ48" s="4"/>
    </row>
    <row r="49" spans="1:114" x14ac:dyDescent="0.2">
      <c r="A49">
        <v>2</v>
      </c>
      <c r="E49" t="s">
        <v>233</v>
      </c>
      <c r="F49" s="2">
        <v>808997.95711809315</v>
      </c>
      <c r="G49" s="2">
        <v>1153967.6769252173</v>
      </c>
      <c r="H49" s="2">
        <v>1228659.314008771</v>
      </c>
      <c r="I49" s="2">
        <v>1806533.0599479182</v>
      </c>
      <c r="J49" s="101">
        <v>1030.0989999999999</v>
      </c>
      <c r="K49" s="4">
        <v>0</v>
      </c>
      <c r="L49" s="4">
        <v>0</v>
      </c>
      <c r="M49" s="4">
        <v>0</v>
      </c>
      <c r="N49" s="18">
        <v>0</v>
      </c>
      <c r="O49" s="4">
        <v>0</v>
      </c>
      <c r="P49" s="4">
        <v>0</v>
      </c>
      <c r="Q49" s="4">
        <v>0</v>
      </c>
      <c r="R49" s="18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19"/>
      <c r="AB49" s="4">
        <v>0</v>
      </c>
      <c r="AC49" s="2">
        <v>6372990</v>
      </c>
      <c r="AD49" s="90">
        <v>0</v>
      </c>
      <c r="AE49" s="89">
        <v>0</v>
      </c>
      <c r="AF49" s="2">
        <v>0</v>
      </c>
      <c r="AG49" s="2">
        <v>29260624.774999999</v>
      </c>
      <c r="AH49" s="2">
        <v>20569648.317000005</v>
      </c>
      <c r="AI49" s="19"/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88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88">
        <v>0</v>
      </c>
      <c r="AV49" s="2">
        <v>3784.6549653760076</v>
      </c>
      <c r="AW49" s="2">
        <v>8652.8140602958847</v>
      </c>
      <c r="AX49" s="2">
        <v>17325.369306674638</v>
      </c>
      <c r="AY49" s="2">
        <v>1947975.1033571314</v>
      </c>
      <c r="AZ49" s="2">
        <v>1785412.0017616667</v>
      </c>
      <c r="BA49" s="2">
        <v>156669.00958327789</v>
      </c>
      <c r="BB49" s="2">
        <v>1265938.1072810243</v>
      </c>
      <c r="BC49" s="2">
        <v>2499407.8961315649</v>
      </c>
      <c r="BD49" s="2">
        <v>3791479.0599176679</v>
      </c>
      <c r="BE49" s="2">
        <v>23904756.229998305</v>
      </c>
      <c r="BF49" s="2">
        <v>13181164.007768571</v>
      </c>
      <c r="BG49" s="2">
        <v>9658806.0788759086</v>
      </c>
      <c r="BH49" s="2">
        <v>4170.7718021603578</v>
      </c>
      <c r="BI49" s="2">
        <v>9548.6398367930215</v>
      </c>
      <c r="BJ49" s="2">
        <v>19968.070193121734</v>
      </c>
      <c r="BK49" s="2">
        <v>408599.16988314455</v>
      </c>
      <c r="BL49" s="2">
        <v>231421.13196782439</v>
      </c>
      <c r="BM49" s="2">
        <v>246748.266316956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18">
        <v>0</v>
      </c>
      <c r="BT49" s="4"/>
      <c r="BU49" s="4"/>
      <c r="BV49" s="4"/>
      <c r="BW49" s="4"/>
      <c r="BX49" s="4"/>
      <c r="BY49" s="4"/>
      <c r="BZ49" s="19"/>
      <c r="CA49" s="33">
        <v>0</v>
      </c>
      <c r="CB49" s="33">
        <v>0</v>
      </c>
      <c r="CC49" s="33">
        <v>0</v>
      </c>
      <c r="CD49" s="33">
        <v>0</v>
      </c>
      <c r="CE49" s="33">
        <v>0</v>
      </c>
      <c r="CF49" s="33">
        <v>0</v>
      </c>
      <c r="CG49" s="2">
        <v>0</v>
      </c>
      <c r="CH49" s="4">
        <v>0</v>
      </c>
      <c r="CI49" s="33">
        <v>0</v>
      </c>
      <c r="CJ49" s="33">
        <v>0</v>
      </c>
      <c r="CK49" s="19"/>
      <c r="CL49" s="4">
        <v>0</v>
      </c>
      <c r="CM49" s="4">
        <v>0</v>
      </c>
      <c r="CN49" s="4">
        <v>0</v>
      </c>
      <c r="CO49" s="26">
        <v>0</v>
      </c>
      <c r="CP49" s="4">
        <v>0</v>
      </c>
      <c r="CQ49" s="4">
        <v>0</v>
      </c>
      <c r="CR49" s="19"/>
      <c r="CS49" s="2">
        <v>1242739.3900278707</v>
      </c>
      <c r="CT49" s="2">
        <v>9918556.719972128</v>
      </c>
      <c r="CU49" s="11"/>
      <c r="CV49" s="2">
        <v>0</v>
      </c>
      <c r="CW49" s="2">
        <v>0</v>
      </c>
      <c r="CX49" s="2">
        <v>121493</v>
      </c>
      <c r="CY49" s="2">
        <v>0</v>
      </c>
      <c r="CZ49" s="2">
        <v>0</v>
      </c>
      <c r="DA49" s="2">
        <v>0</v>
      </c>
      <c r="DB49" s="2">
        <v>649880.027</v>
      </c>
      <c r="DC49" s="2">
        <v>0</v>
      </c>
      <c r="DD49" s="2">
        <v>13058.8</v>
      </c>
      <c r="DE49" s="11"/>
      <c r="DF49" s="2">
        <f t="shared" si="24"/>
        <v>132290005.51900746</v>
      </c>
      <c r="DJ49" s="4"/>
    </row>
    <row r="50" spans="1:114" x14ac:dyDescent="0.2">
      <c r="A50">
        <v>3</v>
      </c>
      <c r="E50" t="s">
        <v>234</v>
      </c>
      <c r="F50" s="2">
        <v>779499.06135962578</v>
      </c>
      <c r="G50" s="2">
        <v>1070221.3775311597</v>
      </c>
      <c r="H50" s="2">
        <v>1080177.9269556392</v>
      </c>
      <c r="I50" s="2">
        <v>1527454.1611535756</v>
      </c>
      <c r="J50" s="101">
        <v>758.76599999999996</v>
      </c>
      <c r="K50" s="4">
        <v>0</v>
      </c>
      <c r="L50" s="4">
        <v>0</v>
      </c>
      <c r="M50" s="4">
        <v>0</v>
      </c>
      <c r="N50" s="18">
        <v>0</v>
      </c>
      <c r="O50" s="4">
        <v>0</v>
      </c>
      <c r="P50" s="4">
        <v>0</v>
      </c>
      <c r="Q50" s="4">
        <v>0</v>
      </c>
      <c r="R50" s="18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19"/>
      <c r="AB50" s="4">
        <v>0</v>
      </c>
      <c r="AC50" s="2">
        <v>7067190</v>
      </c>
      <c r="AD50" s="72">
        <v>0</v>
      </c>
      <c r="AE50" s="74">
        <v>0</v>
      </c>
      <c r="AF50" s="4">
        <v>0</v>
      </c>
      <c r="AG50" s="2">
        <v>27888741.405000005</v>
      </c>
      <c r="AH50" s="2">
        <v>20521607.612999991</v>
      </c>
      <c r="AI50" s="19"/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88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88">
        <v>0</v>
      </c>
      <c r="AV50" s="2">
        <v>3729.1787634335678</v>
      </c>
      <c r="AW50" s="2">
        <v>8525.9794440439746</v>
      </c>
      <c r="AX50" s="2">
        <v>17071.410704060268</v>
      </c>
      <c r="AY50" s="2">
        <v>1919421.3088365393</v>
      </c>
      <c r="AZ50" s="2">
        <v>1759241.0885169122</v>
      </c>
      <c r="BA50" s="2">
        <v>154372.52504419113</v>
      </c>
      <c r="BB50" s="2">
        <v>1216628.2207315653</v>
      </c>
      <c r="BC50" s="2">
        <v>2402052.8050017343</v>
      </c>
      <c r="BD50" s="2">
        <v>3643796.1667146692</v>
      </c>
      <c r="BE50" s="2">
        <v>22973635.813514926</v>
      </c>
      <c r="BF50" s="2">
        <v>12667741.038608678</v>
      </c>
      <c r="BG50" s="2">
        <v>9282583.3953076452</v>
      </c>
      <c r="BH50" s="2">
        <v>3896.6778215016411</v>
      </c>
      <c r="BI50" s="2">
        <v>8921.1241569883059</v>
      </c>
      <c r="BJ50" s="2">
        <v>18655.812389309391</v>
      </c>
      <c r="BK50" s="2">
        <v>381746.92807286198</v>
      </c>
      <c r="BL50" s="2">
        <v>216212.64244155702</v>
      </c>
      <c r="BM50" s="2">
        <v>230532.51111778169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18">
        <v>0</v>
      </c>
      <c r="BT50" s="4"/>
      <c r="BU50" s="4"/>
      <c r="BV50" s="4"/>
      <c r="BW50" s="4"/>
      <c r="BX50" s="4"/>
      <c r="BY50" s="4"/>
      <c r="BZ50" s="19"/>
      <c r="CA50" s="33">
        <v>0</v>
      </c>
      <c r="CB50" s="33">
        <v>0</v>
      </c>
      <c r="CC50" s="33">
        <v>0</v>
      </c>
      <c r="CD50" s="33">
        <v>0</v>
      </c>
      <c r="CE50" s="33">
        <v>0</v>
      </c>
      <c r="CF50" s="33">
        <v>0</v>
      </c>
      <c r="CG50" s="2">
        <v>0</v>
      </c>
      <c r="CH50" s="4">
        <v>0</v>
      </c>
      <c r="CI50" s="33">
        <v>0</v>
      </c>
      <c r="CJ50" s="33">
        <v>0</v>
      </c>
      <c r="CK50" s="19"/>
      <c r="CL50" s="4">
        <v>0</v>
      </c>
      <c r="CM50" s="4">
        <v>0</v>
      </c>
      <c r="CN50" s="4">
        <v>0</v>
      </c>
      <c r="CO50" s="26">
        <v>0</v>
      </c>
      <c r="CP50" s="4">
        <v>0</v>
      </c>
      <c r="CQ50" s="4">
        <v>0</v>
      </c>
      <c r="CR50" s="19"/>
      <c r="CS50" s="2">
        <v>1223326.5387019438</v>
      </c>
      <c r="CT50" s="2">
        <v>9763618.7912980597</v>
      </c>
      <c r="CU50" s="11"/>
      <c r="CV50" s="2">
        <v>0</v>
      </c>
      <c r="CW50" s="2">
        <v>0</v>
      </c>
      <c r="CX50" s="2">
        <v>111011</v>
      </c>
      <c r="CY50" s="2">
        <v>0</v>
      </c>
      <c r="CZ50" s="2">
        <v>0</v>
      </c>
      <c r="DA50" s="2">
        <v>0</v>
      </c>
      <c r="DB50" s="2">
        <v>647134.12899999996</v>
      </c>
      <c r="DC50" s="2">
        <v>0</v>
      </c>
      <c r="DD50" s="97">
        <v>13573.789999999995</v>
      </c>
      <c r="DE50" s="11"/>
      <c r="DF50" s="2">
        <f t="shared" si="24"/>
        <v>128603079.18718837</v>
      </c>
      <c r="DJ50" s="4"/>
    </row>
    <row r="51" spans="1:114" x14ac:dyDescent="0.2">
      <c r="A51">
        <v>4</v>
      </c>
      <c r="E51" t="s">
        <v>235</v>
      </c>
      <c r="F51" s="2">
        <v>735771.64411646232</v>
      </c>
      <c r="G51" s="2">
        <v>982374.01643565856</v>
      </c>
      <c r="H51" s="2">
        <v>958557.06143181061</v>
      </c>
      <c r="I51" s="2">
        <v>1355263.8430160673</v>
      </c>
      <c r="J51" s="101">
        <v>869.38900000000001</v>
      </c>
      <c r="K51" s="4">
        <v>0</v>
      </c>
      <c r="L51" s="4">
        <v>0</v>
      </c>
      <c r="M51" s="4">
        <v>0</v>
      </c>
      <c r="N51" s="18">
        <v>0</v>
      </c>
      <c r="O51" s="4">
        <v>0</v>
      </c>
      <c r="P51" s="4">
        <v>0</v>
      </c>
      <c r="Q51" s="4">
        <v>0</v>
      </c>
      <c r="R51" s="18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19"/>
      <c r="AB51" s="4">
        <v>0</v>
      </c>
      <c r="AC51" s="2">
        <v>6533886</v>
      </c>
      <c r="AD51" s="72">
        <v>0</v>
      </c>
      <c r="AE51" s="74">
        <v>0</v>
      </c>
      <c r="AF51" s="4">
        <v>0</v>
      </c>
      <c r="AG51" s="2">
        <v>29661533.575000003</v>
      </c>
      <c r="AH51" s="2">
        <v>20829201.718000002</v>
      </c>
      <c r="AI51" s="19"/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88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88">
        <v>0</v>
      </c>
      <c r="AV51" s="2">
        <v>3565.394089969267</v>
      </c>
      <c r="AW51" s="2">
        <v>8151.5203880988111</v>
      </c>
      <c r="AX51" s="2">
        <v>16321.638272886954</v>
      </c>
      <c r="AY51" s="2">
        <v>1835120.7664783173</v>
      </c>
      <c r="AZ51" s="2">
        <v>1681975.6245887557</v>
      </c>
      <c r="BA51" s="2">
        <v>147592.51925467438</v>
      </c>
      <c r="BB51" s="2">
        <v>1204380.8400962111</v>
      </c>
      <c r="BC51" s="2">
        <v>2377872.1600785162</v>
      </c>
      <c r="BD51" s="2">
        <v>3607115.3156124605</v>
      </c>
      <c r="BE51" s="2">
        <v>22742368.0707554</v>
      </c>
      <c r="BF51" s="2">
        <v>12540219.217524625</v>
      </c>
      <c r="BG51" s="2">
        <v>9189138.7996748127</v>
      </c>
      <c r="BH51" s="2">
        <v>3349.3623747446918</v>
      </c>
      <c r="BI51" s="2">
        <v>7668.090347876866</v>
      </c>
      <c r="BJ51" s="2">
        <v>16035.474049781516</v>
      </c>
      <c r="BK51" s="2">
        <v>328127.92233074107</v>
      </c>
      <c r="BL51" s="2">
        <v>185844.07608499879</v>
      </c>
      <c r="BM51" s="2">
        <v>198152.61981185709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18">
        <v>0</v>
      </c>
      <c r="BT51" s="4"/>
      <c r="BU51" s="4"/>
      <c r="BV51" s="4"/>
      <c r="BW51" s="4"/>
      <c r="BX51" s="4"/>
      <c r="BY51" s="4"/>
      <c r="BZ51" s="19"/>
      <c r="CA51" s="33">
        <v>0</v>
      </c>
      <c r="CB51" s="33">
        <v>0</v>
      </c>
      <c r="CC51" s="33">
        <v>0</v>
      </c>
      <c r="CD51" s="33">
        <v>0</v>
      </c>
      <c r="CE51" s="33">
        <v>0</v>
      </c>
      <c r="CF51" s="33">
        <v>0</v>
      </c>
      <c r="CG51" s="2">
        <v>0</v>
      </c>
      <c r="CH51" s="4">
        <v>0</v>
      </c>
      <c r="CI51" s="33">
        <v>0</v>
      </c>
      <c r="CJ51" s="33">
        <v>0</v>
      </c>
      <c r="CK51" s="19"/>
      <c r="CL51" s="4">
        <v>0</v>
      </c>
      <c r="CM51" s="4">
        <v>0</v>
      </c>
      <c r="CN51" s="4">
        <v>0</v>
      </c>
      <c r="CO51" s="26">
        <v>0</v>
      </c>
      <c r="CP51" s="4">
        <v>0</v>
      </c>
      <c r="CQ51" s="4">
        <v>0</v>
      </c>
      <c r="CR51" s="19"/>
      <c r="CS51" s="2">
        <v>1183469.1811747914</v>
      </c>
      <c r="CT51" s="2">
        <v>9445509.085825216</v>
      </c>
      <c r="CU51" s="11"/>
      <c r="CV51" s="2">
        <v>0</v>
      </c>
      <c r="CW51" s="2">
        <v>0</v>
      </c>
      <c r="CX51" s="2">
        <v>100706</v>
      </c>
      <c r="CY51" s="2">
        <v>0</v>
      </c>
      <c r="CZ51" s="2">
        <v>0</v>
      </c>
      <c r="DA51" s="2">
        <v>0</v>
      </c>
      <c r="DB51" s="2">
        <v>645446.57200000016</v>
      </c>
      <c r="DC51" s="2">
        <v>0</v>
      </c>
      <c r="DD51" s="2">
        <v>13741.206999999993</v>
      </c>
      <c r="DE51" s="11"/>
      <c r="DF51" s="2">
        <f t="shared" si="24"/>
        <v>128539328.7048147</v>
      </c>
      <c r="DJ51" s="4"/>
    </row>
    <row r="52" spans="1:114" x14ac:dyDescent="0.2">
      <c r="A52">
        <v>5</v>
      </c>
      <c r="E52" t="s">
        <v>236</v>
      </c>
      <c r="F52" s="2">
        <v>691245.7311960503</v>
      </c>
      <c r="G52" s="2">
        <v>871617.96064112592</v>
      </c>
      <c r="H52" s="2">
        <v>826165.35991759365</v>
      </c>
      <c r="I52" s="2">
        <v>1165299.5862452304</v>
      </c>
      <c r="J52" s="101">
        <v>478.86700000000002</v>
      </c>
      <c r="K52" s="4">
        <v>0</v>
      </c>
      <c r="L52" s="4">
        <v>0</v>
      </c>
      <c r="M52" s="4">
        <v>0</v>
      </c>
      <c r="N52" s="18">
        <v>0</v>
      </c>
      <c r="O52" s="4">
        <v>0</v>
      </c>
      <c r="P52" s="4">
        <v>0</v>
      </c>
      <c r="Q52" s="4">
        <v>0</v>
      </c>
      <c r="R52" s="18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19"/>
      <c r="AB52" s="4">
        <v>0</v>
      </c>
      <c r="AC52" s="2">
        <v>6998140</v>
      </c>
      <c r="AD52" s="72">
        <v>0</v>
      </c>
      <c r="AE52" s="74">
        <v>0</v>
      </c>
      <c r="AF52" s="4">
        <v>0</v>
      </c>
      <c r="AG52" s="2">
        <v>29134834.875</v>
      </c>
      <c r="AH52" s="2">
        <v>20262492.857999995</v>
      </c>
      <c r="AI52" s="19"/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88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88">
        <v>0</v>
      </c>
      <c r="AV52" s="2">
        <v>3749.7725238214707</v>
      </c>
      <c r="AW52" s="2">
        <v>8573.0627266863867</v>
      </c>
      <c r="AX52" s="2">
        <v>17165.68468871613</v>
      </c>
      <c r="AY52" s="2">
        <v>1930020.9890946185</v>
      </c>
      <c r="AZ52" s="2">
        <v>1768956.2005401591</v>
      </c>
      <c r="BA52" s="2">
        <v>155225.02126196655</v>
      </c>
      <c r="BB52" s="2">
        <v>1249701.8886002472</v>
      </c>
      <c r="BC52" s="2">
        <v>2467351.8793795197</v>
      </c>
      <c r="BD52" s="2">
        <v>3742851.6564242798</v>
      </c>
      <c r="BE52" s="2">
        <v>23598167.110491879</v>
      </c>
      <c r="BF52" s="2">
        <v>13012109.722992381</v>
      </c>
      <c r="BG52" s="2">
        <v>9534927.5995174907</v>
      </c>
      <c r="BH52" s="2">
        <v>3129.4751526796881</v>
      </c>
      <c r="BI52" s="2">
        <v>7164.6765943063419</v>
      </c>
      <c r="BJ52" s="2">
        <v>14982.737603618183</v>
      </c>
      <c r="BK52" s="2">
        <v>306586.16922952054</v>
      </c>
      <c r="BL52" s="2">
        <v>173643.32470148138</v>
      </c>
      <c r="BM52" s="2">
        <v>185143.80671839381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18">
        <v>0</v>
      </c>
      <c r="BT52" s="4"/>
      <c r="BU52" s="4"/>
      <c r="BV52" s="4"/>
      <c r="BW52" s="4"/>
      <c r="BX52" s="4"/>
      <c r="BY52" s="4"/>
      <c r="BZ52" s="19"/>
      <c r="CA52" s="33">
        <v>0</v>
      </c>
      <c r="CB52" s="33">
        <v>0</v>
      </c>
      <c r="CC52" s="33">
        <v>0</v>
      </c>
      <c r="CD52" s="33">
        <v>0</v>
      </c>
      <c r="CE52" s="33">
        <v>0</v>
      </c>
      <c r="CF52" s="33">
        <v>0</v>
      </c>
      <c r="CG52" s="2">
        <v>0</v>
      </c>
      <c r="CH52" s="4">
        <v>0</v>
      </c>
      <c r="CI52" s="33">
        <v>0</v>
      </c>
      <c r="CJ52" s="33">
        <v>0</v>
      </c>
      <c r="CK52" s="19"/>
      <c r="CL52" s="4">
        <v>0</v>
      </c>
      <c r="CM52" s="4">
        <v>0</v>
      </c>
      <c r="CN52" s="4">
        <v>0</v>
      </c>
      <c r="CO52" s="26">
        <v>0</v>
      </c>
      <c r="CP52" s="4">
        <v>0</v>
      </c>
      <c r="CQ52" s="4">
        <v>0</v>
      </c>
      <c r="CR52" s="19"/>
      <c r="CS52" s="2">
        <v>1071473.4297871918</v>
      </c>
      <c r="CT52" s="2">
        <v>8551648.1352128014</v>
      </c>
      <c r="CU52" s="11"/>
      <c r="CV52" s="2">
        <v>0</v>
      </c>
      <c r="CW52" s="2">
        <v>0</v>
      </c>
      <c r="CX52" s="2">
        <v>87445</v>
      </c>
      <c r="CY52" s="2">
        <v>0</v>
      </c>
      <c r="CZ52" s="2">
        <v>0</v>
      </c>
      <c r="DA52" s="2">
        <v>0</v>
      </c>
      <c r="DB52" s="2">
        <v>639838.74899999972</v>
      </c>
      <c r="DC52" s="2">
        <v>0</v>
      </c>
      <c r="DD52" s="2">
        <v>13764.29999999999</v>
      </c>
      <c r="DE52" s="11"/>
      <c r="DF52" s="2">
        <f t="shared" si="24"/>
        <v>128493895.63024178</v>
      </c>
      <c r="DJ52" s="4"/>
    </row>
    <row r="53" spans="1:114" x14ac:dyDescent="0.2">
      <c r="A53">
        <v>6</v>
      </c>
      <c r="E53" t="s">
        <v>237</v>
      </c>
      <c r="F53" s="2">
        <v>683174.81062900764</v>
      </c>
      <c r="G53" s="2">
        <v>935041.45347885787</v>
      </c>
      <c r="H53" s="2">
        <v>996657.78572500276</v>
      </c>
      <c r="I53" s="2">
        <v>1628253.9461671335</v>
      </c>
      <c r="J53" s="101">
        <v>380.59</v>
      </c>
      <c r="K53" s="4">
        <v>0</v>
      </c>
      <c r="L53" s="4">
        <v>0</v>
      </c>
      <c r="M53" s="4">
        <v>0</v>
      </c>
      <c r="N53" s="18">
        <v>0</v>
      </c>
      <c r="O53" s="4">
        <v>0</v>
      </c>
      <c r="P53" s="4">
        <v>0</v>
      </c>
      <c r="Q53" s="4">
        <v>0</v>
      </c>
      <c r="R53" s="18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19"/>
      <c r="AB53" s="4">
        <v>0</v>
      </c>
      <c r="AC53" s="2">
        <v>7403530</v>
      </c>
      <c r="AD53" s="72">
        <v>0</v>
      </c>
      <c r="AE53" s="74">
        <v>0</v>
      </c>
      <c r="AF53" s="4">
        <v>0</v>
      </c>
      <c r="AG53" s="2">
        <v>36107876.509999998</v>
      </c>
      <c r="AH53" s="2">
        <v>23526800.466000006</v>
      </c>
      <c r="AI53" s="19"/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88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88">
        <v>0</v>
      </c>
      <c r="AV53" s="2">
        <v>4343.8555955381489</v>
      </c>
      <c r="AW53" s="2">
        <v>9931.3081685989855</v>
      </c>
      <c r="AX53" s="2">
        <v>19885.274376679281</v>
      </c>
      <c r="AY53" s="2">
        <v>2235797.6169820288</v>
      </c>
      <c r="AZ53" s="2">
        <v>2049215.0500231567</v>
      </c>
      <c r="BA53" s="2">
        <v>179817.59503884622</v>
      </c>
      <c r="BB53" s="2">
        <v>1438358.5746235363</v>
      </c>
      <c r="BC53" s="2">
        <v>2839826.6536142346</v>
      </c>
      <c r="BD53" s="2">
        <v>4307877.6007866422</v>
      </c>
      <c r="BE53" s="2">
        <v>27160578.309434425</v>
      </c>
      <c r="BF53" s="2">
        <v>14976435.392101139</v>
      </c>
      <c r="BG53" s="2">
        <v>10974333.155999264</v>
      </c>
      <c r="BH53" s="2">
        <v>3831.0362497646811</v>
      </c>
      <c r="BI53" s="2">
        <v>8770.8431642683063</v>
      </c>
      <c r="BJ53" s="2">
        <v>18341.54549238841</v>
      </c>
      <c r="BK53" s="2">
        <v>375316.20182031224</v>
      </c>
      <c r="BL53" s="2">
        <v>212570.42762950572</v>
      </c>
      <c r="BM53" s="2">
        <v>226649.0706437607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18">
        <v>0</v>
      </c>
      <c r="BT53" s="4"/>
      <c r="BU53" s="4"/>
      <c r="BV53" s="4"/>
      <c r="BW53" s="4"/>
      <c r="BX53" s="4"/>
      <c r="BY53" s="4"/>
      <c r="BZ53" s="19"/>
      <c r="CA53" s="33">
        <v>0</v>
      </c>
      <c r="CB53" s="33">
        <v>0</v>
      </c>
      <c r="CC53" s="33">
        <v>0</v>
      </c>
      <c r="CD53" s="33">
        <v>0</v>
      </c>
      <c r="CE53" s="33">
        <v>0</v>
      </c>
      <c r="CF53" s="33">
        <v>0</v>
      </c>
      <c r="CG53" s="2">
        <v>0</v>
      </c>
      <c r="CH53" s="4">
        <v>0</v>
      </c>
      <c r="CI53" s="33">
        <v>0</v>
      </c>
      <c r="CJ53" s="33">
        <v>0</v>
      </c>
      <c r="CK53" s="19"/>
      <c r="CL53" s="4">
        <v>0</v>
      </c>
      <c r="CM53" s="4">
        <v>0</v>
      </c>
      <c r="CN53" s="4">
        <v>0</v>
      </c>
      <c r="CO53" s="26">
        <v>0</v>
      </c>
      <c r="CP53" s="4">
        <v>0</v>
      </c>
      <c r="CQ53" s="4">
        <v>0</v>
      </c>
      <c r="CR53" s="19"/>
      <c r="CS53" s="2">
        <v>1397604.1760726124</v>
      </c>
      <c r="CT53" s="2">
        <v>11154564.185927376</v>
      </c>
      <c r="CU53" s="11"/>
      <c r="CV53" s="2">
        <v>0</v>
      </c>
      <c r="CW53" s="2">
        <v>0</v>
      </c>
      <c r="CX53" s="2">
        <v>86500</v>
      </c>
      <c r="CY53" s="2">
        <v>0</v>
      </c>
      <c r="CZ53" s="2">
        <v>0</v>
      </c>
      <c r="DA53" s="2">
        <v>0</v>
      </c>
      <c r="DB53" s="2">
        <v>638486.07500000007</v>
      </c>
      <c r="DC53" s="2">
        <v>0</v>
      </c>
      <c r="DD53" s="2">
        <v>14555.938999999991</v>
      </c>
      <c r="DE53" s="11"/>
      <c r="DF53" s="2">
        <f t="shared" si="24"/>
        <v>151615305.44974411</v>
      </c>
      <c r="DJ53" s="4"/>
    </row>
    <row r="54" spans="1:114" x14ac:dyDescent="0.2">
      <c r="A54">
        <v>7</v>
      </c>
      <c r="E54" t="s">
        <v>238</v>
      </c>
      <c r="F54" s="2">
        <v>699148.46316052484</v>
      </c>
      <c r="G54" s="2">
        <v>1002484.0519558801</v>
      </c>
      <c r="H54" s="2">
        <v>1110735.3305623641</v>
      </c>
      <c r="I54" s="2">
        <v>1802718.4563212311</v>
      </c>
      <c r="J54" s="101">
        <v>383.93299999999999</v>
      </c>
      <c r="K54" s="4">
        <v>0</v>
      </c>
      <c r="L54" s="4">
        <v>0</v>
      </c>
      <c r="M54" s="4">
        <v>0</v>
      </c>
      <c r="N54" s="18">
        <v>0</v>
      </c>
      <c r="O54" s="4">
        <v>0</v>
      </c>
      <c r="P54" s="4">
        <v>0</v>
      </c>
      <c r="Q54" s="4">
        <v>0</v>
      </c>
      <c r="R54" s="18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19"/>
      <c r="AB54" s="4">
        <v>0</v>
      </c>
      <c r="AC54" s="2">
        <v>25</v>
      </c>
      <c r="AD54" s="72">
        <v>0</v>
      </c>
      <c r="AE54" s="74">
        <v>0</v>
      </c>
      <c r="AF54" s="4">
        <v>0</v>
      </c>
      <c r="AG54" s="2">
        <v>26.88</v>
      </c>
      <c r="AH54" s="2">
        <v>25.52</v>
      </c>
      <c r="AI54" s="19"/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88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88">
        <v>0</v>
      </c>
      <c r="AV54" s="2">
        <v>4201.7239491182409</v>
      </c>
      <c r="AW54" s="2">
        <v>9606.3541847335091</v>
      </c>
      <c r="AX54" s="2">
        <v>19234.625034290428</v>
      </c>
      <c r="AY54" s="2">
        <v>2162641.9631224084</v>
      </c>
      <c r="AZ54" s="2">
        <v>1982164.407449445</v>
      </c>
      <c r="BA54" s="2">
        <v>173933.9347108207</v>
      </c>
      <c r="BB54" s="2">
        <v>1444647.8077942003</v>
      </c>
      <c r="BC54" s="2">
        <v>2852243.8159991573</v>
      </c>
      <c r="BD54" s="2">
        <v>4326713.8264538888</v>
      </c>
      <c r="BE54" s="2">
        <v>27279338.132646672</v>
      </c>
      <c r="BF54" s="2">
        <v>15041919.963130973</v>
      </c>
      <c r="BG54" s="2">
        <v>11022318.506334241</v>
      </c>
      <c r="BH54" s="2">
        <v>3828.0306675833835</v>
      </c>
      <c r="BI54" s="2">
        <v>8763.9621304667853</v>
      </c>
      <c r="BJ54" s="2">
        <v>18327.155907243461</v>
      </c>
      <c r="BK54" s="2">
        <v>375021.75310852757</v>
      </c>
      <c r="BL54" s="2">
        <v>212403.65868034912</v>
      </c>
      <c r="BM54" s="2">
        <v>226471.25650582963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18">
        <v>0</v>
      </c>
      <c r="BT54" s="4"/>
      <c r="BU54" s="4"/>
      <c r="BV54" s="4"/>
      <c r="BW54" s="4"/>
      <c r="BX54" s="4"/>
      <c r="BY54" s="4"/>
      <c r="BZ54" s="19"/>
      <c r="CA54" s="33">
        <v>0</v>
      </c>
      <c r="CB54" s="33">
        <v>0</v>
      </c>
      <c r="CC54" s="33">
        <v>0</v>
      </c>
      <c r="CD54" s="33">
        <v>0</v>
      </c>
      <c r="CE54" s="33">
        <v>0</v>
      </c>
      <c r="CF54" s="33">
        <v>0</v>
      </c>
      <c r="CG54" s="2">
        <v>0</v>
      </c>
      <c r="CH54" s="4">
        <v>0</v>
      </c>
      <c r="CI54" s="33">
        <v>0</v>
      </c>
      <c r="CJ54" s="33">
        <v>0</v>
      </c>
      <c r="CK54" s="19"/>
      <c r="CL54" s="4">
        <v>0</v>
      </c>
      <c r="CM54" s="4">
        <v>0</v>
      </c>
      <c r="CN54" s="4">
        <v>0</v>
      </c>
      <c r="CO54" s="26">
        <v>0</v>
      </c>
      <c r="CP54" s="4">
        <v>0</v>
      </c>
      <c r="CQ54" s="4">
        <v>0</v>
      </c>
      <c r="CR54" s="19"/>
      <c r="CS54" s="2">
        <v>1235981.7442493341</v>
      </c>
      <c r="CT54" s="2">
        <v>9864622.569750661</v>
      </c>
      <c r="CU54" s="11"/>
      <c r="CV54" s="2">
        <v>0</v>
      </c>
      <c r="CW54" s="2">
        <v>0</v>
      </c>
      <c r="CX54" s="2">
        <v>97025</v>
      </c>
      <c r="CY54" s="2">
        <v>0</v>
      </c>
      <c r="CZ54" s="2">
        <v>0</v>
      </c>
      <c r="DA54" s="2">
        <v>0</v>
      </c>
      <c r="DB54" s="2">
        <v>636412.09299999999</v>
      </c>
      <c r="DC54" s="2">
        <v>0</v>
      </c>
      <c r="DD54" s="2">
        <v>23627.633000000002</v>
      </c>
      <c r="DE54" s="11"/>
      <c r="DF54" s="2">
        <f t="shared" si="24"/>
        <v>83636997.552809954</v>
      </c>
      <c r="DJ54" s="4"/>
    </row>
    <row r="55" spans="1:114" x14ac:dyDescent="0.2">
      <c r="A55">
        <v>8</v>
      </c>
      <c r="E55" t="s">
        <v>239</v>
      </c>
      <c r="F55" s="2">
        <v>742923.63042403804</v>
      </c>
      <c r="G55" s="2">
        <v>1112053.9032105613</v>
      </c>
      <c r="H55" s="2">
        <v>1295142.6193843412</v>
      </c>
      <c r="I55" s="2">
        <v>2271988.253981058</v>
      </c>
      <c r="J55" s="101">
        <v>476.06099999999998</v>
      </c>
      <c r="K55" s="4">
        <v>0</v>
      </c>
      <c r="L55" s="4">
        <v>0</v>
      </c>
      <c r="M55" s="4">
        <v>0</v>
      </c>
      <c r="N55" s="18">
        <v>0</v>
      </c>
      <c r="O55" s="4">
        <v>0</v>
      </c>
      <c r="P55" s="4">
        <v>0</v>
      </c>
      <c r="Q55" s="4">
        <v>0</v>
      </c>
      <c r="R55" s="18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19"/>
      <c r="AB55" s="4">
        <v>0</v>
      </c>
      <c r="AC55" s="2">
        <v>8282570</v>
      </c>
      <c r="AD55" s="72">
        <v>0</v>
      </c>
      <c r="AE55" s="74">
        <v>0</v>
      </c>
      <c r="AF55" s="4">
        <v>0</v>
      </c>
      <c r="AG55" s="2">
        <v>41231633.189999998</v>
      </c>
      <c r="AH55" s="2">
        <v>25549853.736000001</v>
      </c>
      <c r="AI55" s="19"/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88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88">
        <v>0</v>
      </c>
      <c r="AV55" s="2">
        <v>5687.3883496977423</v>
      </c>
      <c r="AW55" s="2">
        <v>13003.011986256033</v>
      </c>
      <c r="AX55" s="2">
        <v>26035.690029989979</v>
      </c>
      <c r="AY55" s="2">
        <v>2927318.6088798218</v>
      </c>
      <c r="AZ55" s="2">
        <v>2683026.9895477751</v>
      </c>
      <c r="BA55" s="2">
        <v>235434.27551898209</v>
      </c>
      <c r="BB55" s="2">
        <v>1805347.1158423033</v>
      </c>
      <c r="BC55" s="2">
        <v>3564391.3479199181</v>
      </c>
      <c r="BD55" s="2">
        <v>5407006.6666216161</v>
      </c>
      <c r="BE55" s="2">
        <v>34090436.543877997</v>
      </c>
      <c r="BF55" s="2">
        <v>18797582.826525018</v>
      </c>
      <c r="BG55" s="2">
        <v>13774368.270207854</v>
      </c>
      <c r="BH55" s="2">
        <v>4300.9517430760143</v>
      </c>
      <c r="BI55" s="2">
        <v>9846.6761304916454</v>
      </c>
      <c r="BJ55" s="2">
        <v>20591.322272411668</v>
      </c>
      <c r="BK55" s="2">
        <v>421352.54463407735</v>
      </c>
      <c r="BL55" s="2">
        <v>238644.34884835503</v>
      </c>
      <c r="BM55" s="2">
        <v>254449.88037158825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18">
        <v>0</v>
      </c>
      <c r="BT55" s="4"/>
      <c r="BU55" s="4"/>
      <c r="BV55" s="4"/>
      <c r="BW55" s="4"/>
      <c r="BX55" s="4"/>
      <c r="BY55" s="4"/>
      <c r="BZ55" s="19"/>
      <c r="CA55" s="33">
        <v>0</v>
      </c>
      <c r="CB55" s="33">
        <v>0</v>
      </c>
      <c r="CC55" s="33">
        <v>0</v>
      </c>
      <c r="CD55" s="33">
        <v>0</v>
      </c>
      <c r="CE55" s="33">
        <v>0</v>
      </c>
      <c r="CF55" s="33">
        <v>0</v>
      </c>
      <c r="CG55" s="2">
        <v>0</v>
      </c>
      <c r="CH55" s="4">
        <v>0</v>
      </c>
      <c r="CI55" s="33">
        <v>0</v>
      </c>
      <c r="CJ55" s="33">
        <v>0</v>
      </c>
      <c r="CK55" s="19"/>
      <c r="CL55" s="4">
        <v>0</v>
      </c>
      <c r="CM55" s="4">
        <v>0</v>
      </c>
      <c r="CN55" s="4">
        <v>0</v>
      </c>
      <c r="CO55" s="26">
        <v>0</v>
      </c>
      <c r="CP55" s="4">
        <v>0</v>
      </c>
      <c r="CQ55" s="4">
        <v>0</v>
      </c>
      <c r="CR55" s="19"/>
      <c r="CS55" s="2">
        <v>1274125.4507090279</v>
      </c>
      <c r="CT55" s="2">
        <v>10169055.276290974</v>
      </c>
      <c r="CU55" s="11"/>
      <c r="CV55" s="2">
        <v>0</v>
      </c>
      <c r="CW55" s="2">
        <v>0</v>
      </c>
      <c r="CX55" s="2">
        <v>101493</v>
      </c>
      <c r="CY55" s="2">
        <v>0</v>
      </c>
      <c r="CZ55" s="2">
        <v>0</v>
      </c>
      <c r="DA55" s="2">
        <v>0</v>
      </c>
      <c r="DB55" s="2">
        <v>641075.08999999985</v>
      </c>
      <c r="DC55" s="2">
        <v>0</v>
      </c>
      <c r="DD55" s="2">
        <v>32904.289999999994</v>
      </c>
      <c r="DE55" s="11"/>
      <c r="DF55" s="2">
        <f t="shared" si="24"/>
        <v>176984118.96030718</v>
      </c>
      <c r="DJ55" s="4"/>
    </row>
    <row r="56" spans="1:114" x14ac:dyDescent="0.2">
      <c r="A56">
        <v>9</v>
      </c>
      <c r="E56" t="s">
        <v>240</v>
      </c>
      <c r="F56" s="2">
        <v>741080.77487859211</v>
      </c>
      <c r="G56" s="2">
        <v>1075179.8766956811</v>
      </c>
      <c r="H56" s="2">
        <v>1201120.6945935162</v>
      </c>
      <c r="I56" s="2">
        <v>1922331.4688322092</v>
      </c>
      <c r="J56" s="101">
        <v>393</v>
      </c>
      <c r="K56" s="4">
        <v>0</v>
      </c>
      <c r="L56" s="4">
        <v>0</v>
      </c>
      <c r="M56" s="4">
        <v>0</v>
      </c>
      <c r="N56" s="18">
        <v>0</v>
      </c>
      <c r="O56" s="4">
        <v>0</v>
      </c>
      <c r="P56" s="4">
        <v>0</v>
      </c>
      <c r="Q56" s="4">
        <v>0</v>
      </c>
      <c r="R56" s="18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19"/>
      <c r="AB56" s="4">
        <v>0</v>
      </c>
      <c r="AC56" s="2">
        <v>7484423</v>
      </c>
      <c r="AD56" s="72">
        <v>0</v>
      </c>
      <c r="AE56" s="74">
        <v>0</v>
      </c>
      <c r="AF56" s="4">
        <v>0</v>
      </c>
      <c r="AG56" s="2">
        <v>39789875.225000001</v>
      </c>
      <c r="AH56" s="2">
        <v>26585728.45299999</v>
      </c>
      <c r="AI56" s="19"/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88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88">
        <v>0</v>
      </c>
      <c r="AV56" s="2">
        <v>5096.2525045812672</v>
      </c>
      <c r="AW56" s="2">
        <v>11651.504755355645</v>
      </c>
      <c r="AX56" s="2">
        <v>23329.592137116768</v>
      </c>
      <c r="AY56" s="2">
        <v>2623058.9287970783</v>
      </c>
      <c r="AZ56" s="2">
        <v>2404158.4950091657</v>
      </c>
      <c r="BA56" s="2">
        <v>210963.70469262116</v>
      </c>
      <c r="BB56" s="2">
        <v>1816087.5995762483</v>
      </c>
      <c r="BC56" s="2">
        <v>3585596.847381935</v>
      </c>
      <c r="BD56" s="2">
        <v>5439174.3681359515</v>
      </c>
      <c r="BE56" s="2">
        <v>34293249.496561483</v>
      </c>
      <c r="BF56" s="2">
        <v>18909414.57944062</v>
      </c>
      <c r="BG56" s="2">
        <v>13856315.601584353</v>
      </c>
      <c r="BH56" s="2">
        <v>3964.3560912666608</v>
      </c>
      <c r="BI56" s="2">
        <v>9076.0680027361741</v>
      </c>
      <c r="BJ56" s="2">
        <v>18979.83022229583</v>
      </c>
      <c r="BK56" s="2">
        <v>388377.18409185368</v>
      </c>
      <c r="BL56" s="2">
        <v>219967.86630456772</v>
      </c>
      <c r="BM56" s="2">
        <v>234536.44528727999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18">
        <v>0</v>
      </c>
      <c r="BT56" s="4"/>
      <c r="BU56" s="4"/>
      <c r="BV56" s="4"/>
      <c r="BW56" s="4"/>
      <c r="BX56" s="4"/>
      <c r="BY56" s="4"/>
      <c r="BZ56" s="19"/>
      <c r="CA56" s="33">
        <v>0</v>
      </c>
      <c r="CB56" s="33">
        <v>0</v>
      </c>
      <c r="CC56" s="33">
        <v>0</v>
      </c>
      <c r="CD56" s="33">
        <v>0</v>
      </c>
      <c r="CE56" s="33">
        <v>0</v>
      </c>
      <c r="CF56" s="33">
        <v>0</v>
      </c>
      <c r="CG56" s="2">
        <v>0</v>
      </c>
      <c r="CH56" s="4">
        <v>0</v>
      </c>
      <c r="CI56" s="33">
        <v>0</v>
      </c>
      <c r="CJ56" s="33">
        <v>0</v>
      </c>
      <c r="CK56" s="19"/>
      <c r="CL56" s="4">
        <v>0</v>
      </c>
      <c r="CM56" s="4">
        <v>0</v>
      </c>
      <c r="CN56" s="4">
        <v>0</v>
      </c>
      <c r="CO56" s="26">
        <v>0</v>
      </c>
      <c r="CP56" s="4">
        <v>0</v>
      </c>
      <c r="CQ56" s="4">
        <v>0</v>
      </c>
      <c r="CR56" s="19"/>
      <c r="CS56" s="2">
        <v>1282871.1536337016</v>
      </c>
      <c r="CT56" s="2">
        <v>10238856.516366303</v>
      </c>
      <c r="CU56" s="11"/>
      <c r="CV56" s="2">
        <v>0</v>
      </c>
      <c r="CW56" s="2">
        <v>0</v>
      </c>
      <c r="CX56" s="2">
        <v>107095</v>
      </c>
      <c r="CY56" s="2">
        <v>0</v>
      </c>
      <c r="CZ56" s="2">
        <v>0</v>
      </c>
      <c r="DA56" s="2">
        <v>0</v>
      </c>
      <c r="DB56" s="2">
        <v>673466.38899999997</v>
      </c>
      <c r="DC56" s="2">
        <v>0</v>
      </c>
      <c r="DD56" s="2">
        <v>9560.2739999999994</v>
      </c>
      <c r="DE56" s="11"/>
      <c r="DF56" s="2">
        <f t="shared" si="24"/>
        <v>175164980.54657653</v>
      </c>
      <c r="DJ56" s="4"/>
    </row>
    <row r="57" spans="1:114" x14ac:dyDescent="0.2">
      <c r="A57">
        <v>10</v>
      </c>
      <c r="E57" t="s">
        <v>241</v>
      </c>
      <c r="F57" s="2">
        <v>734580.09930103144</v>
      </c>
      <c r="G57" s="2">
        <v>939350.02387849067</v>
      </c>
      <c r="H57" s="2">
        <v>910954.09933379048</v>
      </c>
      <c r="I57" s="2">
        <v>1264721.5424866874</v>
      </c>
      <c r="J57" s="101">
        <v>473</v>
      </c>
      <c r="K57" s="4">
        <v>0</v>
      </c>
      <c r="L57" s="4">
        <v>0</v>
      </c>
      <c r="M57" s="4">
        <v>0</v>
      </c>
      <c r="N57" s="18">
        <v>0</v>
      </c>
      <c r="O57" s="4">
        <v>0</v>
      </c>
      <c r="P57" s="4">
        <v>0</v>
      </c>
      <c r="Q57" s="4">
        <v>0</v>
      </c>
      <c r="R57" s="18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19"/>
      <c r="AB57" s="4">
        <v>0</v>
      </c>
      <c r="AC57" s="2">
        <v>6713270</v>
      </c>
      <c r="AD57" s="72">
        <v>0</v>
      </c>
      <c r="AE57" s="74">
        <v>0</v>
      </c>
      <c r="AF57" s="4">
        <v>0</v>
      </c>
      <c r="AG57" s="2">
        <v>30709587.454999998</v>
      </c>
      <c r="AH57" s="2">
        <v>21911701.830000002</v>
      </c>
      <c r="AI57" s="19"/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88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88">
        <v>0</v>
      </c>
      <c r="AV57" s="2">
        <v>4206.3023233817858</v>
      </c>
      <c r="AW57" s="2">
        <v>9616.8216702938389</v>
      </c>
      <c r="AX57" s="2">
        <v>19255.583886726323</v>
      </c>
      <c r="AY57" s="2">
        <v>2164998.4683153071</v>
      </c>
      <c r="AZ57" s="2">
        <v>1984324.2567444199</v>
      </c>
      <c r="BA57" s="2">
        <v>174123.46040548332</v>
      </c>
      <c r="BB57" s="2">
        <v>1332854.31392869</v>
      </c>
      <c r="BC57" s="2">
        <v>2631524.0669873171</v>
      </c>
      <c r="BD57" s="2">
        <v>3991892.8043294447</v>
      </c>
      <c r="BE57" s="2">
        <v>25168337.441866778</v>
      </c>
      <c r="BF57" s="2">
        <v>13877906.991906272</v>
      </c>
      <c r="BG57" s="2">
        <v>10169360.789115239</v>
      </c>
      <c r="BH57" s="2">
        <v>3573.6484418798304</v>
      </c>
      <c r="BI57" s="2">
        <v>8181.574896318215</v>
      </c>
      <c r="BJ57" s="2">
        <v>17109.270494260662</v>
      </c>
      <c r="BK57" s="2">
        <v>350100.6183195996</v>
      </c>
      <c r="BL57" s="2">
        <v>198288.90356612351</v>
      </c>
      <c r="BM57" s="2">
        <v>211421.67428181827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18">
        <v>0</v>
      </c>
      <c r="BT57" s="4"/>
      <c r="BU57" s="4"/>
      <c r="BV57" s="4"/>
      <c r="BW57" s="4"/>
      <c r="BX57" s="4"/>
      <c r="BY57" s="4"/>
      <c r="BZ57" s="19"/>
      <c r="CA57" s="33">
        <v>0</v>
      </c>
      <c r="CB57" s="33">
        <v>0</v>
      </c>
      <c r="CC57" s="33">
        <v>0</v>
      </c>
      <c r="CD57" s="33">
        <v>0</v>
      </c>
      <c r="CE57" s="33">
        <v>0</v>
      </c>
      <c r="CF57" s="33">
        <v>0</v>
      </c>
      <c r="CG57" s="2">
        <v>0</v>
      </c>
      <c r="CH57" s="4">
        <v>0</v>
      </c>
      <c r="CI57" s="33">
        <v>0</v>
      </c>
      <c r="CJ57" s="33">
        <v>0</v>
      </c>
      <c r="CK57" s="19"/>
      <c r="CL57" s="4">
        <v>0</v>
      </c>
      <c r="CM57" s="4">
        <v>0</v>
      </c>
      <c r="CN57" s="4">
        <v>0</v>
      </c>
      <c r="CO57" s="26">
        <v>0</v>
      </c>
      <c r="CP57" s="4">
        <v>0</v>
      </c>
      <c r="CQ57" s="4">
        <v>0</v>
      </c>
      <c r="CR57" s="19"/>
      <c r="CS57" s="2">
        <v>1167982.22771194</v>
      </c>
      <c r="CT57" s="2">
        <v>9321904.5492880605</v>
      </c>
      <c r="CU57" s="11"/>
      <c r="CV57" s="2">
        <v>0</v>
      </c>
      <c r="CW57" s="2">
        <v>0</v>
      </c>
      <c r="CX57" s="2">
        <v>115161</v>
      </c>
      <c r="CY57" s="2">
        <v>0</v>
      </c>
      <c r="CZ57" s="2">
        <v>0</v>
      </c>
      <c r="DA57" s="2">
        <v>0</v>
      </c>
      <c r="DB57" s="2">
        <v>673466.38899999997</v>
      </c>
      <c r="DC57" s="2">
        <v>0</v>
      </c>
      <c r="DD57" s="2">
        <v>10426.66</v>
      </c>
      <c r="DE57" s="11"/>
      <c r="DF57" s="2">
        <f t="shared" si="24"/>
        <v>136790655.86747935</v>
      </c>
      <c r="DJ57" s="4"/>
    </row>
    <row r="58" spans="1:114" x14ac:dyDescent="0.2">
      <c r="A58">
        <v>11</v>
      </c>
      <c r="E58" t="s">
        <v>242</v>
      </c>
      <c r="F58" s="2">
        <v>650320.12207666377</v>
      </c>
      <c r="G58" s="2">
        <v>913020.36725565244</v>
      </c>
      <c r="H58" s="2">
        <v>954370.48729372979</v>
      </c>
      <c r="I58" s="2">
        <v>1359794.0343739546</v>
      </c>
      <c r="J58" s="101">
        <v>171.541</v>
      </c>
      <c r="K58" s="4">
        <v>0</v>
      </c>
      <c r="L58" s="4">
        <v>0</v>
      </c>
      <c r="M58" s="4">
        <v>0</v>
      </c>
      <c r="N58" s="18">
        <v>0</v>
      </c>
      <c r="O58" s="4">
        <v>0</v>
      </c>
      <c r="P58" s="4">
        <v>0</v>
      </c>
      <c r="Q58" s="4">
        <v>0</v>
      </c>
      <c r="R58" s="18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19"/>
      <c r="AB58" s="4">
        <v>0</v>
      </c>
      <c r="AC58" s="2">
        <v>6710230</v>
      </c>
      <c r="AD58" s="72">
        <v>0</v>
      </c>
      <c r="AE58" s="74">
        <v>0</v>
      </c>
      <c r="AF58" s="4">
        <v>0</v>
      </c>
      <c r="AG58" s="2">
        <v>30874099.120000001</v>
      </c>
      <c r="AH58" s="2">
        <v>20803562.381999984</v>
      </c>
      <c r="AI58" s="19"/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88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88">
        <v>0</v>
      </c>
      <c r="AV58" s="2">
        <v>3905.8534960473758</v>
      </c>
      <c r="AW58" s="2">
        <v>8929.9088971765377</v>
      </c>
      <c r="AX58" s="2">
        <v>17880.191165607073</v>
      </c>
      <c r="AY58" s="2">
        <v>2010356.4095716162</v>
      </c>
      <c r="AZ58" s="2">
        <v>1842587.441329126</v>
      </c>
      <c r="BA58" s="2">
        <v>161686.12578989234</v>
      </c>
      <c r="BB58" s="2">
        <v>1228839.7598893722</v>
      </c>
      <c r="BC58" s="2">
        <v>2426162.6862189895</v>
      </c>
      <c r="BD58" s="2">
        <v>3680369.6727493615</v>
      </c>
      <c r="BE58" s="2">
        <v>23204226.760324657</v>
      </c>
      <c r="BF58" s="2">
        <v>12794889.672100764</v>
      </c>
      <c r="BG58" s="2">
        <v>9375754.5290080011</v>
      </c>
      <c r="BH58" s="2">
        <v>3714.5882689493333</v>
      </c>
      <c r="BI58" s="2">
        <v>8504.245066536947</v>
      </c>
      <c r="BJ58" s="2">
        <v>17784.036818918492</v>
      </c>
      <c r="BK58" s="2">
        <v>363908.10985252011</v>
      </c>
      <c r="BL58" s="2">
        <v>206109.14784390424</v>
      </c>
      <c r="BM58" s="2">
        <v>219759.857149171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18">
        <v>0</v>
      </c>
      <c r="BT58" s="4"/>
      <c r="BU58" s="4"/>
      <c r="BV58" s="4"/>
      <c r="BW58" s="4"/>
      <c r="BX58" s="4"/>
      <c r="BY58" s="4"/>
      <c r="BZ58" s="19"/>
      <c r="CA58" s="33">
        <v>0</v>
      </c>
      <c r="CB58" s="33">
        <v>0</v>
      </c>
      <c r="CC58" s="33">
        <v>0</v>
      </c>
      <c r="CD58" s="33">
        <v>0</v>
      </c>
      <c r="CE58" s="33">
        <v>0</v>
      </c>
      <c r="CF58" s="33">
        <v>0</v>
      </c>
      <c r="CG58" s="2">
        <v>0</v>
      </c>
      <c r="CH58" s="4">
        <v>0</v>
      </c>
      <c r="CI58" s="33">
        <v>0</v>
      </c>
      <c r="CJ58" s="33">
        <v>0</v>
      </c>
      <c r="CK58" s="19"/>
      <c r="CL58" s="4">
        <v>0</v>
      </c>
      <c r="CM58" s="4">
        <v>0</v>
      </c>
      <c r="CN58" s="4">
        <v>0</v>
      </c>
      <c r="CO58" s="26">
        <v>0</v>
      </c>
      <c r="CP58" s="4">
        <v>0</v>
      </c>
      <c r="CQ58" s="4">
        <v>0</v>
      </c>
      <c r="CR58" s="19"/>
      <c r="CS58" s="2">
        <v>1124801.7160003174</v>
      </c>
      <c r="CT58" s="2">
        <v>8977272.0719996858</v>
      </c>
      <c r="CU58" s="11"/>
      <c r="CV58" s="2">
        <v>0</v>
      </c>
      <c r="CW58" s="2">
        <v>0</v>
      </c>
      <c r="CX58" s="2">
        <v>121067</v>
      </c>
      <c r="CY58" s="2">
        <v>0</v>
      </c>
      <c r="CZ58" s="2">
        <v>0</v>
      </c>
      <c r="DA58" s="2">
        <v>0</v>
      </c>
      <c r="DB58" s="2">
        <v>659310.07799999998</v>
      </c>
      <c r="DC58" s="2">
        <v>0</v>
      </c>
      <c r="DD58" s="2">
        <v>11110.058999999999</v>
      </c>
      <c r="DE58" s="11"/>
      <c r="DF58" s="2">
        <f t="shared" si="24"/>
        <v>130734497.97454061</v>
      </c>
      <c r="DJ58" s="4"/>
    </row>
    <row r="59" spans="1:114" x14ac:dyDescent="0.2">
      <c r="A59">
        <v>12</v>
      </c>
      <c r="E59" t="s">
        <v>243</v>
      </c>
      <c r="F59" s="2">
        <v>836942.41471908614</v>
      </c>
      <c r="G59" s="2">
        <v>1120709.2040503449</v>
      </c>
      <c r="H59" s="2">
        <v>1225425.0096723258</v>
      </c>
      <c r="I59" s="2">
        <v>1807155.5615582434</v>
      </c>
      <c r="J59" s="101">
        <v>884.18499999999995</v>
      </c>
      <c r="K59" s="4">
        <v>0</v>
      </c>
      <c r="L59" s="4">
        <v>0</v>
      </c>
      <c r="M59" s="4">
        <v>0</v>
      </c>
      <c r="N59" s="18">
        <v>0</v>
      </c>
      <c r="O59" s="4">
        <v>0</v>
      </c>
      <c r="P59" s="4">
        <v>0</v>
      </c>
      <c r="Q59" s="4">
        <v>0</v>
      </c>
      <c r="R59" s="18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19"/>
      <c r="AB59" s="4">
        <v>0</v>
      </c>
      <c r="AC59" s="2">
        <v>6954620</v>
      </c>
      <c r="AD59" s="72">
        <v>0</v>
      </c>
      <c r="AE59" s="74">
        <v>0</v>
      </c>
      <c r="AF59" s="4">
        <v>0</v>
      </c>
      <c r="AG59" s="2">
        <v>28425400.829999998</v>
      </c>
      <c r="AH59" s="2">
        <v>21196028.686999999</v>
      </c>
      <c r="AI59" s="19"/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88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88">
        <v>0</v>
      </c>
      <c r="AV59" s="2">
        <v>3803.95179401008</v>
      </c>
      <c r="AW59" s="2">
        <v>8696.9321824633134</v>
      </c>
      <c r="AX59" s="2">
        <v>17413.706205438593</v>
      </c>
      <c r="AY59" s="2">
        <v>1957907.2483206256</v>
      </c>
      <c r="AZ59" s="2">
        <v>1794515.2858798767</v>
      </c>
      <c r="BA59" s="2">
        <v>157467.81820859679</v>
      </c>
      <c r="BB59" s="2">
        <v>1269441.9511502506</v>
      </c>
      <c r="BC59" s="2">
        <v>2506325.7185615776</v>
      </c>
      <c r="BD59" s="2">
        <v>3801973.0568855964</v>
      </c>
      <c r="BE59" s="2">
        <v>23970919.443728969</v>
      </c>
      <c r="BF59" s="2">
        <v>13217646.629179724</v>
      </c>
      <c r="BG59" s="2">
        <v>9685539.5726137683</v>
      </c>
      <c r="BH59" s="2">
        <v>4338.60564662863</v>
      </c>
      <c r="BI59" s="2">
        <v>9932.8816532409437</v>
      </c>
      <c r="BJ59" s="2">
        <v>20771.594851408729</v>
      </c>
      <c r="BK59" s="2">
        <v>425041.39515485853</v>
      </c>
      <c r="BL59" s="2">
        <v>240733.62857798205</v>
      </c>
      <c r="BM59" s="2">
        <v>256677.53411588116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/>
      <c r="BU59" s="4"/>
      <c r="BV59" s="4"/>
      <c r="BW59" s="4"/>
      <c r="BX59" s="4"/>
      <c r="BY59" s="4"/>
      <c r="BZ59" s="19"/>
      <c r="CA59" s="33">
        <v>0</v>
      </c>
      <c r="CB59" s="33">
        <v>0</v>
      </c>
      <c r="CC59" s="33">
        <v>0</v>
      </c>
      <c r="CD59" s="33">
        <v>0</v>
      </c>
      <c r="CE59" s="33">
        <v>0</v>
      </c>
      <c r="CF59" s="33">
        <v>0</v>
      </c>
      <c r="CG59" s="2">
        <v>0</v>
      </c>
      <c r="CH59" s="4">
        <v>0</v>
      </c>
      <c r="CI59" s="33">
        <v>0</v>
      </c>
      <c r="CJ59" s="33">
        <v>0</v>
      </c>
      <c r="CK59" s="19"/>
      <c r="CL59" s="4">
        <v>0</v>
      </c>
      <c r="CM59" s="4">
        <v>0</v>
      </c>
      <c r="CN59" s="4">
        <v>0</v>
      </c>
      <c r="CO59" s="26">
        <v>0</v>
      </c>
      <c r="CP59" s="4">
        <v>0</v>
      </c>
      <c r="CQ59" s="4">
        <v>0</v>
      </c>
      <c r="CR59" s="19"/>
      <c r="CS59" s="2">
        <v>1121420.69273794</v>
      </c>
      <c r="CT59" s="2">
        <v>8950287.4352620654</v>
      </c>
      <c r="CU59" s="11"/>
      <c r="CV59" s="2">
        <v>0</v>
      </c>
      <c r="CW59" s="2">
        <v>0</v>
      </c>
      <c r="CX59" s="2">
        <v>133216</v>
      </c>
      <c r="CY59" s="2">
        <v>0</v>
      </c>
      <c r="CZ59" s="2">
        <v>0</v>
      </c>
      <c r="DA59" s="2">
        <v>0</v>
      </c>
      <c r="DB59" s="2">
        <v>659614.65999999992</v>
      </c>
      <c r="DC59" s="2">
        <v>0</v>
      </c>
      <c r="DD59" s="2">
        <v>11717.915999999996</v>
      </c>
      <c r="DE59" s="11"/>
      <c r="DF59" s="2">
        <f t="shared" si="24"/>
        <v>131792569.55071089</v>
      </c>
      <c r="DG59" s="3">
        <f>SUM(DF48:DF59)</f>
        <v>1640979481.6992965</v>
      </c>
      <c r="DH59" s="2">
        <f>+'DEI Sales by Revenue'!F15</f>
        <v>1750172484</v>
      </c>
      <c r="DI59" s="3">
        <f>+DH59-DG59</f>
        <v>109193002.30070353</v>
      </c>
    </row>
    <row r="60" spans="1:114" x14ac:dyDescent="0.2">
      <c r="E60" s="11"/>
      <c r="F60" s="11"/>
      <c r="G60" s="11"/>
      <c r="H60" s="11"/>
      <c r="I60" s="14"/>
      <c r="J60" s="16"/>
      <c r="K60" s="11"/>
      <c r="L60" s="11"/>
      <c r="M60" s="11"/>
      <c r="N60" s="14"/>
      <c r="O60" s="11"/>
      <c r="P60" s="11"/>
      <c r="Q60" s="11"/>
      <c r="R60" s="14"/>
      <c r="S60" s="11"/>
      <c r="T60" s="11"/>
      <c r="U60" s="11"/>
      <c r="V60" s="14"/>
      <c r="W60" s="11"/>
      <c r="X60" s="11"/>
      <c r="Y60" s="11"/>
      <c r="Z60" s="11"/>
      <c r="AA60" s="11"/>
      <c r="AB60" s="11"/>
      <c r="AC60" s="11"/>
      <c r="AD60" s="27"/>
      <c r="AE60" s="14"/>
      <c r="AF60" s="11"/>
      <c r="AG60" s="11"/>
      <c r="AH60" s="11"/>
      <c r="AI60" s="11"/>
      <c r="AJ60" s="92"/>
      <c r="AK60" s="92"/>
      <c r="AL60" s="92"/>
      <c r="AM60" s="92"/>
      <c r="AN60" s="92"/>
      <c r="AO60" s="94"/>
      <c r="AP60" s="92"/>
      <c r="AQ60" s="92"/>
      <c r="AR60" s="92"/>
      <c r="AS60" s="92"/>
      <c r="AT60" s="92"/>
      <c r="AU60" s="94"/>
      <c r="AV60" s="92"/>
      <c r="AW60" s="92"/>
      <c r="AX60" s="92"/>
      <c r="AY60" s="92"/>
      <c r="AZ60" s="92"/>
      <c r="BA60" s="94"/>
      <c r="BB60" s="92"/>
      <c r="BC60" s="92"/>
      <c r="BD60" s="92"/>
      <c r="BE60" s="92"/>
      <c r="BF60" s="92"/>
      <c r="BG60" s="94"/>
      <c r="BH60" s="92"/>
      <c r="BI60" s="92"/>
      <c r="BJ60" s="92"/>
      <c r="BK60" s="92"/>
      <c r="BL60" s="92"/>
      <c r="BM60" s="94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>
        <v>0</v>
      </c>
      <c r="CH60" s="11"/>
      <c r="CI60" s="11"/>
      <c r="CJ60" s="11"/>
      <c r="CK60" s="11"/>
      <c r="CL60" s="11"/>
      <c r="CM60" s="11"/>
      <c r="CN60" s="14"/>
      <c r="CO60" s="27"/>
      <c r="CP60" s="11"/>
      <c r="CQ60" s="14"/>
      <c r="CR60" s="11"/>
      <c r="CS60" s="92"/>
      <c r="CT60" s="92"/>
      <c r="CU60" s="11"/>
      <c r="CV60" s="11"/>
      <c r="CW60" s="11"/>
      <c r="CX60" s="11"/>
      <c r="CY60" s="11"/>
      <c r="CZ60" s="11"/>
      <c r="DA60" s="11"/>
      <c r="DB60" s="92"/>
      <c r="DC60" s="11">
        <v>0</v>
      </c>
      <c r="DD60" s="92"/>
      <c r="DE60" s="11"/>
      <c r="DH60" s="4"/>
      <c r="DI60" s="103">
        <f>+DI59/DG59</f>
        <v>6.6541357474884474E-2</v>
      </c>
    </row>
    <row r="61" spans="1:114" x14ac:dyDescent="0.2">
      <c r="E61" t="s">
        <v>31</v>
      </c>
      <c r="F61" s="344" t="str">
        <f>F46</f>
        <v>CSN0</v>
      </c>
      <c r="G61" s="344"/>
      <c r="H61" s="344"/>
      <c r="I61" s="345"/>
      <c r="J61" s="15" t="str">
        <f t="shared" ref="J61:Y62" si="25">J46</f>
        <v>CSN2</v>
      </c>
      <c r="K61" s="343" t="str">
        <f t="shared" si="25"/>
        <v>CSN7</v>
      </c>
      <c r="L61" s="344"/>
      <c r="M61" s="344"/>
      <c r="N61" s="345"/>
      <c r="O61" s="343" t="str">
        <f>O46</f>
        <v>CSN8</v>
      </c>
      <c r="P61" s="344"/>
      <c r="Q61" s="344"/>
      <c r="R61" s="345"/>
      <c r="S61" s="343" t="str">
        <f>S46</f>
        <v>CSN9</v>
      </c>
      <c r="T61" s="344"/>
      <c r="U61" s="344"/>
      <c r="V61" s="345"/>
      <c r="W61" s="343" t="str">
        <f>W46</f>
        <v>SFOC</v>
      </c>
      <c r="X61" s="344"/>
      <c r="Y61" s="344"/>
      <c r="Z61" s="344"/>
      <c r="AA61" s="11"/>
      <c r="AB61" t="str">
        <f t="shared" ref="AB61:AH62" si="26">AB46</f>
        <v>HBN0</v>
      </c>
      <c r="AC61" t="str">
        <f t="shared" si="26"/>
        <v>HCN0</v>
      </c>
      <c r="AD61" s="25" t="str">
        <f t="shared" si="26"/>
        <v>HCN3</v>
      </c>
      <c r="AE61" s="13" t="str">
        <f t="shared" si="26"/>
        <v>HSN3</v>
      </c>
      <c r="AF61" t="str">
        <f t="shared" si="26"/>
        <v>HDN0</v>
      </c>
      <c r="AG61" t="str">
        <f t="shared" si="26"/>
        <v>HPN0</v>
      </c>
      <c r="AH61" t="str">
        <f t="shared" si="26"/>
        <v>HSN0</v>
      </c>
      <c r="AI61" s="11"/>
      <c r="AJ61" s="346" t="str">
        <f>AJ46</f>
        <v>LBN0</v>
      </c>
      <c r="AK61" s="347"/>
      <c r="AL61" s="347"/>
      <c r="AM61" s="347"/>
      <c r="AN61" s="347"/>
      <c r="AO61" s="348"/>
      <c r="AP61" s="346" t="str">
        <f>AP46</f>
        <v>LDN0</v>
      </c>
      <c r="AQ61" s="347"/>
      <c r="AR61" s="347"/>
      <c r="AS61" s="347"/>
      <c r="AT61" s="347"/>
      <c r="AU61" s="348"/>
      <c r="AV61" s="346" t="str">
        <f>AV46</f>
        <v>LPN0</v>
      </c>
      <c r="AW61" s="347"/>
      <c r="AX61" s="347"/>
      <c r="AY61" s="347"/>
      <c r="AZ61" s="347"/>
      <c r="BA61" s="348"/>
      <c r="BB61" s="346" t="str">
        <f>BB46</f>
        <v>LSN0</v>
      </c>
      <c r="BC61" s="347"/>
      <c r="BD61" s="347"/>
      <c r="BE61" s="347"/>
      <c r="BF61" s="347"/>
      <c r="BG61" s="348"/>
      <c r="BH61" s="346" t="str">
        <f>BH46</f>
        <v>LSN2</v>
      </c>
      <c r="BI61" s="347"/>
      <c r="BJ61" s="347"/>
      <c r="BK61" s="347"/>
      <c r="BL61" s="347"/>
      <c r="BM61" s="348"/>
      <c r="BN61" s="343" t="str">
        <f>BN46</f>
        <v>LSN3 Current</v>
      </c>
      <c r="BO61" s="344"/>
      <c r="BP61" s="344"/>
      <c r="BQ61" s="344"/>
      <c r="BR61" s="344"/>
      <c r="BS61" s="344"/>
      <c r="BT61" s="349" t="s">
        <v>254</v>
      </c>
      <c r="BU61" s="344"/>
      <c r="BV61" s="344"/>
      <c r="BW61" s="344"/>
      <c r="BX61" s="344"/>
      <c r="BY61" s="344"/>
      <c r="BZ61" s="11"/>
      <c r="CA61" t="str">
        <f>CA46</f>
        <v>NUCF</v>
      </c>
      <c r="CB61" t="str">
        <f t="shared" ref="CB61:CJ61" si="27">CB46</f>
        <v>NUIF</v>
      </c>
      <c r="CC61" t="str">
        <f t="shared" si="27"/>
        <v>NUID</v>
      </c>
      <c r="CD61" t="str">
        <f t="shared" si="27"/>
        <v>NUCS</v>
      </c>
      <c r="CE61" t="str">
        <f t="shared" si="27"/>
        <v>SAES</v>
      </c>
      <c r="CF61" t="str">
        <f t="shared" si="27"/>
        <v>SASN</v>
      </c>
      <c r="CG61" t="str">
        <f t="shared" si="27"/>
        <v>SPUF</v>
      </c>
      <c r="CH61" t="str">
        <f t="shared" si="27"/>
        <v>SPUR</v>
      </c>
      <c r="CI61" t="str">
        <f t="shared" si="27"/>
        <v>SDEH</v>
      </c>
      <c r="CJ61" t="str">
        <f t="shared" si="27"/>
        <v>SDED</v>
      </c>
      <c r="CK61" s="11"/>
      <c r="CL61" s="344" t="str">
        <f t="shared" ref="CL61:CQ62" si="28">CL46</f>
        <v>RSN0</v>
      </c>
      <c r="CM61" s="344"/>
      <c r="CN61" s="345"/>
      <c r="CO61" s="343" t="str">
        <f>CO46</f>
        <v>RSN2</v>
      </c>
      <c r="CP61" s="344"/>
      <c r="CQ61" s="345"/>
      <c r="CR61" s="11"/>
      <c r="CS61" s="2" t="str">
        <f>CS46</f>
        <v xml:space="preserve">SWP </v>
      </c>
      <c r="CU61" s="11"/>
      <c r="CV61" t="str">
        <f t="shared" ref="CV61:DD61" si="29">CV46</f>
        <v>MHLS</v>
      </c>
      <c r="CW61" t="str">
        <f t="shared" si="29"/>
        <v>FS</v>
      </c>
      <c r="CX61" t="str">
        <f t="shared" si="29"/>
        <v>MOLS</v>
      </c>
      <c r="CY61" t="str">
        <f t="shared" si="29"/>
        <v>MS</v>
      </c>
      <c r="CZ61" t="str">
        <f t="shared" si="29"/>
        <v>SL</v>
      </c>
      <c r="DA61" t="str">
        <f t="shared" si="29"/>
        <v>TS</v>
      </c>
      <c r="DB61" s="2" t="str">
        <f t="shared" si="29"/>
        <v>UOLS</v>
      </c>
      <c r="DC61" t="str">
        <f t="shared" si="29"/>
        <v>WHTL</v>
      </c>
      <c r="DD61" s="2" t="str">
        <f t="shared" si="29"/>
        <v>XLED</v>
      </c>
      <c r="DE61" s="11"/>
      <c r="DH61" s="4"/>
      <c r="DI61" s="4"/>
    </row>
    <row r="62" spans="1:114" x14ac:dyDescent="0.2">
      <c r="F62" t="str">
        <f>F47</f>
        <v>First 300</v>
      </c>
      <c r="G62" t="str">
        <f>G47</f>
        <v>Next 700</v>
      </c>
      <c r="H62" t="str">
        <f>H47</f>
        <v>Next 1500</v>
      </c>
      <c r="I62" s="13" t="str">
        <f>I47</f>
        <v>Over 2500</v>
      </c>
      <c r="J62" s="15"/>
      <c r="K62" t="str">
        <f t="shared" si="25"/>
        <v>First 300</v>
      </c>
      <c r="L62" t="str">
        <f t="shared" si="25"/>
        <v>Next 700</v>
      </c>
      <c r="M62" t="str">
        <f t="shared" si="25"/>
        <v>Next 1500</v>
      </c>
      <c r="N62" s="13" t="str">
        <f t="shared" si="25"/>
        <v>Over 2500</v>
      </c>
      <c r="O62" t="str">
        <f t="shared" si="25"/>
        <v>First 300</v>
      </c>
      <c r="P62" t="str">
        <f t="shared" si="25"/>
        <v>Next 700</v>
      </c>
      <c r="Q62" t="str">
        <f t="shared" si="25"/>
        <v>Next 1500</v>
      </c>
      <c r="R62" s="13" t="str">
        <f t="shared" si="25"/>
        <v>Over 2500</v>
      </c>
      <c r="S62" t="str">
        <f t="shared" si="25"/>
        <v>First 300</v>
      </c>
      <c r="T62" t="str">
        <f t="shared" si="25"/>
        <v>Next 700</v>
      </c>
      <c r="U62" t="str">
        <f t="shared" si="25"/>
        <v>Next 1500</v>
      </c>
      <c r="V62" s="13" t="str">
        <f t="shared" si="25"/>
        <v>Over 2500</v>
      </c>
      <c r="W62" t="str">
        <f t="shared" si="25"/>
        <v>First 300</v>
      </c>
      <c r="X62" t="str">
        <f t="shared" si="25"/>
        <v>Next 700</v>
      </c>
      <c r="Y62" t="str">
        <f t="shared" si="25"/>
        <v>Next 1500</v>
      </c>
      <c r="Z62" t="str">
        <f>Z47</f>
        <v>Over 2500</v>
      </c>
      <c r="AA62" s="11"/>
      <c r="AD62" s="25" t="str">
        <f t="shared" si="26"/>
        <v xml:space="preserve"> </v>
      </c>
      <c r="AE62" s="13" t="str">
        <f t="shared" si="26"/>
        <v xml:space="preserve"> </v>
      </c>
      <c r="AI62" s="11"/>
      <c r="AJ62" s="2" t="str">
        <f>AJ47</f>
        <v>First 300 kWh</v>
      </c>
      <c r="AK62" s="2" t="str">
        <f>AK47</f>
        <v>Next 700 kWh</v>
      </c>
      <c r="AL62" s="2" t="str">
        <f>AL47</f>
        <v>Next 1500 kWh</v>
      </c>
      <c r="AM62" s="2" t="str">
        <f>AM47</f>
        <v>Over 2500 kWh</v>
      </c>
      <c r="AN62" s="2" t="str">
        <f t="shared" ref="AN62:BS62" si="30">AN47</f>
        <v>KWH_NEXT110</v>
      </c>
      <c r="AO62" s="88" t="str">
        <f t="shared" si="30"/>
        <v>KWH_300+</v>
      </c>
      <c r="AP62" s="2" t="str">
        <f t="shared" si="30"/>
        <v>First 300 kWh</v>
      </c>
      <c r="AQ62" s="2" t="str">
        <f t="shared" si="30"/>
        <v>Next 700 kWh</v>
      </c>
      <c r="AR62" s="2" t="str">
        <f t="shared" si="30"/>
        <v>Next 1500 kWh</v>
      </c>
      <c r="AS62" s="2" t="str">
        <f t="shared" si="30"/>
        <v>Over 2500 kWh</v>
      </c>
      <c r="AT62" s="2" t="str">
        <f t="shared" si="30"/>
        <v>KWH_NEXT110</v>
      </c>
      <c r="AU62" s="88" t="str">
        <f t="shared" si="30"/>
        <v>KWH_300+</v>
      </c>
      <c r="AV62" s="2" t="str">
        <f t="shared" si="30"/>
        <v>First 300 kWh</v>
      </c>
      <c r="AW62" s="2" t="str">
        <f t="shared" si="30"/>
        <v>Next 700 kWh</v>
      </c>
      <c r="AX62" s="2" t="str">
        <f t="shared" si="30"/>
        <v>Next 1500 kWh</v>
      </c>
      <c r="AY62" s="2" t="str">
        <f t="shared" si="30"/>
        <v>Over 2500 kWh</v>
      </c>
      <c r="AZ62" s="2" t="str">
        <f t="shared" si="30"/>
        <v>KWH_NEXT110</v>
      </c>
      <c r="BA62" s="88" t="str">
        <f t="shared" si="30"/>
        <v>KWH_300+</v>
      </c>
      <c r="BB62" s="2" t="str">
        <f t="shared" si="30"/>
        <v>First 300 kWh</v>
      </c>
      <c r="BC62" s="2" t="str">
        <f t="shared" si="30"/>
        <v>Next 700 kWh</v>
      </c>
      <c r="BD62" s="2" t="str">
        <f t="shared" si="30"/>
        <v>Next 1500 kWh</v>
      </c>
      <c r="BE62" s="2" t="str">
        <f t="shared" si="30"/>
        <v>Over 2500 kWh</v>
      </c>
      <c r="BF62" s="2" t="str">
        <f t="shared" si="30"/>
        <v>KWH_NEXT110</v>
      </c>
      <c r="BG62" s="88" t="str">
        <f t="shared" si="30"/>
        <v>KWH_300+</v>
      </c>
      <c r="BH62" s="2" t="str">
        <f t="shared" si="30"/>
        <v>First 300 kWh</v>
      </c>
      <c r="BI62" s="2" t="str">
        <f t="shared" si="30"/>
        <v>Next 700 kWh</v>
      </c>
      <c r="BJ62" s="2" t="str">
        <f t="shared" si="30"/>
        <v>Next 1500 kWh</v>
      </c>
      <c r="BK62" s="2" t="str">
        <f t="shared" si="30"/>
        <v>Over 2500 kWh</v>
      </c>
      <c r="BL62" s="2" t="str">
        <f t="shared" si="30"/>
        <v>KWH_NEXT110</v>
      </c>
      <c r="BM62" s="88" t="str">
        <f t="shared" si="30"/>
        <v>KWH_300+</v>
      </c>
      <c r="BN62" t="str">
        <f t="shared" si="30"/>
        <v>First 300 kWh</v>
      </c>
      <c r="BO62" t="str">
        <f t="shared" si="30"/>
        <v>Next 700 kWh</v>
      </c>
      <c r="BP62" t="str">
        <f t="shared" si="30"/>
        <v>Next 1500 kWh</v>
      </c>
      <c r="BQ62" t="str">
        <f t="shared" si="30"/>
        <v>Over 2500 kWh</v>
      </c>
      <c r="BR62" t="str">
        <f t="shared" si="30"/>
        <v>KWH_NEXT110</v>
      </c>
      <c r="BS62" s="13" t="str">
        <f t="shared" si="30"/>
        <v>KWH_300+</v>
      </c>
      <c r="BT62" t="s">
        <v>223</v>
      </c>
      <c r="BU62" t="s">
        <v>224</v>
      </c>
      <c r="BV62" t="s">
        <v>225</v>
      </c>
      <c r="BW62" t="s">
        <v>226</v>
      </c>
      <c r="BX62" t="s">
        <v>227</v>
      </c>
      <c r="BY62" s="13" t="s">
        <v>228</v>
      </c>
      <c r="BZ62" s="11"/>
      <c r="CK62" s="11"/>
      <c r="CL62" t="str">
        <f t="shared" si="28"/>
        <v>First 300 kWh</v>
      </c>
      <c r="CM62" t="str">
        <f t="shared" si="28"/>
        <v>Next 700 kWh</v>
      </c>
      <c r="CN62" s="13" t="str">
        <f t="shared" si="28"/>
        <v>Over 1000 kWh</v>
      </c>
      <c r="CO62" s="25" t="str">
        <f t="shared" si="28"/>
        <v>First 300 kWh</v>
      </c>
      <c r="CP62" t="str">
        <f t="shared" si="28"/>
        <v>Next 700 kWh</v>
      </c>
      <c r="CQ62" s="13" t="str">
        <f t="shared" si="28"/>
        <v>Over 1000 kWh</v>
      </c>
      <c r="CR62" s="11"/>
      <c r="CU62" s="11"/>
      <c r="DB62" s="2"/>
      <c r="DC62" s="2" t="s">
        <v>8</v>
      </c>
      <c r="DD62" s="2"/>
      <c r="DE62" s="11"/>
      <c r="DH62" s="4"/>
      <c r="DI62" s="4"/>
    </row>
    <row r="63" spans="1:114" x14ac:dyDescent="0.2">
      <c r="A63">
        <v>1</v>
      </c>
      <c r="E63" t="s">
        <v>232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18">
        <v>0</v>
      </c>
      <c r="O63" s="4">
        <v>0</v>
      </c>
      <c r="P63" s="4">
        <v>0</v>
      </c>
      <c r="Q63" s="4">
        <v>0</v>
      </c>
      <c r="R63" s="18">
        <v>0</v>
      </c>
      <c r="S63" s="4">
        <v>0</v>
      </c>
      <c r="T63" s="4">
        <v>0</v>
      </c>
      <c r="U63" s="4">
        <v>0</v>
      </c>
      <c r="V63" s="18">
        <v>0</v>
      </c>
      <c r="W63" s="4">
        <v>0</v>
      </c>
      <c r="X63" s="4">
        <v>0</v>
      </c>
      <c r="Y63" s="4">
        <v>0</v>
      </c>
      <c r="Z63" s="4">
        <v>0</v>
      </c>
      <c r="AA63" s="19"/>
      <c r="AB63" s="4">
        <v>0</v>
      </c>
      <c r="AC63" s="4">
        <v>0</v>
      </c>
      <c r="AD63" s="72">
        <v>0</v>
      </c>
      <c r="AE63" s="74">
        <v>0</v>
      </c>
      <c r="AF63" s="4">
        <v>0</v>
      </c>
      <c r="AG63" s="4">
        <v>0</v>
      </c>
      <c r="AH63" s="4">
        <v>0</v>
      </c>
      <c r="AI63" s="19"/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88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88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88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88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88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18">
        <v>0</v>
      </c>
      <c r="BT63" s="4"/>
      <c r="BU63" s="4"/>
      <c r="BV63" s="4"/>
      <c r="BW63" s="4"/>
      <c r="BX63" s="4"/>
      <c r="BY63" s="4"/>
      <c r="BZ63" s="19"/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0</v>
      </c>
      <c r="CH63" s="33">
        <v>0</v>
      </c>
      <c r="CI63" s="33">
        <v>0</v>
      </c>
      <c r="CJ63" s="33">
        <v>0</v>
      </c>
      <c r="CK63" s="19"/>
      <c r="CL63" s="4">
        <v>0</v>
      </c>
      <c r="CM63" s="4">
        <v>0</v>
      </c>
      <c r="CN63" s="18">
        <v>0</v>
      </c>
      <c r="CO63" s="26">
        <v>0</v>
      </c>
      <c r="CP63" s="4">
        <v>0</v>
      </c>
      <c r="CQ63" s="18">
        <v>0</v>
      </c>
      <c r="CR63" s="19"/>
      <c r="CS63" s="2">
        <v>0</v>
      </c>
      <c r="CT63" s="2">
        <v>0</v>
      </c>
      <c r="CU63" s="11"/>
      <c r="CV63" s="2">
        <v>446542</v>
      </c>
      <c r="CW63" s="2">
        <v>25165.599999999999</v>
      </c>
      <c r="CX63" s="2">
        <v>191068</v>
      </c>
      <c r="CY63" s="2">
        <v>278616</v>
      </c>
      <c r="CZ63" s="85">
        <v>2931843.6159999999</v>
      </c>
      <c r="DA63" s="2">
        <v>296316</v>
      </c>
      <c r="DB63" s="2">
        <v>6756963.1959999995</v>
      </c>
      <c r="DC63" s="2">
        <v>2286</v>
      </c>
      <c r="DD63" s="2">
        <v>262508.34399999998</v>
      </c>
      <c r="DE63" s="11"/>
      <c r="DF63" s="2">
        <f t="shared" ref="DF63:DF74" si="31">SUM(F63:DD63)</f>
        <v>11191308.756000001</v>
      </c>
      <c r="DH63" s="4"/>
      <c r="DI63" s="4"/>
    </row>
    <row r="64" spans="1:114" x14ac:dyDescent="0.2">
      <c r="A64">
        <v>2</v>
      </c>
      <c r="E64" t="s">
        <v>233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18">
        <v>0</v>
      </c>
      <c r="O64" s="4">
        <v>0</v>
      </c>
      <c r="P64" s="4">
        <v>0</v>
      </c>
      <c r="Q64" s="4">
        <v>0</v>
      </c>
      <c r="R64" s="18">
        <v>0</v>
      </c>
      <c r="S64" s="4">
        <v>0</v>
      </c>
      <c r="T64" s="4">
        <v>0</v>
      </c>
      <c r="U64" s="4">
        <v>0</v>
      </c>
      <c r="V64" s="18">
        <v>0</v>
      </c>
      <c r="W64" s="4">
        <v>0</v>
      </c>
      <c r="X64" s="4">
        <v>0</v>
      </c>
      <c r="Y64" s="4">
        <v>0</v>
      </c>
      <c r="Z64" s="4">
        <v>0</v>
      </c>
      <c r="AA64" s="19"/>
      <c r="AB64" s="4">
        <v>0</v>
      </c>
      <c r="AC64" s="4">
        <v>0</v>
      </c>
      <c r="AD64" s="72">
        <v>0</v>
      </c>
      <c r="AE64" s="74">
        <v>0</v>
      </c>
      <c r="AF64" s="4">
        <v>0</v>
      </c>
      <c r="AG64" s="4">
        <v>0</v>
      </c>
      <c r="AH64" s="4">
        <v>0</v>
      </c>
      <c r="AI64" s="19"/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88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88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88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88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88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18">
        <v>0</v>
      </c>
      <c r="BT64" s="4"/>
      <c r="BU64" s="4"/>
      <c r="BV64" s="4"/>
      <c r="BW64" s="4"/>
      <c r="BX64" s="4"/>
      <c r="BY64" s="4"/>
      <c r="BZ64" s="19"/>
      <c r="CA64" s="33">
        <v>0</v>
      </c>
      <c r="CB64" s="33">
        <v>0</v>
      </c>
      <c r="CC64" s="33">
        <v>0</v>
      </c>
      <c r="CD64" s="33">
        <v>0</v>
      </c>
      <c r="CE64" s="33">
        <v>0</v>
      </c>
      <c r="CF64" s="33">
        <v>0</v>
      </c>
      <c r="CG64" s="33">
        <v>0</v>
      </c>
      <c r="CH64" s="33">
        <v>0</v>
      </c>
      <c r="CI64" s="33">
        <v>0</v>
      </c>
      <c r="CJ64" s="33">
        <v>0</v>
      </c>
      <c r="CK64" s="19"/>
      <c r="CL64" s="4">
        <v>0</v>
      </c>
      <c r="CM64" s="4">
        <v>0</v>
      </c>
      <c r="CN64" s="18">
        <v>0</v>
      </c>
      <c r="CO64" s="26">
        <v>0</v>
      </c>
      <c r="CP64" s="4">
        <v>0</v>
      </c>
      <c r="CQ64" s="18">
        <v>0</v>
      </c>
      <c r="CR64" s="19"/>
      <c r="CS64" s="2">
        <v>0</v>
      </c>
      <c r="CT64" s="2">
        <v>0</v>
      </c>
      <c r="CU64" s="11"/>
      <c r="CV64" s="2">
        <v>405185</v>
      </c>
      <c r="CW64" s="2">
        <v>25220</v>
      </c>
      <c r="CX64" s="2">
        <v>160611</v>
      </c>
      <c r="CY64" s="2">
        <v>251203</v>
      </c>
      <c r="CZ64" s="85">
        <v>2911250.9220000003</v>
      </c>
      <c r="DA64" s="2">
        <v>296316</v>
      </c>
      <c r="DB64" s="2">
        <v>6649299.29</v>
      </c>
      <c r="DC64" s="2">
        <v>1952</v>
      </c>
      <c r="DD64" s="2">
        <v>289192.15699999995</v>
      </c>
      <c r="DE64" s="11"/>
      <c r="DF64" s="2">
        <f t="shared" si="31"/>
        <v>10990229.369000001</v>
      </c>
      <c r="DH64" s="4"/>
      <c r="DI64" s="4"/>
    </row>
    <row r="65" spans="1:113" x14ac:dyDescent="0.2">
      <c r="A65">
        <v>3</v>
      </c>
      <c r="E65" t="s">
        <v>234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8">
        <v>0</v>
      </c>
      <c r="O65" s="4">
        <v>0</v>
      </c>
      <c r="P65" s="4">
        <v>0</v>
      </c>
      <c r="Q65" s="4">
        <v>0</v>
      </c>
      <c r="R65" s="18">
        <v>0</v>
      </c>
      <c r="S65" s="4">
        <v>0</v>
      </c>
      <c r="T65" s="4">
        <v>0</v>
      </c>
      <c r="U65" s="4">
        <v>0</v>
      </c>
      <c r="V65" s="18">
        <v>0</v>
      </c>
      <c r="W65" s="4">
        <v>0</v>
      </c>
      <c r="X65" s="4">
        <v>0</v>
      </c>
      <c r="Y65" s="4">
        <v>0</v>
      </c>
      <c r="Z65" s="4">
        <v>0</v>
      </c>
      <c r="AA65" s="19"/>
      <c r="AB65" s="4">
        <v>0</v>
      </c>
      <c r="AC65" s="4">
        <v>0</v>
      </c>
      <c r="AD65" s="72">
        <v>0</v>
      </c>
      <c r="AE65" s="74">
        <v>0</v>
      </c>
      <c r="AF65" s="4">
        <v>0</v>
      </c>
      <c r="AG65" s="4">
        <v>0</v>
      </c>
      <c r="AH65" s="4">
        <v>0</v>
      </c>
      <c r="AI65" s="19"/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88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88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88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88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88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18">
        <v>0</v>
      </c>
      <c r="BT65" s="4"/>
      <c r="BU65" s="4"/>
      <c r="BV65" s="4"/>
      <c r="BW65" s="4"/>
      <c r="BX65" s="4"/>
      <c r="BY65" s="4"/>
      <c r="BZ65" s="19"/>
      <c r="CA65" s="33">
        <v>0</v>
      </c>
      <c r="CB65" s="33">
        <v>0</v>
      </c>
      <c r="CC65" s="33">
        <v>0</v>
      </c>
      <c r="CD65" s="33">
        <v>0</v>
      </c>
      <c r="CE65" s="33">
        <v>0</v>
      </c>
      <c r="CF65" s="33">
        <v>0</v>
      </c>
      <c r="CG65" s="33">
        <v>0</v>
      </c>
      <c r="CH65" s="33">
        <v>0</v>
      </c>
      <c r="CI65" s="33">
        <v>0</v>
      </c>
      <c r="CJ65" s="33">
        <v>0</v>
      </c>
      <c r="CK65" s="19"/>
      <c r="CL65" s="4">
        <v>0</v>
      </c>
      <c r="CM65" s="4">
        <v>0</v>
      </c>
      <c r="CN65" s="18">
        <v>0</v>
      </c>
      <c r="CO65" s="26">
        <v>0</v>
      </c>
      <c r="CP65" s="4">
        <v>0</v>
      </c>
      <c r="CQ65" s="18">
        <v>0</v>
      </c>
      <c r="CR65" s="19"/>
      <c r="CS65" s="2">
        <v>0</v>
      </c>
      <c r="CT65" s="2">
        <v>0</v>
      </c>
      <c r="CU65" s="11"/>
      <c r="CV65" s="2">
        <v>377341</v>
      </c>
      <c r="CW65" s="2">
        <v>25220</v>
      </c>
      <c r="CX65" s="2">
        <v>148007</v>
      </c>
      <c r="CY65" s="2">
        <v>240655</v>
      </c>
      <c r="CZ65" s="85">
        <v>2897617.6</v>
      </c>
      <c r="DA65" s="2">
        <v>296316</v>
      </c>
      <c r="DB65" s="2">
        <v>6582180.4480000008</v>
      </c>
      <c r="DC65" s="2">
        <v>1788</v>
      </c>
      <c r="DD65" s="97">
        <v>303940.27799999999</v>
      </c>
      <c r="DE65" s="11"/>
      <c r="DF65" s="2">
        <f t="shared" si="31"/>
        <v>10873065.326000001</v>
      </c>
      <c r="DH65" s="4"/>
      <c r="DI65" s="4"/>
    </row>
    <row r="66" spans="1:113" x14ac:dyDescent="0.2">
      <c r="A66">
        <v>4</v>
      </c>
      <c r="E66" t="s">
        <v>235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18">
        <v>0</v>
      </c>
      <c r="O66" s="4">
        <v>0</v>
      </c>
      <c r="P66" s="4">
        <v>0</v>
      </c>
      <c r="Q66" s="4">
        <v>0</v>
      </c>
      <c r="R66" s="18">
        <v>0</v>
      </c>
      <c r="S66" s="4">
        <v>0</v>
      </c>
      <c r="T66" s="4">
        <v>0</v>
      </c>
      <c r="U66" s="4">
        <v>0</v>
      </c>
      <c r="V66" s="18">
        <v>0</v>
      </c>
      <c r="W66" s="4">
        <v>0</v>
      </c>
      <c r="X66" s="4">
        <v>0</v>
      </c>
      <c r="Y66" s="4">
        <v>0</v>
      </c>
      <c r="Z66" s="4">
        <v>0</v>
      </c>
      <c r="AA66" s="19"/>
      <c r="AB66" s="4">
        <v>0</v>
      </c>
      <c r="AC66" s="4">
        <v>0</v>
      </c>
      <c r="AD66" s="72">
        <v>0</v>
      </c>
      <c r="AE66" s="74">
        <v>0</v>
      </c>
      <c r="AF66" s="4">
        <v>0</v>
      </c>
      <c r="AG66" s="4">
        <v>0</v>
      </c>
      <c r="AH66" s="4">
        <v>0</v>
      </c>
      <c r="AI66" s="19"/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88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88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88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88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88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18">
        <v>0</v>
      </c>
      <c r="BT66" s="4"/>
      <c r="BU66" s="4"/>
      <c r="BV66" s="4"/>
      <c r="BW66" s="4"/>
      <c r="BX66" s="4"/>
      <c r="BY66" s="4"/>
      <c r="BZ66" s="19"/>
      <c r="CA66" s="33">
        <v>0</v>
      </c>
      <c r="CB66" s="33">
        <v>0</v>
      </c>
      <c r="CC66" s="33">
        <v>0</v>
      </c>
      <c r="CD66" s="33">
        <v>0</v>
      </c>
      <c r="CE66" s="33">
        <v>0</v>
      </c>
      <c r="CF66" s="33">
        <v>0</v>
      </c>
      <c r="CG66" s="33">
        <v>0</v>
      </c>
      <c r="CH66" s="33">
        <v>0</v>
      </c>
      <c r="CI66" s="33">
        <v>0</v>
      </c>
      <c r="CJ66" s="33">
        <v>0</v>
      </c>
      <c r="CK66" s="19"/>
      <c r="CL66" s="4">
        <v>0</v>
      </c>
      <c r="CM66" s="4">
        <v>0</v>
      </c>
      <c r="CN66" s="18">
        <v>0</v>
      </c>
      <c r="CO66" s="26">
        <v>0</v>
      </c>
      <c r="CP66" s="4">
        <v>0</v>
      </c>
      <c r="CQ66" s="18">
        <v>0</v>
      </c>
      <c r="CR66" s="19"/>
      <c r="CS66" s="2">
        <v>0</v>
      </c>
      <c r="CT66" s="2">
        <v>0</v>
      </c>
      <c r="CU66" s="11"/>
      <c r="CV66" s="2">
        <v>328781</v>
      </c>
      <c r="CW66" s="2">
        <v>25220</v>
      </c>
      <c r="CX66" s="2">
        <v>137674</v>
      </c>
      <c r="CY66" s="2">
        <v>241157</v>
      </c>
      <c r="CZ66" s="85">
        <v>2861260.7989999996</v>
      </c>
      <c r="DA66" s="2">
        <v>292311.93299999996</v>
      </c>
      <c r="DB66" s="2">
        <v>6554866.4879999999</v>
      </c>
      <c r="DC66" s="2">
        <v>1774</v>
      </c>
      <c r="DD66" s="2">
        <v>323111.19899999996</v>
      </c>
      <c r="DE66" s="11"/>
      <c r="DF66" s="2">
        <f t="shared" si="31"/>
        <v>10766156.418999998</v>
      </c>
      <c r="DH66" s="4"/>
      <c r="DI66" s="4"/>
    </row>
    <row r="67" spans="1:113" x14ac:dyDescent="0.2">
      <c r="A67">
        <v>5</v>
      </c>
      <c r="E67" t="s">
        <v>236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18">
        <v>0</v>
      </c>
      <c r="O67" s="4">
        <v>0</v>
      </c>
      <c r="P67" s="4">
        <v>0</v>
      </c>
      <c r="Q67" s="4">
        <v>0</v>
      </c>
      <c r="R67" s="18">
        <v>0</v>
      </c>
      <c r="S67" s="4">
        <v>0</v>
      </c>
      <c r="T67" s="4">
        <v>0</v>
      </c>
      <c r="U67" s="4">
        <v>0</v>
      </c>
      <c r="V67" s="18">
        <v>0</v>
      </c>
      <c r="W67" s="4">
        <v>0</v>
      </c>
      <c r="X67" s="4">
        <v>0</v>
      </c>
      <c r="Y67" s="4">
        <v>0</v>
      </c>
      <c r="Z67" s="4">
        <v>0</v>
      </c>
      <c r="AA67" s="19"/>
      <c r="AB67" s="4">
        <v>0</v>
      </c>
      <c r="AC67" s="4">
        <v>0</v>
      </c>
      <c r="AD67" s="72">
        <v>0</v>
      </c>
      <c r="AE67" s="74">
        <v>0</v>
      </c>
      <c r="AF67" s="4">
        <v>0</v>
      </c>
      <c r="AG67" s="4">
        <v>0</v>
      </c>
      <c r="AH67" s="4">
        <v>0</v>
      </c>
      <c r="AI67" s="19"/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88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88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88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88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88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18">
        <v>0</v>
      </c>
      <c r="BT67" s="4"/>
      <c r="BU67" s="4"/>
      <c r="BV67" s="4"/>
      <c r="BW67" s="4"/>
      <c r="BX67" s="4"/>
      <c r="BY67" s="4"/>
      <c r="BZ67" s="19"/>
      <c r="CA67" s="33">
        <v>0</v>
      </c>
      <c r="CB67" s="33">
        <v>0</v>
      </c>
      <c r="CC67" s="33">
        <v>0</v>
      </c>
      <c r="CD67" s="33">
        <v>0</v>
      </c>
      <c r="CE67" s="33">
        <v>0</v>
      </c>
      <c r="CF67" s="33">
        <v>0</v>
      </c>
      <c r="CG67" s="33">
        <v>0</v>
      </c>
      <c r="CH67" s="33">
        <v>0</v>
      </c>
      <c r="CI67" s="33">
        <v>0</v>
      </c>
      <c r="CJ67" s="33">
        <v>0</v>
      </c>
      <c r="CK67" s="19"/>
      <c r="CL67" s="4">
        <v>0</v>
      </c>
      <c r="CM67" s="4">
        <v>0</v>
      </c>
      <c r="CN67" s="18">
        <v>0</v>
      </c>
      <c r="CO67" s="26">
        <v>0</v>
      </c>
      <c r="CP67" s="4">
        <v>0</v>
      </c>
      <c r="CQ67" s="18">
        <v>0</v>
      </c>
      <c r="CR67" s="19"/>
      <c r="CS67" s="2">
        <v>0</v>
      </c>
      <c r="CT67" s="2">
        <v>0</v>
      </c>
      <c r="CU67" s="11"/>
      <c r="CV67" s="2">
        <v>295073</v>
      </c>
      <c r="CW67" s="2">
        <v>24627.866999999998</v>
      </c>
      <c r="CX67" s="2">
        <v>120777</v>
      </c>
      <c r="CY67" s="2">
        <v>216363</v>
      </c>
      <c r="CZ67" s="85">
        <v>2828870.3930000002</v>
      </c>
      <c r="DA67" s="2">
        <v>267614</v>
      </c>
      <c r="DB67" s="2">
        <v>6522326.9529999997</v>
      </c>
      <c r="DC67" s="2">
        <v>1384</v>
      </c>
      <c r="DD67" s="2">
        <v>340723.32099999901</v>
      </c>
      <c r="DE67" s="11"/>
      <c r="DF67" s="2">
        <f t="shared" si="31"/>
        <v>10617759.533999998</v>
      </c>
      <c r="DH67" s="4"/>
      <c r="DI67" s="4"/>
    </row>
    <row r="68" spans="1:113" x14ac:dyDescent="0.2">
      <c r="A68">
        <v>6</v>
      </c>
      <c r="E68" t="s">
        <v>237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18">
        <v>0</v>
      </c>
      <c r="O68" s="4">
        <v>0</v>
      </c>
      <c r="P68" s="4">
        <v>0</v>
      </c>
      <c r="Q68" s="4">
        <v>0</v>
      </c>
      <c r="R68" s="18">
        <v>0</v>
      </c>
      <c r="S68" s="4">
        <v>0</v>
      </c>
      <c r="T68" s="4">
        <v>0</v>
      </c>
      <c r="U68" s="4">
        <v>0</v>
      </c>
      <c r="V68" s="18">
        <v>0</v>
      </c>
      <c r="W68" s="4">
        <v>0</v>
      </c>
      <c r="X68" s="4">
        <v>0</v>
      </c>
      <c r="Y68" s="4">
        <v>0</v>
      </c>
      <c r="Z68" s="4">
        <v>0</v>
      </c>
      <c r="AA68" s="19"/>
      <c r="AB68" s="4">
        <v>0</v>
      </c>
      <c r="AC68" s="4">
        <v>0</v>
      </c>
      <c r="AD68" s="72">
        <v>0</v>
      </c>
      <c r="AE68" s="74">
        <v>0</v>
      </c>
      <c r="AF68" s="4">
        <v>0</v>
      </c>
      <c r="AG68" s="4">
        <v>0</v>
      </c>
      <c r="AH68" s="4">
        <v>0</v>
      </c>
      <c r="AI68" s="19"/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88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88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88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88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88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18">
        <v>0</v>
      </c>
      <c r="BT68" s="4"/>
      <c r="BU68" s="4"/>
      <c r="BV68" s="4"/>
      <c r="BW68" s="4"/>
      <c r="BX68" s="4"/>
      <c r="BY68" s="4"/>
      <c r="BZ68" s="19"/>
      <c r="CA68" s="33">
        <v>0</v>
      </c>
      <c r="CB68" s="33">
        <v>0</v>
      </c>
      <c r="CC68" s="33">
        <v>0</v>
      </c>
      <c r="CD68" s="33">
        <v>0</v>
      </c>
      <c r="CE68" s="33">
        <v>0</v>
      </c>
      <c r="CF68" s="33">
        <v>0</v>
      </c>
      <c r="CG68" s="33">
        <v>0</v>
      </c>
      <c r="CH68" s="33">
        <v>0</v>
      </c>
      <c r="CI68" s="33">
        <v>0</v>
      </c>
      <c r="CJ68" s="33">
        <v>0</v>
      </c>
      <c r="CK68" s="19"/>
      <c r="CL68" s="4">
        <v>0</v>
      </c>
      <c r="CM68" s="4">
        <v>0</v>
      </c>
      <c r="CN68" s="18">
        <v>0</v>
      </c>
      <c r="CO68" s="26">
        <v>0</v>
      </c>
      <c r="CP68" s="4">
        <v>0</v>
      </c>
      <c r="CQ68" s="18">
        <v>0</v>
      </c>
      <c r="CR68" s="19"/>
      <c r="CS68" s="2">
        <v>0</v>
      </c>
      <c r="CT68" s="2">
        <v>0</v>
      </c>
      <c r="CU68" s="11"/>
      <c r="CV68" s="2">
        <v>291025</v>
      </c>
      <c r="CW68" s="2">
        <v>24486</v>
      </c>
      <c r="CX68" s="2">
        <v>120153</v>
      </c>
      <c r="CY68" s="2">
        <v>230565</v>
      </c>
      <c r="CZ68" s="85">
        <v>2781017.6039999998</v>
      </c>
      <c r="DA68" s="2">
        <v>267614</v>
      </c>
      <c r="DB68" s="2">
        <v>6500749.5369999995</v>
      </c>
      <c r="DC68" s="2">
        <v>1448</v>
      </c>
      <c r="DD68" s="2">
        <v>371073.10699999903</v>
      </c>
      <c r="DE68" s="11"/>
      <c r="DF68" s="2">
        <f t="shared" si="31"/>
        <v>10588131.247999998</v>
      </c>
      <c r="DH68" s="4"/>
      <c r="DI68" s="4"/>
    </row>
    <row r="69" spans="1:113" x14ac:dyDescent="0.2">
      <c r="A69">
        <v>7</v>
      </c>
      <c r="E69" t="s">
        <v>238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18">
        <v>0</v>
      </c>
      <c r="O69" s="4">
        <v>0</v>
      </c>
      <c r="P69" s="4">
        <v>0</v>
      </c>
      <c r="Q69" s="4">
        <v>0</v>
      </c>
      <c r="R69" s="18">
        <v>0</v>
      </c>
      <c r="S69" s="4">
        <v>0</v>
      </c>
      <c r="T69" s="4">
        <v>0</v>
      </c>
      <c r="U69" s="4">
        <v>0</v>
      </c>
      <c r="V69" s="18">
        <v>0</v>
      </c>
      <c r="W69" s="4">
        <v>0</v>
      </c>
      <c r="X69" s="4">
        <v>0</v>
      </c>
      <c r="Y69" s="4">
        <v>0</v>
      </c>
      <c r="Z69" s="4">
        <v>0</v>
      </c>
      <c r="AA69" s="19"/>
      <c r="AB69" s="4">
        <v>0</v>
      </c>
      <c r="AC69" s="4">
        <v>0</v>
      </c>
      <c r="AD69" s="72">
        <v>0</v>
      </c>
      <c r="AE69" s="74">
        <v>0</v>
      </c>
      <c r="AF69" s="4">
        <v>0</v>
      </c>
      <c r="AG69" s="4">
        <v>0</v>
      </c>
      <c r="AH69" s="4">
        <v>0</v>
      </c>
      <c r="AI69" s="19"/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88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88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88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88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88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18">
        <v>0</v>
      </c>
      <c r="BT69" s="4"/>
      <c r="BU69" s="4"/>
      <c r="BV69" s="4"/>
      <c r="BW69" s="4"/>
      <c r="BX69" s="4"/>
      <c r="BY69" s="4"/>
      <c r="BZ69" s="19"/>
      <c r="CA69" s="33">
        <v>0</v>
      </c>
      <c r="CB69" s="33">
        <v>0</v>
      </c>
      <c r="CC69" s="33">
        <v>0</v>
      </c>
      <c r="CD69" s="33">
        <v>0</v>
      </c>
      <c r="CE69" s="33">
        <v>0</v>
      </c>
      <c r="CF69" s="33">
        <v>0</v>
      </c>
      <c r="CG69" s="33">
        <v>0</v>
      </c>
      <c r="CH69" s="33">
        <v>0</v>
      </c>
      <c r="CI69" s="33">
        <v>0</v>
      </c>
      <c r="CJ69" s="33">
        <v>0</v>
      </c>
      <c r="CK69" s="19"/>
      <c r="CL69" s="4">
        <v>0</v>
      </c>
      <c r="CM69" s="4">
        <v>0</v>
      </c>
      <c r="CN69" s="18">
        <v>0</v>
      </c>
      <c r="CO69" s="26">
        <v>0</v>
      </c>
      <c r="CP69" s="4">
        <v>0</v>
      </c>
      <c r="CQ69" s="18">
        <v>0</v>
      </c>
      <c r="CR69" s="19"/>
      <c r="CS69" s="2">
        <v>0</v>
      </c>
      <c r="CT69" s="2">
        <v>0</v>
      </c>
      <c r="CU69" s="11"/>
      <c r="CV69" s="2">
        <v>262082</v>
      </c>
      <c r="CW69" s="2">
        <v>24463.599999999999</v>
      </c>
      <c r="CX69" s="2">
        <v>115779</v>
      </c>
      <c r="CY69" s="2">
        <v>214849</v>
      </c>
      <c r="CZ69" s="85">
        <v>2696164.4010000001</v>
      </c>
      <c r="DA69" s="2">
        <v>265595.3</v>
      </c>
      <c r="DB69" s="2">
        <v>6457037.1509999996</v>
      </c>
      <c r="DC69" s="2">
        <v>1516</v>
      </c>
      <c r="DD69" s="2">
        <v>407998.6</v>
      </c>
      <c r="DE69" s="11"/>
      <c r="DF69" s="2">
        <f t="shared" si="31"/>
        <v>10445485.051999999</v>
      </c>
      <c r="DH69" s="4"/>
      <c r="DI69" s="4"/>
    </row>
    <row r="70" spans="1:113" x14ac:dyDescent="0.2">
      <c r="A70">
        <v>8</v>
      </c>
      <c r="E70" t="s">
        <v>239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18">
        <v>0</v>
      </c>
      <c r="O70" s="4">
        <v>0</v>
      </c>
      <c r="P70" s="4">
        <v>0</v>
      </c>
      <c r="Q70" s="4">
        <v>0</v>
      </c>
      <c r="R70" s="18">
        <v>0</v>
      </c>
      <c r="S70" s="4">
        <v>0</v>
      </c>
      <c r="T70" s="4">
        <v>0</v>
      </c>
      <c r="U70" s="4">
        <v>0</v>
      </c>
      <c r="V70" s="18">
        <v>0</v>
      </c>
      <c r="W70" s="4">
        <v>0</v>
      </c>
      <c r="X70" s="4">
        <v>0</v>
      </c>
      <c r="Y70" s="4">
        <v>0</v>
      </c>
      <c r="Z70" s="4">
        <v>0</v>
      </c>
      <c r="AA70" s="19"/>
      <c r="AB70" s="4">
        <v>0</v>
      </c>
      <c r="AC70" s="4">
        <v>0</v>
      </c>
      <c r="AD70" s="72">
        <v>0</v>
      </c>
      <c r="AE70" s="74">
        <v>0</v>
      </c>
      <c r="AF70" s="4">
        <v>0</v>
      </c>
      <c r="AG70" s="4">
        <v>0</v>
      </c>
      <c r="AH70" s="4">
        <v>0</v>
      </c>
      <c r="AI70" s="19"/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88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88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88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88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88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18">
        <v>0</v>
      </c>
      <c r="BT70" s="4"/>
      <c r="BU70" s="4"/>
      <c r="BV70" s="4"/>
      <c r="BW70" s="4"/>
      <c r="BX70" s="4"/>
      <c r="BY70" s="4"/>
      <c r="BZ70" s="19"/>
      <c r="CA70" s="33">
        <v>0</v>
      </c>
      <c r="CB70" s="33">
        <v>0</v>
      </c>
      <c r="CC70" s="33">
        <v>0</v>
      </c>
      <c r="CD70" s="33">
        <v>0</v>
      </c>
      <c r="CE70" s="33">
        <v>0</v>
      </c>
      <c r="CF70" s="33">
        <v>0</v>
      </c>
      <c r="CG70" s="33">
        <v>0</v>
      </c>
      <c r="CH70" s="33">
        <v>0</v>
      </c>
      <c r="CI70" s="33">
        <v>0</v>
      </c>
      <c r="CJ70" s="33">
        <v>0</v>
      </c>
      <c r="CK70" s="19"/>
      <c r="CL70" s="4">
        <v>0</v>
      </c>
      <c r="CM70" s="4">
        <v>0</v>
      </c>
      <c r="CN70" s="18">
        <v>0</v>
      </c>
      <c r="CO70" s="26">
        <v>0</v>
      </c>
      <c r="CP70" s="4">
        <v>0</v>
      </c>
      <c r="CQ70" s="18">
        <v>0</v>
      </c>
      <c r="CR70" s="19"/>
      <c r="CS70" s="2">
        <v>0</v>
      </c>
      <c r="CT70" s="2">
        <v>0</v>
      </c>
      <c r="CU70" s="11"/>
      <c r="CV70" s="2">
        <v>263329</v>
      </c>
      <c r="CW70" s="2">
        <v>24511.599999999999</v>
      </c>
      <c r="CX70" s="2">
        <v>127604</v>
      </c>
      <c r="CY70" s="2">
        <v>213615</v>
      </c>
      <c r="CZ70" s="85">
        <v>2703311.1669999999</v>
      </c>
      <c r="DA70" s="2">
        <v>326961</v>
      </c>
      <c r="DB70" s="2">
        <v>6523892.6639999999</v>
      </c>
      <c r="DC70" s="2">
        <v>1420</v>
      </c>
      <c r="DD70" s="2">
        <v>427406.58799999999</v>
      </c>
      <c r="DE70" s="11"/>
      <c r="DF70" s="2">
        <f t="shared" si="31"/>
        <v>10612051.018999999</v>
      </c>
      <c r="DH70" s="4"/>
      <c r="DI70" s="4"/>
    </row>
    <row r="71" spans="1:113" x14ac:dyDescent="0.2">
      <c r="A71">
        <v>9</v>
      </c>
      <c r="E71" t="s">
        <v>240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8">
        <v>0</v>
      </c>
      <c r="O71" s="4">
        <v>0</v>
      </c>
      <c r="P71" s="4">
        <v>0</v>
      </c>
      <c r="Q71" s="4">
        <v>0</v>
      </c>
      <c r="R71" s="18">
        <v>0</v>
      </c>
      <c r="S71" s="4">
        <v>0</v>
      </c>
      <c r="T71" s="4">
        <v>0</v>
      </c>
      <c r="U71" s="4">
        <v>0</v>
      </c>
      <c r="V71" s="18">
        <v>0</v>
      </c>
      <c r="W71" s="4">
        <v>0</v>
      </c>
      <c r="X71" s="4">
        <v>0</v>
      </c>
      <c r="Y71" s="4">
        <v>0</v>
      </c>
      <c r="Z71" s="4">
        <v>0</v>
      </c>
      <c r="AA71" s="19"/>
      <c r="AB71" s="4">
        <v>0</v>
      </c>
      <c r="AC71" s="4">
        <v>0</v>
      </c>
      <c r="AD71" s="72">
        <v>0</v>
      </c>
      <c r="AE71" s="74">
        <v>0</v>
      </c>
      <c r="AF71" s="4">
        <v>0</v>
      </c>
      <c r="AG71" s="4">
        <v>0</v>
      </c>
      <c r="AH71" s="4">
        <v>0</v>
      </c>
      <c r="AI71" s="19"/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88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88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88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88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88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18">
        <v>0</v>
      </c>
      <c r="BT71" s="4"/>
      <c r="BU71" s="4"/>
      <c r="BV71" s="4"/>
      <c r="BW71" s="4"/>
      <c r="BX71" s="4"/>
      <c r="BY71" s="4"/>
      <c r="BZ71" s="19"/>
      <c r="CA71" s="33">
        <v>0</v>
      </c>
      <c r="CB71" s="33">
        <v>0</v>
      </c>
      <c r="CC71" s="33">
        <v>0</v>
      </c>
      <c r="CD71" s="33">
        <v>0</v>
      </c>
      <c r="CE71" s="33">
        <v>0</v>
      </c>
      <c r="CF71" s="33">
        <v>0</v>
      </c>
      <c r="CG71" s="33">
        <v>0</v>
      </c>
      <c r="CH71" s="33">
        <v>0</v>
      </c>
      <c r="CI71" s="33">
        <v>0</v>
      </c>
      <c r="CJ71" s="33">
        <v>0</v>
      </c>
      <c r="CK71" s="19"/>
      <c r="CL71" s="4">
        <v>0</v>
      </c>
      <c r="CM71" s="4">
        <v>0</v>
      </c>
      <c r="CN71" s="18">
        <v>0</v>
      </c>
      <c r="CO71" s="26">
        <v>0</v>
      </c>
      <c r="CP71" s="4">
        <v>0</v>
      </c>
      <c r="CQ71" s="18">
        <v>0</v>
      </c>
      <c r="CR71" s="19"/>
      <c r="CS71" s="2">
        <v>0</v>
      </c>
      <c r="CT71" s="2">
        <v>0</v>
      </c>
      <c r="CU71" s="11"/>
      <c r="CV71" s="2">
        <v>340388.45999999996</v>
      </c>
      <c r="CW71" s="2">
        <v>25220</v>
      </c>
      <c r="CX71" s="2">
        <v>135599</v>
      </c>
      <c r="CY71" s="2">
        <v>246903</v>
      </c>
      <c r="CZ71" s="85">
        <v>2978822.6669999999</v>
      </c>
      <c r="DA71" s="2">
        <v>292951.5</v>
      </c>
      <c r="DB71" s="2">
        <v>6824937.7649999997</v>
      </c>
      <c r="DC71" s="2">
        <v>984</v>
      </c>
      <c r="DD71" s="2">
        <v>221916.98700000002</v>
      </c>
      <c r="DE71" s="11"/>
      <c r="DF71" s="2">
        <f t="shared" si="31"/>
        <v>11067723.378999999</v>
      </c>
      <c r="DH71" s="4"/>
      <c r="DI71" s="4"/>
    </row>
    <row r="72" spans="1:113" x14ac:dyDescent="0.2">
      <c r="A72">
        <v>10</v>
      </c>
      <c r="E72" t="s">
        <v>241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18">
        <v>0</v>
      </c>
      <c r="O72" s="4">
        <v>0</v>
      </c>
      <c r="P72" s="4">
        <v>0</v>
      </c>
      <c r="Q72" s="4">
        <v>0</v>
      </c>
      <c r="R72" s="18">
        <v>0</v>
      </c>
      <c r="S72" s="4">
        <v>0</v>
      </c>
      <c r="T72" s="4">
        <v>0</v>
      </c>
      <c r="U72" s="4">
        <v>0</v>
      </c>
      <c r="V72" s="18">
        <v>0</v>
      </c>
      <c r="W72" s="4">
        <v>0</v>
      </c>
      <c r="X72" s="4">
        <v>0</v>
      </c>
      <c r="Y72" s="4">
        <v>0</v>
      </c>
      <c r="Z72" s="4">
        <v>0</v>
      </c>
      <c r="AA72" s="19"/>
      <c r="AB72" s="4">
        <v>0</v>
      </c>
      <c r="AC72" s="4">
        <v>0</v>
      </c>
      <c r="AD72" s="72">
        <v>0</v>
      </c>
      <c r="AE72" s="74">
        <v>0</v>
      </c>
      <c r="AF72" s="4">
        <v>0</v>
      </c>
      <c r="AG72" s="4">
        <v>0</v>
      </c>
      <c r="AH72" s="4">
        <v>0</v>
      </c>
      <c r="AI72" s="19"/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88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88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88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88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88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18">
        <v>0</v>
      </c>
      <c r="BT72" s="4"/>
      <c r="BU72" s="4"/>
      <c r="BV72" s="4"/>
      <c r="BW72" s="4"/>
      <c r="BX72" s="4"/>
      <c r="BY72" s="4"/>
      <c r="BZ72" s="19"/>
      <c r="CA72" s="33">
        <v>0</v>
      </c>
      <c r="CB72" s="33">
        <v>0</v>
      </c>
      <c r="CC72" s="33">
        <v>0</v>
      </c>
      <c r="CD72" s="33">
        <v>0</v>
      </c>
      <c r="CE72" s="33">
        <v>0</v>
      </c>
      <c r="CF72" s="33">
        <v>0</v>
      </c>
      <c r="CG72" s="33">
        <v>0</v>
      </c>
      <c r="CH72" s="33">
        <v>0</v>
      </c>
      <c r="CI72" s="33">
        <v>0</v>
      </c>
      <c r="CJ72" s="33">
        <v>0</v>
      </c>
      <c r="CK72" s="19"/>
      <c r="CL72" s="4">
        <v>0</v>
      </c>
      <c r="CM72" s="4">
        <v>0</v>
      </c>
      <c r="CN72" s="18">
        <v>0</v>
      </c>
      <c r="CO72" s="26">
        <v>0</v>
      </c>
      <c r="CP72" s="4">
        <v>0</v>
      </c>
      <c r="CQ72" s="18">
        <v>0</v>
      </c>
      <c r="CR72" s="19"/>
      <c r="CS72" s="2">
        <v>0</v>
      </c>
      <c r="CT72" s="2">
        <v>0</v>
      </c>
      <c r="CU72" s="11"/>
      <c r="CV72" s="2">
        <v>350693</v>
      </c>
      <c r="CW72" s="2">
        <v>25220</v>
      </c>
      <c r="CX72" s="2">
        <v>139853</v>
      </c>
      <c r="CY72" s="2">
        <v>235302</v>
      </c>
      <c r="CZ72" s="85">
        <v>2956714.1349999998</v>
      </c>
      <c r="DA72" s="2">
        <v>296316</v>
      </c>
      <c r="DB72" s="2">
        <v>6824937.7649999997</v>
      </c>
      <c r="DC72" s="2">
        <v>908</v>
      </c>
      <c r="DD72" s="2">
        <v>229922.32900000003</v>
      </c>
      <c r="DE72" s="11"/>
      <c r="DF72" s="2">
        <f t="shared" si="31"/>
        <v>11059866.228999998</v>
      </c>
      <c r="DH72" s="4"/>
      <c r="DI72" s="4"/>
    </row>
    <row r="73" spans="1:113" x14ac:dyDescent="0.2">
      <c r="A73">
        <v>11</v>
      </c>
      <c r="E73" t="s">
        <v>242</v>
      </c>
      <c r="F73" s="4">
        <v>0</v>
      </c>
      <c r="G73" s="4">
        <v>0</v>
      </c>
      <c r="H73" s="4">
        <v>0</v>
      </c>
      <c r="I73" s="18">
        <v>0</v>
      </c>
      <c r="J73" s="4">
        <v>0</v>
      </c>
      <c r="K73" s="4">
        <v>0</v>
      </c>
      <c r="L73" s="4">
        <v>0</v>
      </c>
      <c r="M73" s="4">
        <v>0</v>
      </c>
      <c r="N73" s="18">
        <v>0</v>
      </c>
      <c r="O73" s="4">
        <v>0</v>
      </c>
      <c r="P73" s="4">
        <v>0</v>
      </c>
      <c r="Q73" s="4">
        <v>0</v>
      </c>
      <c r="R73" s="18">
        <v>0</v>
      </c>
      <c r="S73" s="4">
        <v>0</v>
      </c>
      <c r="T73" s="4">
        <v>0</v>
      </c>
      <c r="U73" s="4">
        <v>0</v>
      </c>
      <c r="V73" s="18">
        <v>0</v>
      </c>
      <c r="W73" s="4">
        <v>0</v>
      </c>
      <c r="X73" s="4">
        <v>0</v>
      </c>
      <c r="Y73" s="4">
        <v>0</v>
      </c>
      <c r="Z73" s="4">
        <v>0</v>
      </c>
      <c r="AA73" s="19"/>
      <c r="AB73" s="4">
        <v>0</v>
      </c>
      <c r="AC73" s="4">
        <v>0</v>
      </c>
      <c r="AD73" s="72">
        <v>0</v>
      </c>
      <c r="AE73" s="74">
        <v>0</v>
      </c>
      <c r="AF73" s="4">
        <v>0</v>
      </c>
      <c r="AG73" s="4">
        <v>0</v>
      </c>
      <c r="AH73" s="4">
        <v>0</v>
      </c>
      <c r="AI73" s="19"/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88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88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88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88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88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18">
        <v>0</v>
      </c>
      <c r="BT73" s="4"/>
      <c r="BU73" s="4"/>
      <c r="BV73" s="4"/>
      <c r="BW73" s="4"/>
      <c r="BX73" s="4"/>
      <c r="BY73" s="4"/>
      <c r="BZ73" s="19"/>
      <c r="CA73" s="33">
        <v>0</v>
      </c>
      <c r="CB73" s="33">
        <v>0</v>
      </c>
      <c r="CC73" s="33">
        <v>0</v>
      </c>
      <c r="CD73" s="33">
        <v>0</v>
      </c>
      <c r="CE73" s="33">
        <v>0</v>
      </c>
      <c r="CF73" s="33">
        <v>0</v>
      </c>
      <c r="CG73" s="33">
        <v>0</v>
      </c>
      <c r="CH73" s="33">
        <v>0</v>
      </c>
      <c r="CI73" s="33">
        <v>0</v>
      </c>
      <c r="CJ73" s="33">
        <v>0</v>
      </c>
      <c r="CK73" s="19"/>
      <c r="CL73" s="4">
        <v>0</v>
      </c>
      <c r="CM73" s="4">
        <v>0</v>
      </c>
      <c r="CN73" s="18">
        <v>0</v>
      </c>
      <c r="CO73" s="26">
        <v>0</v>
      </c>
      <c r="CP73" s="4">
        <v>0</v>
      </c>
      <c r="CQ73" s="18">
        <v>0</v>
      </c>
      <c r="CR73" s="19"/>
      <c r="CS73" s="2">
        <v>0</v>
      </c>
      <c r="CT73" s="2">
        <v>0</v>
      </c>
      <c r="CU73" s="11"/>
      <c r="CV73" s="2">
        <v>414148</v>
      </c>
      <c r="CW73" s="2">
        <v>25220</v>
      </c>
      <c r="CX73" s="2">
        <v>152655</v>
      </c>
      <c r="CY73" s="2">
        <v>246124</v>
      </c>
      <c r="CZ73" s="85">
        <v>2950471.9440000001</v>
      </c>
      <c r="DA73" s="2">
        <v>296316</v>
      </c>
      <c r="DB73" s="2">
        <v>6758281.1529999999</v>
      </c>
      <c r="DC73" s="2">
        <v>954</v>
      </c>
      <c r="DD73" s="2">
        <v>246015.31400000001</v>
      </c>
      <c r="DE73" s="11"/>
      <c r="DF73" s="2">
        <f t="shared" si="31"/>
        <v>11090185.410999998</v>
      </c>
      <c r="DH73" s="4"/>
      <c r="DI73" s="4"/>
    </row>
    <row r="74" spans="1:113" x14ac:dyDescent="0.2">
      <c r="A74">
        <v>12</v>
      </c>
      <c r="E74" t="s">
        <v>243</v>
      </c>
      <c r="F74" s="4">
        <v>0</v>
      </c>
      <c r="G74" s="4">
        <v>0</v>
      </c>
      <c r="H74" s="4">
        <v>0</v>
      </c>
      <c r="I74" s="18">
        <v>0</v>
      </c>
      <c r="J74" s="4">
        <v>0</v>
      </c>
      <c r="K74" s="4">
        <v>0</v>
      </c>
      <c r="L74" s="4">
        <v>0</v>
      </c>
      <c r="M74" s="4">
        <v>0</v>
      </c>
      <c r="N74" s="18">
        <v>0</v>
      </c>
      <c r="O74" s="4">
        <v>0</v>
      </c>
      <c r="P74" s="4">
        <v>0</v>
      </c>
      <c r="Q74" s="4">
        <v>0</v>
      </c>
      <c r="R74" s="18">
        <v>0</v>
      </c>
      <c r="S74" s="4">
        <v>0</v>
      </c>
      <c r="T74" s="4">
        <v>0</v>
      </c>
      <c r="U74" s="4">
        <v>0</v>
      </c>
      <c r="V74" s="18">
        <v>0</v>
      </c>
      <c r="W74" s="4">
        <v>0</v>
      </c>
      <c r="X74" s="4">
        <v>0</v>
      </c>
      <c r="Y74" s="4">
        <v>0</v>
      </c>
      <c r="Z74" s="4">
        <v>0</v>
      </c>
      <c r="AA74" s="19"/>
      <c r="AB74" s="4">
        <v>0</v>
      </c>
      <c r="AC74" s="4">
        <v>0</v>
      </c>
      <c r="AD74" s="72">
        <v>0</v>
      </c>
      <c r="AE74" s="74">
        <v>0</v>
      </c>
      <c r="AF74" s="4">
        <v>0</v>
      </c>
      <c r="AG74" s="4">
        <v>0</v>
      </c>
      <c r="AH74" s="4">
        <v>0</v>
      </c>
      <c r="AI74" s="19"/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88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88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88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88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88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18">
        <v>0</v>
      </c>
      <c r="BT74" s="4"/>
      <c r="BU74" s="4"/>
      <c r="BV74" s="4"/>
      <c r="BW74" s="4"/>
      <c r="BX74" s="4"/>
      <c r="BY74" s="4"/>
      <c r="BZ74" s="19"/>
      <c r="CA74" s="33">
        <v>0</v>
      </c>
      <c r="CB74" s="33">
        <v>0</v>
      </c>
      <c r="CC74" s="33">
        <v>0</v>
      </c>
      <c r="CD74" s="33">
        <v>0</v>
      </c>
      <c r="CE74" s="33">
        <v>0</v>
      </c>
      <c r="CF74" s="33">
        <v>0</v>
      </c>
      <c r="CG74" s="33">
        <v>0</v>
      </c>
      <c r="CH74" s="33">
        <v>0</v>
      </c>
      <c r="CI74" s="33">
        <v>0</v>
      </c>
      <c r="CJ74" s="33">
        <v>0</v>
      </c>
      <c r="CK74" s="19"/>
      <c r="CL74" s="4">
        <v>0</v>
      </c>
      <c r="CM74" s="4">
        <v>0</v>
      </c>
      <c r="CN74" s="18">
        <v>0</v>
      </c>
      <c r="CO74" s="26">
        <v>0</v>
      </c>
      <c r="CP74" s="4">
        <v>0</v>
      </c>
      <c r="CQ74" s="18">
        <v>0</v>
      </c>
      <c r="CR74" s="19"/>
      <c r="CS74" s="2">
        <v>0</v>
      </c>
      <c r="CT74" s="2">
        <v>0</v>
      </c>
      <c r="CU74" s="11"/>
      <c r="CV74" s="2">
        <v>466446</v>
      </c>
      <c r="CW74" s="2">
        <v>25220</v>
      </c>
      <c r="CX74" s="2">
        <v>183587</v>
      </c>
      <c r="CY74" s="2">
        <v>271471</v>
      </c>
      <c r="CZ74" s="85">
        <v>2942057.017</v>
      </c>
      <c r="DA74" s="2">
        <v>296316</v>
      </c>
      <c r="DB74" s="2">
        <v>6732422.2690000003</v>
      </c>
      <c r="DC74" s="2">
        <v>1350</v>
      </c>
      <c r="DD74" s="2">
        <v>256316.82399999999</v>
      </c>
      <c r="DE74" s="11"/>
      <c r="DF74" s="2">
        <f t="shared" si="31"/>
        <v>11175186.109999999</v>
      </c>
      <c r="DG74" s="3">
        <f>SUM(DF63:DF74)</f>
        <v>130477147.85199998</v>
      </c>
      <c r="DH74" s="2">
        <f>+'DEI Sales by Revenue'!G15</f>
        <v>126249561.64000002</v>
      </c>
      <c r="DI74" s="3">
        <f>+DH74-DG74</f>
        <v>-4227586.2119999677</v>
      </c>
    </row>
    <row r="75" spans="1:113" x14ac:dyDescent="0.2"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92"/>
      <c r="AK75" s="92"/>
      <c r="AL75" s="92"/>
      <c r="AM75" s="92"/>
      <c r="AN75" s="92"/>
      <c r="AO75" s="110"/>
      <c r="AP75" s="92"/>
      <c r="AQ75" s="92"/>
      <c r="AR75" s="92"/>
      <c r="AS75" s="92"/>
      <c r="AT75" s="92"/>
      <c r="AU75" s="110"/>
      <c r="AV75" s="92"/>
      <c r="AW75" s="92"/>
      <c r="AX75" s="92"/>
      <c r="AY75" s="92"/>
      <c r="AZ75" s="92"/>
      <c r="BA75" s="110"/>
      <c r="BB75" s="92"/>
      <c r="BC75" s="92"/>
      <c r="BD75" s="92"/>
      <c r="BE75" s="92"/>
      <c r="BF75" s="92"/>
      <c r="BG75" s="110"/>
      <c r="BH75" s="92"/>
      <c r="BI75" s="92"/>
      <c r="BJ75" s="92"/>
      <c r="BK75" s="92"/>
      <c r="BL75" s="92"/>
      <c r="BM75" s="110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92"/>
      <c r="CT75" s="92"/>
      <c r="CU75" s="11"/>
      <c r="CV75" s="11"/>
      <c r="CW75" s="11"/>
      <c r="CX75" s="11"/>
      <c r="CY75" s="11"/>
      <c r="CZ75" s="11"/>
      <c r="DA75" s="11"/>
      <c r="DB75" s="11"/>
      <c r="DC75" s="11"/>
      <c r="DD75" s="92"/>
      <c r="DE75" s="11"/>
      <c r="DI75" s="103">
        <f>+DI74/DG74</f>
        <v>-3.2400970450360486E-2</v>
      </c>
    </row>
    <row r="76" spans="1:113" x14ac:dyDescent="0.2">
      <c r="E76" s="115"/>
      <c r="F76" s="116">
        <f>SUM(F3:F74)</f>
        <v>163458342.63847667</v>
      </c>
      <c r="G76" s="116">
        <f t="shared" ref="G76:BR76" si="32">SUM(G3:G74)</f>
        <v>226514250.73175132</v>
      </c>
      <c r="H76" s="116">
        <f t="shared" si="32"/>
        <v>239745564.36339721</v>
      </c>
      <c r="I76" s="116">
        <f t="shared" si="32"/>
        <v>365178208.85137433</v>
      </c>
      <c r="J76" s="116">
        <f t="shared" si="32"/>
        <v>5024221.567999999</v>
      </c>
      <c r="K76" s="116">
        <f t="shared" si="32"/>
        <v>3501.0000000000005</v>
      </c>
      <c r="L76" s="116">
        <f t="shared" si="32"/>
        <v>0</v>
      </c>
      <c r="M76" s="116">
        <f t="shared" si="32"/>
        <v>0</v>
      </c>
      <c r="N76" s="116">
        <f t="shared" si="32"/>
        <v>0</v>
      </c>
      <c r="O76" s="116">
        <f t="shared" si="32"/>
        <v>15088056.690270156</v>
      </c>
      <c r="P76" s="116">
        <f t="shared" si="32"/>
        <v>8100332.0803383924</v>
      </c>
      <c r="Q76" s="116">
        <f t="shared" si="32"/>
        <v>987605.85880796355</v>
      </c>
      <c r="R76" s="116">
        <f t="shared" si="32"/>
        <v>788807.06658348755</v>
      </c>
      <c r="S76" s="116">
        <f t="shared" si="32"/>
        <v>0</v>
      </c>
      <c r="T76" s="116">
        <f t="shared" si="32"/>
        <v>0</v>
      </c>
      <c r="U76" s="116">
        <f t="shared" si="32"/>
        <v>0</v>
      </c>
      <c r="V76" s="116">
        <f t="shared" si="32"/>
        <v>0</v>
      </c>
      <c r="W76" s="116">
        <f t="shared" si="32"/>
        <v>0</v>
      </c>
      <c r="X76" s="116">
        <f t="shared" si="32"/>
        <v>0</v>
      </c>
      <c r="Y76" s="116">
        <f t="shared" si="32"/>
        <v>0</v>
      </c>
      <c r="Z76" s="116">
        <f t="shared" si="32"/>
        <v>0</v>
      </c>
      <c r="AA76" s="116">
        <f t="shared" si="32"/>
        <v>0</v>
      </c>
      <c r="AB76" s="116">
        <f t="shared" si="32"/>
        <v>1181378398.3510001</v>
      </c>
      <c r="AC76" s="116">
        <f t="shared" si="32"/>
        <v>971458901.95600009</v>
      </c>
      <c r="AD76" s="116">
        <f t="shared" si="32"/>
        <v>95995404</v>
      </c>
      <c r="AE76" s="116">
        <f t="shared" si="32"/>
        <v>635987.55499999993</v>
      </c>
      <c r="AF76" s="116">
        <f t="shared" si="32"/>
        <v>1549402302.5799999</v>
      </c>
      <c r="AG76" s="116">
        <f t="shared" si="32"/>
        <v>1632174956.8169997</v>
      </c>
      <c r="AH76" s="116">
        <f t="shared" si="32"/>
        <v>3361867968.7719998</v>
      </c>
      <c r="AI76" s="116">
        <f t="shared" si="32"/>
        <v>0</v>
      </c>
      <c r="AJ76" s="116">
        <f t="shared" si="32"/>
        <v>103717.72548229233</v>
      </c>
      <c r="AK76" s="116">
        <f t="shared" si="32"/>
        <v>221469.21393383254</v>
      </c>
      <c r="AL76" s="116">
        <f t="shared" si="32"/>
        <v>397863.21615341055</v>
      </c>
      <c r="AM76" s="116">
        <f t="shared" si="32"/>
        <v>80423934.473896369</v>
      </c>
      <c r="AN76" s="116">
        <f t="shared" si="32"/>
        <v>32520300.697255958</v>
      </c>
      <c r="AO76" s="116">
        <f t="shared" si="32"/>
        <v>33650415.385042779</v>
      </c>
      <c r="AP76" s="116">
        <f t="shared" si="32"/>
        <v>84817.855320042989</v>
      </c>
      <c r="AQ76" s="116">
        <f t="shared" si="32"/>
        <v>197828.99574676697</v>
      </c>
      <c r="AR76" s="116">
        <f t="shared" si="32"/>
        <v>423919.27660021483</v>
      </c>
      <c r="AS76" s="116">
        <f t="shared" si="32"/>
        <v>203933433.32981005</v>
      </c>
      <c r="AT76" s="116">
        <f t="shared" si="32"/>
        <v>33095866.073648803</v>
      </c>
      <c r="AU76" s="116">
        <f t="shared" si="32"/>
        <v>15577312.045874128</v>
      </c>
      <c r="AV76" s="116">
        <f t="shared" si="32"/>
        <v>570215.03958345146</v>
      </c>
      <c r="AW76" s="116">
        <f t="shared" si="32"/>
        <v>1303676.2286227786</v>
      </c>
      <c r="AX76" s="116">
        <f t="shared" si="32"/>
        <v>2610326.7630426902</v>
      </c>
      <c r="AY76" s="116">
        <f t="shared" si="32"/>
        <v>293491668.54844576</v>
      </c>
      <c r="AZ76" s="116">
        <f t="shared" si="32"/>
        <v>268999098.87985063</v>
      </c>
      <c r="BA76" s="116">
        <f t="shared" si="32"/>
        <v>23604536.296785899</v>
      </c>
      <c r="BB76" s="116">
        <f t="shared" si="32"/>
        <v>94941865.659014314</v>
      </c>
      <c r="BC76" s="116">
        <f t="shared" si="32"/>
        <v>187448697.00721076</v>
      </c>
      <c r="BD76" s="116">
        <f t="shared" si="32"/>
        <v>284350469.80994284</v>
      </c>
      <c r="BE76" s="116">
        <f t="shared" si="32"/>
        <v>1792790770.3754482</v>
      </c>
      <c r="BF76" s="116">
        <f t="shared" si="32"/>
        <v>988550937.25146174</v>
      </c>
      <c r="BG76" s="116">
        <f t="shared" si="32"/>
        <v>724383809.83466005</v>
      </c>
      <c r="BH76" s="116">
        <f t="shared" si="32"/>
        <v>714535.8383573523</v>
      </c>
      <c r="BI76" s="116">
        <f t="shared" si="32"/>
        <v>1635871.1755510687</v>
      </c>
      <c r="BJ76" s="116">
        <f t="shared" si="32"/>
        <v>3420926.0186400693</v>
      </c>
      <c r="BK76" s="116">
        <f t="shared" si="32"/>
        <v>70001132.704825416</v>
      </c>
      <c r="BL76" s="116">
        <f t="shared" si="32"/>
        <v>39647024.672648177</v>
      </c>
      <c r="BM76" s="116">
        <f t="shared" si="32"/>
        <v>42272866.437977962</v>
      </c>
      <c r="BN76" s="116">
        <f t="shared" si="32"/>
        <v>145228</v>
      </c>
      <c r="BO76" s="116">
        <f t="shared" si="32"/>
        <v>401342</v>
      </c>
      <c r="BP76" s="116">
        <f t="shared" si="32"/>
        <v>818460</v>
      </c>
      <c r="BQ76" s="116">
        <f t="shared" si="32"/>
        <v>5652534</v>
      </c>
      <c r="BR76" s="116">
        <f t="shared" si="32"/>
        <v>0</v>
      </c>
      <c r="BS76" s="116">
        <f t="shared" ref="BS76:DD76" si="33">SUM(BS3:BS74)</f>
        <v>0</v>
      </c>
      <c r="BT76" s="116">
        <f t="shared" si="33"/>
        <v>8700</v>
      </c>
      <c r="BU76" s="116">
        <f t="shared" si="33"/>
        <v>16259</v>
      </c>
      <c r="BV76" s="116">
        <f t="shared" si="33"/>
        <v>34500</v>
      </c>
      <c r="BW76" s="116">
        <f t="shared" si="33"/>
        <v>4710195</v>
      </c>
      <c r="BX76" s="116">
        <f t="shared" si="33"/>
        <v>0</v>
      </c>
      <c r="BY76" s="116">
        <f t="shared" si="33"/>
        <v>0</v>
      </c>
      <c r="BZ76" s="116">
        <f t="shared" si="33"/>
        <v>0</v>
      </c>
      <c r="CA76" s="116">
        <f t="shared" si="33"/>
        <v>0</v>
      </c>
      <c r="CB76" s="116">
        <f t="shared" si="33"/>
        <v>0</v>
      </c>
      <c r="CC76" s="116">
        <f t="shared" si="33"/>
        <v>0</v>
      </c>
      <c r="CD76" s="116">
        <f t="shared" si="33"/>
        <v>0</v>
      </c>
      <c r="CE76" s="116">
        <f t="shared" si="33"/>
        <v>0</v>
      </c>
      <c r="CF76" s="116">
        <f t="shared" si="33"/>
        <v>0</v>
      </c>
      <c r="CG76" s="116">
        <f t="shared" si="33"/>
        <v>0</v>
      </c>
      <c r="CH76" s="116">
        <f t="shared" si="33"/>
        <v>0</v>
      </c>
      <c r="CI76" s="116">
        <f t="shared" si="33"/>
        <v>0</v>
      </c>
      <c r="CJ76" s="116">
        <f t="shared" si="33"/>
        <v>0</v>
      </c>
      <c r="CK76" s="116">
        <f t="shared" si="33"/>
        <v>0</v>
      </c>
      <c r="CL76" s="116">
        <f t="shared" si="33"/>
        <v>2469369699.4432411</v>
      </c>
      <c r="CM76" s="116">
        <f t="shared" si="33"/>
        <v>3548268156.3505802</v>
      </c>
      <c r="CN76" s="116">
        <f t="shared" si="33"/>
        <v>2017563486.7512643</v>
      </c>
      <c r="CO76" s="116">
        <f t="shared" si="33"/>
        <v>138969783.69251427</v>
      </c>
      <c r="CP76" s="116">
        <f t="shared" si="33"/>
        <v>271079566.90882659</v>
      </c>
      <c r="CQ76" s="116">
        <f t="shared" si="33"/>
        <v>257503941.11726999</v>
      </c>
      <c r="CR76" s="116">
        <f t="shared" si="33"/>
        <v>0</v>
      </c>
      <c r="CS76" s="116">
        <f t="shared" si="33"/>
        <v>18172750.636315059</v>
      </c>
      <c r="CT76" s="116">
        <f t="shared" si="33"/>
        <v>145040431.96068496</v>
      </c>
      <c r="CU76" s="116">
        <f t="shared" si="33"/>
        <v>0</v>
      </c>
      <c r="CV76" s="116">
        <f t="shared" si="33"/>
        <v>4241033.46</v>
      </c>
      <c r="CW76" s="116">
        <f t="shared" si="33"/>
        <v>299794.66700000002</v>
      </c>
      <c r="CX76" s="116">
        <f t="shared" si="33"/>
        <v>3062928</v>
      </c>
      <c r="CY76" s="116">
        <f t="shared" si="33"/>
        <v>2886823</v>
      </c>
      <c r="CZ76" s="116">
        <f t="shared" si="33"/>
        <v>34439402.264999993</v>
      </c>
      <c r="DA76" s="116">
        <f t="shared" si="33"/>
        <v>3490943.733</v>
      </c>
      <c r="DB76" s="116">
        <f t="shared" si="33"/>
        <v>87514253.441999987</v>
      </c>
      <c r="DC76" s="116">
        <f t="shared" si="33"/>
        <v>17764</v>
      </c>
      <c r="DD76" s="116">
        <f t="shared" si="33"/>
        <v>3860773.5549999978</v>
      </c>
      <c r="DE76" s="115"/>
      <c r="DF76" s="3">
        <f>SUM(F76:DD76)</f>
        <v>24056740868.693527</v>
      </c>
      <c r="DI76" s="103"/>
    </row>
    <row r="77" spans="1:113" x14ac:dyDescent="0.2"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85"/>
      <c r="AK77" s="85"/>
      <c r="AL77" s="85"/>
      <c r="AM77" s="85"/>
      <c r="AN77" s="85"/>
      <c r="AO77" s="112"/>
      <c r="AP77" s="85"/>
      <c r="AQ77" s="85"/>
      <c r="AR77" s="85"/>
      <c r="AS77" s="85"/>
      <c r="AT77" s="85"/>
      <c r="AU77" s="112"/>
      <c r="AV77" s="85"/>
      <c r="AW77" s="85"/>
      <c r="AX77" s="85"/>
      <c r="AY77" s="85"/>
      <c r="AZ77" s="85"/>
      <c r="BA77" s="112"/>
      <c r="BB77" s="85"/>
      <c r="BC77" s="85"/>
      <c r="BD77" s="85"/>
      <c r="BE77" s="85"/>
      <c r="BF77" s="85"/>
      <c r="BG77" s="112"/>
      <c r="BH77" s="85"/>
      <c r="BI77" s="85"/>
      <c r="BJ77" s="85"/>
      <c r="BK77" s="85"/>
      <c r="BL77" s="85"/>
      <c r="BM77" s="112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85"/>
      <c r="CT77" s="85"/>
      <c r="CU77" s="115"/>
      <c r="CV77" s="115"/>
      <c r="CW77" s="115"/>
      <c r="CX77" s="115"/>
      <c r="CY77" s="115"/>
      <c r="CZ77" s="115"/>
      <c r="DA77" s="115"/>
      <c r="DB77" s="115"/>
      <c r="DC77" s="115"/>
      <c r="DD77" s="85"/>
      <c r="DE77" s="115"/>
      <c r="DI77" s="103"/>
    </row>
    <row r="78" spans="1:113" x14ac:dyDescent="0.2">
      <c r="F78" t="s">
        <v>244</v>
      </c>
      <c r="J78" t="s">
        <v>245</v>
      </c>
      <c r="AD78" t="s">
        <v>59</v>
      </c>
      <c r="CA78" t="s">
        <v>248</v>
      </c>
      <c r="CL78" t="s">
        <v>249</v>
      </c>
      <c r="CS78" s="2" t="s">
        <v>250</v>
      </c>
      <c r="CV78" t="s">
        <v>251</v>
      </c>
      <c r="DA78" s="4"/>
      <c r="DB78" s="3">
        <f>SUM(DB3:DB74)</f>
        <v>87514253.441999987</v>
      </c>
      <c r="DC78" s="4"/>
      <c r="DG78" s="3" t="e">
        <f>SUM(DG14:DG74)-DG46</f>
        <v>#VALUE!</v>
      </c>
      <c r="DH78" s="2">
        <f>+'DEI Sales by Revenue'!G16</f>
        <v>26240994311.132</v>
      </c>
      <c r="DI78" s="3" t="e">
        <f>+DH78-DG78</f>
        <v>#VALUE!</v>
      </c>
    </row>
    <row r="79" spans="1:113" x14ac:dyDescent="0.2">
      <c r="E79" t="s">
        <v>164</v>
      </c>
      <c r="F79" s="24">
        <f t="shared" ref="F79:F90" si="34">SUM(F3:Z3)+SUM(F18:Z18)+SUM(F33:Z33)+SUM(F48:Z48)+SUM(F63:Z63)-J79</f>
        <v>94518925.358999953</v>
      </c>
      <c r="G79" s="24">
        <v>109923468</v>
      </c>
      <c r="H79" s="24">
        <f>F79-G79</f>
        <v>-15404542.641000047</v>
      </c>
      <c r="J79" s="24">
        <f t="shared" ref="J79:J90" si="35">J3+J18+J33+J48+J63</f>
        <v>477854.85299999989</v>
      </c>
      <c r="K79" s="24">
        <v>600697</v>
      </c>
      <c r="L79" s="24">
        <f>J79-K79</f>
        <v>-122842.14700000011</v>
      </c>
      <c r="O79">
        <v>0</v>
      </c>
      <c r="AB79" s="24">
        <v>828450242</v>
      </c>
      <c r="AD79" s="73">
        <f t="shared" ref="AD79:AD90" si="36">SUM(AD3:AE3)+SUM(AD18:AE18)+SUM(AD33:AE33)+SUM(AD48:AE48)+SUM(AD63:AD63)</f>
        <v>8510998</v>
      </c>
      <c r="AE79" s="7">
        <v>7406010</v>
      </c>
      <c r="AF79" s="24">
        <f t="shared" ref="AF79:AF90" si="37">AD79-AE79</f>
        <v>1104988</v>
      </c>
      <c r="CA79" s="24">
        <f t="shared" ref="CA79:CA90" si="38">SUM(CA3:CJ3)+SUM(CA18:CJ18)+SUM(CA33:CJ33)+SUM(CA48:CJ48)+SUM(CA63:CJ63)</f>
        <v>0</v>
      </c>
      <c r="CB79" s="24">
        <v>157029123.80000001</v>
      </c>
      <c r="CC79" s="24">
        <f>CA79-CB79</f>
        <v>-157029123.80000001</v>
      </c>
      <c r="CL79" s="24">
        <f t="shared" ref="CL79:CL90" si="39">SUM(CL3:CQ3)+SUM(CL18:CQ18)+SUM(CL33:CQ33)+SUM(CL48:CQ48)+SUM(CL63:CQ63)</f>
        <v>941603060.13807368</v>
      </c>
      <c r="CM79" s="24">
        <v>1181647679</v>
      </c>
      <c r="CN79" s="24">
        <f>CL79-CM79</f>
        <v>-240044618.86192632</v>
      </c>
      <c r="CS79" s="2">
        <f t="shared" ref="CS79:CS90" si="40">SUM(CS3:CT3)+SUM(CS18:CT18)+SUM(CS33:CT33)+SUM(CS48:CT48)+SUM(CS63:CT63)</f>
        <v>14302322.696999997</v>
      </c>
      <c r="CT79" s="2">
        <v>13782350</v>
      </c>
      <c r="CV79" s="24">
        <f t="shared" ref="CV79:CV90" si="41">SUM(CV3:DD3)+SUM(CV18:DD18)+SUM(CV33:DD33)+SUM(CV48:DD48)+SUM(CV63:DD63)</f>
        <v>12013493.907000002</v>
      </c>
      <c r="CW79" s="24">
        <v>13798989</v>
      </c>
      <c r="CX79" s="24">
        <f t="shared" ref="CX79:CX90" si="42">CV79-CW79</f>
        <v>-1785495.0929999985</v>
      </c>
      <c r="DC79" s="24"/>
      <c r="DI79" s="105" t="e">
        <f>+DI78/DG78</f>
        <v>#VALUE!</v>
      </c>
    </row>
    <row r="80" spans="1:113" x14ac:dyDescent="0.2">
      <c r="F80" s="24">
        <f t="shared" si="34"/>
        <v>87957797.702999935</v>
      </c>
      <c r="G80" s="24">
        <v>94177533</v>
      </c>
      <c r="H80" s="24">
        <f t="shared" ref="H80:H90" si="43">F80-G80</f>
        <v>-6219735.2970000654</v>
      </c>
      <c r="J80" s="24">
        <f t="shared" si="35"/>
        <v>444587.53199999989</v>
      </c>
      <c r="K80" s="24">
        <v>490151</v>
      </c>
      <c r="L80" s="24">
        <f t="shared" ref="L80:L90" si="44">J80-K80</f>
        <v>-45563.46800000011</v>
      </c>
      <c r="O80">
        <v>15</v>
      </c>
      <c r="AB80" s="24">
        <v>788346279</v>
      </c>
      <c r="AD80" s="73">
        <f t="shared" si="36"/>
        <v>7793351</v>
      </c>
      <c r="AE80" s="7">
        <v>7907350</v>
      </c>
      <c r="AF80" s="24">
        <f t="shared" si="37"/>
        <v>-113999</v>
      </c>
      <c r="CA80" s="24">
        <f t="shared" si="38"/>
        <v>0</v>
      </c>
      <c r="CB80" s="24">
        <v>188729751.39999998</v>
      </c>
      <c r="CC80" s="24">
        <f t="shared" ref="CC80:CC90" si="45">CA80-CB80</f>
        <v>-188729751.39999998</v>
      </c>
      <c r="CL80" s="24">
        <f t="shared" si="39"/>
        <v>834917535.04023242</v>
      </c>
      <c r="CM80" s="24">
        <v>915856738</v>
      </c>
      <c r="CN80" s="24">
        <f t="shared" ref="CN80:CN90" si="46">CL80-CM80</f>
        <v>-80939202.95976758</v>
      </c>
      <c r="CS80" s="2">
        <f t="shared" si="40"/>
        <v>13962612.673999999</v>
      </c>
      <c r="CT80" s="2">
        <v>12899418</v>
      </c>
      <c r="CV80" s="24">
        <f t="shared" si="41"/>
        <v>11774661.196</v>
      </c>
      <c r="CW80" s="24">
        <v>13565483</v>
      </c>
      <c r="CX80" s="24">
        <f t="shared" si="42"/>
        <v>-1790821.8039999995</v>
      </c>
      <c r="DA80" s="4"/>
      <c r="DC80" s="4"/>
    </row>
    <row r="81" spans="6:122" x14ac:dyDescent="0.2">
      <c r="F81" s="24">
        <f t="shared" si="34"/>
        <v>81012651.585000038</v>
      </c>
      <c r="G81" s="24">
        <v>82293455</v>
      </c>
      <c r="H81" s="24">
        <f t="shared" si="43"/>
        <v>-1280803.4149999619</v>
      </c>
      <c r="J81" s="24">
        <f t="shared" si="35"/>
        <v>405976.88400000002</v>
      </c>
      <c r="K81" s="24">
        <v>437578</v>
      </c>
      <c r="L81" s="24">
        <f t="shared" si="44"/>
        <v>-31601.11599999998</v>
      </c>
      <c r="O81">
        <v>0</v>
      </c>
      <c r="AB81" s="24">
        <v>784229373</v>
      </c>
      <c r="AD81" s="73">
        <f t="shared" si="36"/>
        <v>8694192</v>
      </c>
      <c r="AE81" s="7">
        <v>8109480</v>
      </c>
      <c r="AF81" s="24">
        <f t="shared" si="37"/>
        <v>584712</v>
      </c>
      <c r="CA81" s="24">
        <f t="shared" si="38"/>
        <v>0</v>
      </c>
      <c r="CB81" s="24">
        <v>175720047.40000001</v>
      </c>
      <c r="CC81" s="24">
        <f t="shared" si="45"/>
        <v>-175720047.40000001</v>
      </c>
      <c r="CL81" s="24">
        <f t="shared" si="39"/>
        <v>709914209.561656</v>
      </c>
      <c r="CM81" s="24">
        <v>735654171</v>
      </c>
      <c r="CN81" s="24">
        <f t="shared" si="46"/>
        <v>-25739961.438344002</v>
      </c>
      <c r="CS81" s="2">
        <f t="shared" si="40"/>
        <v>13700828.810000004</v>
      </c>
      <c r="CT81" s="2">
        <v>12258577</v>
      </c>
      <c r="CV81" s="24">
        <f t="shared" si="41"/>
        <v>11644784.245000001</v>
      </c>
      <c r="CW81" s="24">
        <v>13508369</v>
      </c>
      <c r="CX81" s="24">
        <f t="shared" si="42"/>
        <v>-1863584.754999999</v>
      </c>
    </row>
    <row r="82" spans="6:122" x14ac:dyDescent="0.2">
      <c r="F82" s="24">
        <f t="shared" si="34"/>
        <v>77127978.866999879</v>
      </c>
      <c r="G82" s="24">
        <v>82782076</v>
      </c>
      <c r="H82" s="24">
        <f t="shared" si="43"/>
        <v>-5654097.1330001205</v>
      </c>
      <c r="J82" s="24">
        <f t="shared" si="35"/>
        <v>386155.68400000001</v>
      </c>
      <c r="K82" s="24">
        <v>434288</v>
      </c>
      <c r="L82" s="24">
        <f t="shared" si="44"/>
        <v>-48132.315999999992</v>
      </c>
      <c r="O82">
        <v>0</v>
      </c>
      <c r="AB82" s="24">
        <v>806600137</v>
      </c>
      <c r="AD82" s="73">
        <f t="shared" si="36"/>
        <v>7463322</v>
      </c>
      <c r="AE82" s="7">
        <v>9187060</v>
      </c>
      <c r="AF82" s="24">
        <f t="shared" si="37"/>
        <v>-1723738</v>
      </c>
      <c r="CA82" s="24">
        <f t="shared" si="38"/>
        <v>0</v>
      </c>
      <c r="CB82" s="24">
        <v>189467497.19999999</v>
      </c>
      <c r="CC82" s="24">
        <f t="shared" si="45"/>
        <v>-189467497.19999999</v>
      </c>
      <c r="CL82" s="24">
        <f t="shared" si="39"/>
        <v>633101374.62796533</v>
      </c>
      <c r="CM82" s="24">
        <v>721546092</v>
      </c>
      <c r="CN82" s="24">
        <f t="shared" si="46"/>
        <v>-88444717.372034669</v>
      </c>
      <c r="CS82" s="2">
        <f t="shared" si="40"/>
        <v>13479377.864000008</v>
      </c>
      <c r="CT82" s="2">
        <v>11993760</v>
      </c>
      <c r="CV82" s="24">
        <f t="shared" si="41"/>
        <v>11526050.197999999</v>
      </c>
      <c r="CW82" s="24">
        <v>13427286</v>
      </c>
      <c r="CX82" s="24">
        <f t="shared" si="42"/>
        <v>-1901235.8020000011</v>
      </c>
    </row>
    <row r="83" spans="6:122" x14ac:dyDescent="0.2">
      <c r="F83" s="24">
        <f t="shared" si="34"/>
        <v>69973267.774999931</v>
      </c>
      <c r="G83" s="24">
        <v>75912479</v>
      </c>
      <c r="H83" s="24">
        <f t="shared" si="43"/>
        <v>-5939211.2250000685</v>
      </c>
      <c r="J83" s="24">
        <f t="shared" si="35"/>
        <v>365567.26500000001</v>
      </c>
      <c r="K83" s="24">
        <v>389072</v>
      </c>
      <c r="L83" s="24">
        <f t="shared" si="44"/>
        <v>-23504.734999999986</v>
      </c>
      <c r="O83">
        <v>454</v>
      </c>
      <c r="AB83" s="24">
        <v>824351980</v>
      </c>
      <c r="AD83" s="73">
        <f t="shared" si="36"/>
        <v>8446699</v>
      </c>
      <c r="AE83" s="7">
        <v>7472876</v>
      </c>
      <c r="AF83" s="24">
        <f t="shared" si="37"/>
        <v>973823</v>
      </c>
      <c r="CA83" s="24">
        <f t="shared" si="38"/>
        <v>0</v>
      </c>
      <c r="CB83" s="24">
        <v>191765020.59999999</v>
      </c>
      <c r="CC83" s="24">
        <f t="shared" si="45"/>
        <v>-191765020.59999999</v>
      </c>
      <c r="CL83" s="24">
        <f t="shared" si="39"/>
        <v>540232245.81152642</v>
      </c>
      <c r="CM83" s="24">
        <v>574288472</v>
      </c>
      <c r="CN83" s="24">
        <f t="shared" si="46"/>
        <v>-34056226.188473582</v>
      </c>
      <c r="CS83" s="2">
        <f t="shared" si="40"/>
        <v>12088950.015999995</v>
      </c>
      <c r="CT83" s="2">
        <v>11790477</v>
      </c>
      <c r="CV83" s="24">
        <f t="shared" si="41"/>
        <v>11358807.582999999</v>
      </c>
      <c r="CW83" s="24">
        <v>13305808</v>
      </c>
      <c r="CX83" s="24">
        <f t="shared" si="42"/>
        <v>-1947000.4170000013</v>
      </c>
    </row>
    <row r="84" spans="6:122" x14ac:dyDescent="0.2">
      <c r="F84" s="24">
        <f t="shared" si="34"/>
        <v>87093737.215000018</v>
      </c>
      <c r="G84" s="24">
        <v>94856528</v>
      </c>
      <c r="H84" s="24">
        <f t="shared" si="43"/>
        <v>-7762790.7849999815</v>
      </c>
      <c r="J84" s="24">
        <f t="shared" si="35"/>
        <v>433147.59399999992</v>
      </c>
      <c r="K84" s="24">
        <v>441207</v>
      </c>
      <c r="L84" s="24">
        <f t="shared" si="44"/>
        <v>-8059.4060000000754</v>
      </c>
      <c r="O84">
        <v>470</v>
      </c>
      <c r="AB84" s="24">
        <v>904195093</v>
      </c>
      <c r="AD84" s="73">
        <f t="shared" si="36"/>
        <v>8098671</v>
      </c>
      <c r="AE84" s="7">
        <v>7862397</v>
      </c>
      <c r="AF84" s="24">
        <f t="shared" si="37"/>
        <v>236274</v>
      </c>
      <c r="CA84" s="24">
        <f t="shared" si="38"/>
        <v>0</v>
      </c>
      <c r="CB84" s="24">
        <v>189625890.20000002</v>
      </c>
      <c r="CC84" s="24">
        <f t="shared" si="45"/>
        <v>-189625890.20000002</v>
      </c>
      <c r="CL84" s="24">
        <f t="shared" si="39"/>
        <v>669648073.93598127</v>
      </c>
      <c r="CM84" s="24">
        <v>763757368</v>
      </c>
      <c r="CN84" s="24">
        <f t="shared" si="46"/>
        <v>-94109294.064018726</v>
      </c>
      <c r="CS84" s="2">
        <f t="shared" si="40"/>
        <v>15423131.366999988</v>
      </c>
      <c r="CT84" s="2">
        <v>12830697</v>
      </c>
      <c r="CV84" s="24">
        <f t="shared" si="41"/>
        <v>11327673.261999998</v>
      </c>
      <c r="CW84" s="24">
        <v>13263619</v>
      </c>
      <c r="CX84" s="24">
        <f t="shared" si="42"/>
        <v>-1935945.7380000018</v>
      </c>
    </row>
    <row r="85" spans="6:122" x14ac:dyDescent="0.2">
      <c r="F85" s="24">
        <f t="shared" si="34"/>
        <v>92760261.379999995</v>
      </c>
      <c r="G85" s="24">
        <v>98910325</v>
      </c>
      <c r="H85" s="24">
        <f t="shared" si="43"/>
        <v>-6150063.6200000048</v>
      </c>
      <c r="J85" s="24">
        <f t="shared" si="35"/>
        <v>442933.53</v>
      </c>
      <c r="K85" s="24">
        <v>463941</v>
      </c>
      <c r="L85" s="24">
        <f t="shared" si="44"/>
        <v>-21007.469999999972</v>
      </c>
      <c r="O85">
        <v>442</v>
      </c>
      <c r="AB85" s="24">
        <v>918408608</v>
      </c>
      <c r="AD85" s="73">
        <f t="shared" si="36"/>
        <v>7173720</v>
      </c>
      <c r="AE85" s="7">
        <v>7866864</v>
      </c>
      <c r="AF85" s="24">
        <f t="shared" si="37"/>
        <v>-693144</v>
      </c>
      <c r="CA85" s="24">
        <f t="shared" si="38"/>
        <v>0</v>
      </c>
      <c r="CB85" s="24">
        <v>187307915.00000003</v>
      </c>
      <c r="CC85" s="24">
        <f t="shared" si="45"/>
        <v>-187307915.00000003</v>
      </c>
      <c r="CL85" s="24">
        <f t="shared" si="39"/>
        <v>769994080.96160781</v>
      </c>
      <c r="CM85" s="24">
        <v>803132209</v>
      </c>
      <c r="CN85" s="24">
        <f t="shared" si="46"/>
        <v>-33138128.038392186</v>
      </c>
      <c r="CS85" s="2">
        <f t="shared" si="40"/>
        <v>13821957.891999995</v>
      </c>
      <c r="CT85" s="2">
        <v>13045674</v>
      </c>
      <c r="CV85" s="24">
        <f t="shared" si="41"/>
        <v>11202549.777999999</v>
      </c>
      <c r="CW85" s="24">
        <v>13454555</v>
      </c>
      <c r="CX85" s="24">
        <f t="shared" si="42"/>
        <v>-2252005.222000001</v>
      </c>
    </row>
    <row r="86" spans="6:122" x14ac:dyDescent="0.2">
      <c r="F86" s="24">
        <f t="shared" si="34"/>
        <v>104188982.80099994</v>
      </c>
      <c r="G86" s="24">
        <v>96473528</v>
      </c>
      <c r="H86" s="24">
        <f t="shared" si="43"/>
        <v>7715454.8009999394</v>
      </c>
      <c r="J86" s="24">
        <f t="shared" si="35"/>
        <v>460860.10299999989</v>
      </c>
      <c r="K86" s="24">
        <v>446946</v>
      </c>
      <c r="L86" s="24">
        <f t="shared" si="44"/>
        <v>13914.102999999886</v>
      </c>
      <c r="O86">
        <v>488</v>
      </c>
      <c r="AB86" s="24">
        <v>901526114</v>
      </c>
      <c r="AD86" s="73">
        <f t="shared" si="36"/>
        <v>9001691.5549999997</v>
      </c>
      <c r="AE86" s="7">
        <v>6810552</v>
      </c>
      <c r="AF86" s="24">
        <f t="shared" si="37"/>
        <v>2191139.5549999997</v>
      </c>
      <c r="CA86" s="24">
        <f t="shared" si="38"/>
        <v>0</v>
      </c>
      <c r="CB86" s="24">
        <v>193436896.84999996</v>
      </c>
      <c r="CC86" s="24">
        <f t="shared" si="45"/>
        <v>-193436896.84999996</v>
      </c>
      <c r="CL86" s="24">
        <f t="shared" si="39"/>
        <v>860585930.26798856</v>
      </c>
      <c r="CM86" s="24">
        <v>772418309</v>
      </c>
      <c r="CN86" s="24">
        <f t="shared" si="46"/>
        <v>88167621.267988563</v>
      </c>
      <c r="CS86" s="2">
        <f t="shared" si="40"/>
        <v>14009238.468000002</v>
      </c>
      <c r="CT86" s="2">
        <v>12126031</v>
      </c>
      <c r="CV86" s="24">
        <f t="shared" si="41"/>
        <v>11387523.399</v>
      </c>
      <c r="CW86" s="24">
        <v>13451362</v>
      </c>
      <c r="CX86" s="24">
        <f t="shared" si="42"/>
        <v>-2063838.6009999998</v>
      </c>
    </row>
    <row r="87" spans="6:122" x14ac:dyDescent="0.2">
      <c r="F87" s="24">
        <f t="shared" si="34"/>
        <v>95168147.403000012</v>
      </c>
      <c r="G87" s="24">
        <v>88612404</v>
      </c>
      <c r="H87" s="24">
        <f t="shared" si="43"/>
        <v>6555743.403000012</v>
      </c>
      <c r="J87" s="24">
        <f t="shared" si="35"/>
        <v>463238.30799999996</v>
      </c>
      <c r="K87" s="24">
        <v>428304</v>
      </c>
      <c r="L87" s="24">
        <f t="shared" si="44"/>
        <v>34934.307999999961</v>
      </c>
      <c r="O87">
        <v>0</v>
      </c>
      <c r="AB87" s="24">
        <v>895465536</v>
      </c>
      <c r="AD87" s="73">
        <f t="shared" si="36"/>
        <v>8010920</v>
      </c>
      <c r="AE87" s="7">
        <v>8420868</v>
      </c>
      <c r="AF87" s="24">
        <f t="shared" si="37"/>
        <v>-409948</v>
      </c>
      <c r="CA87" s="24">
        <f t="shared" si="38"/>
        <v>0</v>
      </c>
      <c r="CB87" s="24">
        <v>195774666.19999999</v>
      </c>
      <c r="CC87" s="24">
        <f t="shared" si="45"/>
        <v>-195774666.19999999</v>
      </c>
      <c r="CL87" s="24">
        <f t="shared" si="39"/>
        <v>774352964.76580501</v>
      </c>
      <c r="CM87" s="24">
        <v>673300764</v>
      </c>
      <c r="CN87" s="24">
        <f t="shared" si="46"/>
        <v>101052200.76580501</v>
      </c>
      <c r="CS87" s="2">
        <f t="shared" si="40"/>
        <v>14176023.088000005</v>
      </c>
      <c r="CT87" s="2">
        <v>12792790</v>
      </c>
      <c r="CV87" s="24">
        <f t="shared" si="41"/>
        <v>11857845.041999999</v>
      </c>
      <c r="CW87" s="24">
        <v>13982077</v>
      </c>
      <c r="CX87" s="24">
        <f t="shared" si="42"/>
        <v>-2124231.9580000006</v>
      </c>
    </row>
    <row r="88" spans="6:122" x14ac:dyDescent="0.2">
      <c r="F88" s="24">
        <f t="shared" si="34"/>
        <v>73091479.664999917</v>
      </c>
      <c r="G88" s="24">
        <v>81399563</v>
      </c>
      <c r="H88" s="24">
        <f t="shared" si="43"/>
        <v>-8308083.3350000829</v>
      </c>
      <c r="J88" s="24">
        <f t="shared" si="35"/>
        <v>365749.63500000001</v>
      </c>
      <c r="K88" s="24">
        <v>425046</v>
      </c>
      <c r="L88" s="24">
        <f t="shared" si="44"/>
        <v>-59296.364999999991</v>
      </c>
      <c r="O88">
        <v>0</v>
      </c>
      <c r="AB88" s="24">
        <v>855750811</v>
      </c>
      <c r="AD88" s="73">
        <f t="shared" si="36"/>
        <v>8148582</v>
      </c>
      <c r="AE88" s="7">
        <v>7516224</v>
      </c>
      <c r="AF88" s="24">
        <f t="shared" si="37"/>
        <v>632358</v>
      </c>
      <c r="CA88" s="24">
        <f t="shared" si="38"/>
        <v>0</v>
      </c>
      <c r="CB88" s="24">
        <v>187799504.19999999</v>
      </c>
      <c r="CC88" s="24">
        <f t="shared" si="45"/>
        <v>-187799504.19999999</v>
      </c>
      <c r="CL88" s="24">
        <f t="shared" si="39"/>
        <v>547456909.44302893</v>
      </c>
      <c r="CM88" s="24">
        <v>593475457</v>
      </c>
      <c r="CN88" s="24">
        <f t="shared" si="46"/>
        <v>-46018547.556971073</v>
      </c>
      <c r="CS88" s="2">
        <f t="shared" si="40"/>
        <v>12844668.923</v>
      </c>
      <c r="CT88" s="2">
        <v>11505103</v>
      </c>
      <c r="CV88" s="24">
        <f t="shared" si="41"/>
        <v>11858920.277999999</v>
      </c>
      <c r="CW88" s="24">
        <v>13634640</v>
      </c>
      <c r="CX88" s="24">
        <f t="shared" si="42"/>
        <v>-1775719.722000001</v>
      </c>
    </row>
    <row r="89" spans="6:122" x14ac:dyDescent="0.2">
      <c r="F89" s="24">
        <f t="shared" si="34"/>
        <v>71294818.861000046</v>
      </c>
      <c r="G89" s="24">
        <v>74233742</v>
      </c>
      <c r="H89" s="24">
        <f t="shared" si="43"/>
        <v>-2938923.1389999539</v>
      </c>
      <c r="J89" s="24">
        <f t="shared" si="35"/>
        <v>355210.87</v>
      </c>
      <c r="K89" s="24">
        <v>398713</v>
      </c>
      <c r="L89" s="24">
        <f t="shared" si="44"/>
        <v>-43502.130000000005</v>
      </c>
      <c r="O89">
        <v>0</v>
      </c>
      <c r="AB89" s="24">
        <v>823095762</v>
      </c>
      <c r="AD89" s="73">
        <f t="shared" si="36"/>
        <v>7979332</v>
      </c>
      <c r="AE89" s="7">
        <v>8636868</v>
      </c>
      <c r="AF89" s="24">
        <f t="shared" si="37"/>
        <v>-657536</v>
      </c>
      <c r="CA89" s="24">
        <f t="shared" si="38"/>
        <v>0</v>
      </c>
      <c r="CB89" s="24">
        <v>201156249.59999999</v>
      </c>
      <c r="CC89" s="24">
        <f t="shared" si="45"/>
        <v>-201156249.59999999</v>
      </c>
      <c r="CL89" s="24">
        <f t="shared" si="39"/>
        <v>583364778.06929195</v>
      </c>
      <c r="CM89" s="24">
        <v>600255000</v>
      </c>
      <c r="CN89" s="24">
        <f t="shared" si="46"/>
        <v>-16890221.930708051</v>
      </c>
      <c r="CS89" s="2">
        <f t="shared" si="40"/>
        <v>12506923.030000003</v>
      </c>
      <c r="CT89" s="2">
        <v>11227870</v>
      </c>
      <c r="CV89" s="24">
        <f t="shared" si="41"/>
        <v>11881672.547999999</v>
      </c>
      <c r="CW89" s="24">
        <v>13581666</v>
      </c>
      <c r="CX89" s="24">
        <f t="shared" si="42"/>
        <v>-1699993.4520000014</v>
      </c>
    </row>
    <row r="90" spans="6:122" x14ac:dyDescent="0.2">
      <c r="F90" s="24">
        <f t="shared" si="34"/>
        <v>85676620.666999981</v>
      </c>
      <c r="G90" s="24">
        <v>85660718</v>
      </c>
      <c r="H90" s="24">
        <f t="shared" si="43"/>
        <v>15902.666999980807</v>
      </c>
      <c r="J90" s="24">
        <f t="shared" si="35"/>
        <v>422939.30999999994</v>
      </c>
      <c r="K90" s="24">
        <v>454064</v>
      </c>
      <c r="L90" s="24">
        <f t="shared" si="44"/>
        <v>-31124.690000000061</v>
      </c>
      <c r="O90">
        <v>0</v>
      </c>
      <c r="AB90" s="24">
        <v>808097827</v>
      </c>
      <c r="AD90" s="73">
        <f t="shared" si="36"/>
        <v>7309913</v>
      </c>
      <c r="AE90" s="7">
        <v>7899890</v>
      </c>
      <c r="AF90" s="24">
        <f t="shared" si="37"/>
        <v>-589977</v>
      </c>
      <c r="CA90" s="24">
        <f t="shared" si="38"/>
        <v>0</v>
      </c>
      <c r="CB90" s="24">
        <v>177885434</v>
      </c>
      <c r="CC90" s="24">
        <f t="shared" si="45"/>
        <v>-177885434</v>
      </c>
      <c r="CL90" s="24">
        <f t="shared" si="39"/>
        <v>837583467.64053822</v>
      </c>
      <c r="CM90" s="24">
        <v>799437599</v>
      </c>
      <c r="CN90" s="24">
        <f t="shared" si="46"/>
        <v>38145868.640538216</v>
      </c>
      <c r="CS90" s="2">
        <f t="shared" si="40"/>
        <v>12897147.768000005</v>
      </c>
      <c r="CT90" s="2">
        <v>12063708</v>
      </c>
      <c r="CV90" s="24">
        <f t="shared" si="41"/>
        <v>11979734.685999999</v>
      </c>
      <c r="CW90" s="24">
        <v>13670755</v>
      </c>
      <c r="CX90" s="24">
        <f t="shared" si="42"/>
        <v>-1691020.3140000012</v>
      </c>
    </row>
    <row r="91" spans="6:122" x14ac:dyDescent="0.2">
      <c r="F91" s="24">
        <f>SUM(F79:F90)-SUM(G79:G90)</f>
        <v>-45371149.71900034</v>
      </c>
      <c r="G91" s="24"/>
      <c r="J91" s="24">
        <f>SUM(J79:J90)-SUM(K79:K90)</f>
        <v>-385785.43200000003</v>
      </c>
      <c r="AB91" s="24"/>
      <c r="AD91" s="24">
        <f>SUM(AD79:AD90)-SUM(AE79:AE90)</f>
        <v>1534952.5550000072</v>
      </c>
      <c r="AE91" s="24"/>
      <c r="CA91" s="24">
        <f>SUM(CA79:CA90)-SUM(CB79:CB90)</f>
        <v>-2235697996.4499998</v>
      </c>
      <c r="CL91" s="24">
        <f>SUM(CL79:CL90)-SUM(CM79:CM90)</f>
        <v>-432015227.73630524</v>
      </c>
      <c r="CS91" s="2">
        <f>SUM(CS79:CS90)-SUM(CT79:CT90)</f>
        <v>14896727.597000003</v>
      </c>
      <c r="CV91" s="24">
        <f>SUM(CV79:CV90)-SUM(CW79:CW90)</f>
        <v>-22830892.878000021</v>
      </c>
    </row>
    <row r="92" spans="6:122" x14ac:dyDescent="0.2">
      <c r="F92" s="24"/>
      <c r="G92" s="24"/>
      <c r="CF92" s="24"/>
    </row>
    <row r="93" spans="6:122" x14ac:dyDescent="0.2">
      <c r="F93" s="24"/>
      <c r="G93" s="24"/>
      <c r="CF93" s="24"/>
    </row>
    <row r="94" spans="6:122" x14ac:dyDescent="0.2">
      <c r="F94" s="2">
        <v>32038.772209163461</v>
      </c>
      <c r="G94" s="2">
        <v>46554.336879464085</v>
      </c>
      <c r="H94" s="2">
        <v>50904.238596976153</v>
      </c>
      <c r="I94" s="2">
        <v>77797.238314396294</v>
      </c>
    </row>
    <row r="95" spans="6:122" x14ac:dyDescent="0.2">
      <c r="F95" s="2">
        <v>31832.753597626499</v>
      </c>
      <c r="G95" s="2">
        <v>45406.750902120853</v>
      </c>
      <c r="H95" s="2">
        <v>48345.745318811372</v>
      </c>
      <c r="I95" s="2">
        <v>71084.1371814413</v>
      </c>
    </row>
    <row r="96" spans="6:122" x14ac:dyDescent="0.2">
      <c r="F96" s="2">
        <v>29194.811775199298</v>
      </c>
      <c r="G96" s="2">
        <v>40083.321742964501</v>
      </c>
      <c r="H96" s="2">
        <v>40456.227370164539</v>
      </c>
      <c r="I96" s="2">
        <v>57208.198111671649</v>
      </c>
      <c r="CV96">
        <v>0</v>
      </c>
      <c r="CW96">
        <v>0</v>
      </c>
      <c r="CX96">
        <v>185494</v>
      </c>
      <c r="CY96">
        <v>0</v>
      </c>
      <c r="CZ96">
        <v>0</v>
      </c>
      <c r="DA96">
        <v>0</v>
      </c>
      <c r="DB96">
        <v>1601208.6630000006</v>
      </c>
      <c r="DC96">
        <v>0</v>
      </c>
      <c r="DD96">
        <v>46292.517999999938</v>
      </c>
      <c r="DE96" s="2">
        <f>SUM(CV96:DD96)</f>
        <v>1832995.1810000006</v>
      </c>
      <c r="DF96">
        <v>-1</v>
      </c>
      <c r="DH96" s="3">
        <v>446542</v>
      </c>
      <c r="DI96" s="3">
        <v>25165.599999999999</v>
      </c>
      <c r="DJ96" s="3">
        <v>191068</v>
      </c>
      <c r="DK96" s="3">
        <v>278616</v>
      </c>
      <c r="DL96" s="3">
        <v>2931843.6159999999</v>
      </c>
      <c r="DM96" s="3">
        <v>296316</v>
      </c>
      <c r="DN96" s="3">
        <f>6687522.929+DB125</f>
        <v>6756963.1959999995</v>
      </c>
      <c r="DO96" s="3">
        <v>2286</v>
      </c>
      <c r="DP96" s="3">
        <f>256966.706+DD125</f>
        <v>262508.34399999998</v>
      </c>
      <c r="DQ96" s="3" t="s">
        <v>8</v>
      </c>
      <c r="DR96" t="s">
        <v>8</v>
      </c>
    </row>
    <row r="97" spans="6:121" x14ac:dyDescent="0.2">
      <c r="F97" s="2">
        <v>33563.887100716609</v>
      </c>
      <c r="G97" s="2">
        <v>44813.211873526503</v>
      </c>
      <c r="H97" s="2">
        <v>43726.747621711074</v>
      </c>
      <c r="I97" s="2">
        <v>61823.4244040458</v>
      </c>
      <c r="CL97" s="2">
        <v>56391.323232058727</v>
      </c>
      <c r="CM97" s="2">
        <v>90175.007249132323</v>
      </c>
      <c r="CN97" s="2">
        <v>83889.329029900138</v>
      </c>
      <c r="CO97" s="2">
        <v>7057.6203398186399</v>
      </c>
      <c r="CP97" s="2">
        <v>14142.893822669623</v>
      </c>
      <c r="CQ97" s="2">
        <v>3164.8643999999999</v>
      </c>
      <c r="CV97">
        <v>0</v>
      </c>
      <c r="CW97">
        <v>0</v>
      </c>
      <c r="CX97">
        <v>155606</v>
      </c>
      <c r="CY97">
        <v>0</v>
      </c>
      <c r="CZ97">
        <v>0</v>
      </c>
      <c r="DA97">
        <v>0</v>
      </c>
      <c r="DB97">
        <v>1599277.5800000005</v>
      </c>
      <c r="DC97">
        <v>0</v>
      </c>
      <c r="DD97">
        <v>46628.453999999969</v>
      </c>
      <c r="DE97" s="2">
        <f t="shared" ref="DE97:DE107" si="47">SUM(CV97:DD97)</f>
        <v>1801512.0340000005</v>
      </c>
      <c r="DH97" s="3">
        <v>405185</v>
      </c>
      <c r="DI97" s="3">
        <v>25220</v>
      </c>
      <c r="DJ97" s="3">
        <v>160611</v>
      </c>
      <c r="DK97" s="3">
        <v>251203</v>
      </c>
      <c r="DL97" s="3">
        <v>2911250.9220000003</v>
      </c>
      <c r="DM97" s="3">
        <v>296316</v>
      </c>
      <c r="DN97" s="3">
        <f>6577788.29+DB126</f>
        <v>6649299.29</v>
      </c>
      <c r="DO97" s="3">
        <v>1952</v>
      </c>
      <c r="DP97" s="3">
        <f>283356.47+DD126</f>
        <v>289192.15699999995</v>
      </c>
      <c r="DQ97" s="3" t="s">
        <v>8</v>
      </c>
    </row>
    <row r="98" spans="6:121" x14ac:dyDescent="0.2">
      <c r="F98" s="2">
        <v>35685.885277888934</v>
      </c>
      <c r="G98" s="2">
        <v>44997.686272531821</v>
      </c>
      <c r="H98" s="2">
        <v>42651.174429058854</v>
      </c>
      <c r="I98" s="2">
        <v>60159.138020520404</v>
      </c>
      <c r="CL98" s="2">
        <v>52855.703249893304</v>
      </c>
      <c r="CM98" s="2">
        <v>78010.044511844389</v>
      </c>
      <c r="CN98" s="2">
        <v>62897.771529005076</v>
      </c>
      <c r="CO98" s="2">
        <v>6558.810151821468</v>
      </c>
      <c r="CP98" s="2">
        <v>10655.098510045069</v>
      </c>
      <c r="CQ98" s="2">
        <v>2967.40328</v>
      </c>
      <c r="CV98">
        <v>0</v>
      </c>
      <c r="CW98">
        <v>0</v>
      </c>
      <c r="CX98">
        <v>139865</v>
      </c>
      <c r="CY98">
        <v>0</v>
      </c>
      <c r="CZ98">
        <v>0</v>
      </c>
      <c r="DA98">
        <v>0</v>
      </c>
      <c r="DB98">
        <v>1590026.7470000004</v>
      </c>
      <c r="DC98">
        <v>0</v>
      </c>
      <c r="DD98">
        <v>48294.889999999985</v>
      </c>
      <c r="DE98" s="2">
        <f t="shared" si="47"/>
        <v>1778186.6370000003</v>
      </c>
      <c r="DH98" s="3">
        <v>377341</v>
      </c>
      <c r="DI98" s="3">
        <v>25220</v>
      </c>
      <c r="DJ98" s="3">
        <v>148007</v>
      </c>
      <c r="DK98" s="3">
        <v>240655</v>
      </c>
      <c r="DL98" s="3">
        <v>2897617.6</v>
      </c>
      <c r="DM98" s="3">
        <v>296316</v>
      </c>
      <c r="DN98" s="3">
        <f>6511014.815+DB127</f>
        <v>6582180.4480000008</v>
      </c>
      <c r="DO98" s="3">
        <v>1788</v>
      </c>
      <c r="DP98" s="3">
        <f>297781.958+DD127</f>
        <v>303940.27799999999</v>
      </c>
      <c r="DQ98" s="3" t="s">
        <v>8</v>
      </c>
    </row>
    <row r="99" spans="6:121" x14ac:dyDescent="0.2">
      <c r="F99" s="2">
        <v>71356.329737438034</v>
      </c>
      <c r="G99" s="2">
        <v>97663.328967266425</v>
      </c>
      <c r="H99" s="2">
        <v>104099.03949488283</v>
      </c>
      <c r="I99" s="2">
        <v>170068.07580041271</v>
      </c>
      <c r="CL99" s="2">
        <v>82768.694318642039</v>
      </c>
      <c r="CM99" s="2">
        <v>113086.05602675911</v>
      </c>
      <c r="CN99" s="2">
        <v>65172.518341409595</v>
      </c>
      <c r="CO99" s="2">
        <v>9882.3829027854899</v>
      </c>
      <c r="CP99" s="2">
        <v>10377.429596320366</v>
      </c>
      <c r="CQ99" s="2">
        <v>4687.0974699999997</v>
      </c>
      <c r="CV99">
        <v>0</v>
      </c>
      <c r="CW99">
        <v>0</v>
      </c>
      <c r="CX99">
        <v>127712</v>
      </c>
      <c r="CY99">
        <v>0</v>
      </c>
      <c r="CZ99">
        <v>0</v>
      </c>
      <c r="DA99">
        <v>0</v>
      </c>
      <c r="DB99">
        <v>1578412.4990000005</v>
      </c>
      <c r="DC99">
        <v>0</v>
      </c>
      <c r="DD99">
        <v>50801.202999999972</v>
      </c>
      <c r="DE99" s="2">
        <f t="shared" si="47"/>
        <v>1756925.7020000005</v>
      </c>
      <c r="DH99" s="3">
        <v>328781</v>
      </c>
      <c r="DI99" s="3">
        <v>25220</v>
      </c>
      <c r="DJ99" s="3">
        <v>137674</v>
      </c>
      <c r="DK99" s="3">
        <v>241157</v>
      </c>
      <c r="DL99" s="3">
        <v>2861260.7989999996</v>
      </c>
      <c r="DM99" s="3">
        <v>292311.93299999996</v>
      </c>
      <c r="DN99" s="3">
        <f>6483523.209+DB128</f>
        <v>6554866.4879999999</v>
      </c>
      <c r="DO99" s="3">
        <v>1774</v>
      </c>
      <c r="DP99" s="3">
        <f>316987.758+DD128</f>
        <v>323111.19899999996</v>
      </c>
      <c r="DQ99" s="3" t="s">
        <v>8</v>
      </c>
    </row>
    <row r="100" spans="6:121" x14ac:dyDescent="0.2">
      <c r="F100" s="2">
        <v>81591.122628777986</v>
      </c>
      <c r="G100" s="2">
        <v>116990.60146220555</v>
      </c>
      <c r="H100" s="2">
        <v>129623.60262418583</v>
      </c>
      <c r="I100" s="2">
        <v>210378.5252848306</v>
      </c>
      <c r="CL100" s="2">
        <v>64822.238172691665</v>
      </c>
      <c r="CM100" s="2">
        <v>83484.706381906464</v>
      </c>
      <c r="CN100" s="2">
        <v>36357.169557156267</v>
      </c>
      <c r="CO100" s="2">
        <v>7332.7401301713453</v>
      </c>
      <c r="CP100" s="2">
        <v>5586.3448532038447</v>
      </c>
      <c r="CQ100" s="2">
        <v>3664.7078700000002</v>
      </c>
      <c r="CV100">
        <v>0</v>
      </c>
      <c r="CW100">
        <v>0</v>
      </c>
      <c r="CX100">
        <v>111527</v>
      </c>
      <c r="CY100">
        <v>0</v>
      </c>
      <c r="CZ100">
        <v>0</v>
      </c>
      <c r="DA100">
        <v>0</v>
      </c>
      <c r="DB100">
        <v>1570474.8350000004</v>
      </c>
      <c r="DC100">
        <v>0</v>
      </c>
      <c r="DD100">
        <v>51952.972999999991</v>
      </c>
      <c r="DE100" s="2">
        <f t="shared" si="47"/>
        <v>1733954.8080000004</v>
      </c>
      <c r="DH100" s="3">
        <v>295073</v>
      </c>
      <c r="DI100" s="3">
        <v>24627.866999999998</v>
      </c>
      <c r="DJ100" s="3">
        <v>120777</v>
      </c>
      <c r="DK100" s="3">
        <v>216363</v>
      </c>
      <c r="DL100" s="3">
        <v>2828870.3930000002</v>
      </c>
      <c r="DM100" s="3">
        <v>267614</v>
      </c>
      <c r="DN100" s="3">
        <f>6451938.953+DB129</f>
        <v>6522326.9529999997</v>
      </c>
      <c r="DO100" s="3">
        <v>1384</v>
      </c>
      <c r="DP100" s="3">
        <f>334419.820999999+DD129</f>
        <v>340723.32099999901</v>
      </c>
      <c r="DQ100" s="3" t="s">
        <v>8</v>
      </c>
    </row>
    <row r="101" spans="6:121" x14ac:dyDescent="0.2">
      <c r="F101" s="2">
        <v>131104.02153982205</v>
      </c>
      <c r="G101" s="2">
        <v>196244.58411256273</v>
      </c>
      <c r="H101" s="2">
        <v>228554.32094950392</v>
      </c>
      <c r="I101" s="2">
        <v>400938.64939811121</v>
      </c>
      <c r="CL101" s="2">
        <v>65874.505018339056</v>
      </c>
      <c r="CM101" s="2">
        <v>76500.761392711574</v>
      </c>
      <c r="CN101" s="2">
        <v>20484.210417552433</v>
      </c>
      <c r="CO101" s="2">
        <v>6478.1176724841907</v>
      </c>
      <c r="CP101" s="2">
        <v>2616.3715054139011</v>
      </c>
      <c r="CQ101" s="2">
        <v>3717.2195200000001</v>
      </c>
      <c r="CV101">
        <v>0</v>
      </c>
      <c r="CW101">
        <v>0</v>
      </c>
      <c r="CX101">
        <v>111634</v>
      </c>
      <c r="CY101">
        <v>0</v>
      </c>
      <c r="CZ101">
        <v>0</v>
      </c>
      <c r="DA101">
        <v>0</v>
      </c>
      <c r="DB101">
        <v>1562436.6189999999</v>
      </c>
      <c r="DC101">
        <v>0</v>
      </c>
      <c r="DD101">
        <v>52438.972999999991</v>
      </c>
      <c r="DE101" s="2">
        <f t="shared" si="47"/>
        <v>1726509.5919999999</v>
      </c>
      <c r="DH101" s="3">
        <v>291025</v>
      </c>
      <c r="DI101" s="3">
        <v>24486</v>
      </c>
      <c r="DJ101" s="3">
        <v>120153</v>
      </c>
      <c r="DK101" s="3">
        <v>230565</v>
      </c>
      <c r="DL101" s="3">
        <v>2781017.6039999998</v>
      </c>
      <c r="DM101" s="3">
        <v>267614</v>
      </c>
      <c r="DN101" s="3">
        <f>6433579.77+DB130</f>
        <v>6500749.5369999995</v>
      </c>
      <c r="DO101" s="3">
        <v>1448</v>
      </c>
      <c r="DP101" s="3">
        <f>364769.606999999+DD130</f>
        <v>371073.10699999903</v>
      </c>
      <c r="DQ101" s="3" t="s">
        <v>8</v>
      </c>
    </row>
    <row r="102" spans="6:121" x14ac:dyDescent="0.2">
      <c r="F102" s="2">
        <v>12235.917719560968</v>
      </c>
      <c r="G102" s="2">
        <v>17752.197804795731</v>
      </c>
      <c r="H102" s="2">
        <v>19831.595270725913</v>
      </c>
      <c r="I102" s="2">
        <v>31739.441204917388</v>
      </c>
      <c r="CL102" s="2">
        <v>71206.223590805341</v>
      </c>
      <c r="CM102" s="2">
        <v>102390.10459990882</v>
      </c>
      <c r="CN102" s="2">
        <v>44146.229830515054</v>
      </c>
      <c r="CO102" s="2">
        <v>6860.4051431674234</v>
      </c>
      <c r="CP102" s="2">
        <v>3791.2687967959805</v>
      </c>
      <c r="CQ102" s="2">
        <v>3923.8510199999996</v>
      </c>
      <c r="CV102">
        <v>0</v>
      </c>
      <c r="CW102">
        <v>0</v>
      </c>
      <c r="CX102">
        <v>107854</v>
      </c>
      <c r="CY102">
        <v>0</v>
      </c>
      <c r="CZ102">
        <v>0</v>
      </c>
      <c r="DA102">
        <v>0</v>
      </c>
      <c r="DB102">
        <v>1556203.9460000005</v>
      </c>
      <c r="DC102">
        <v>0</v>
      </c>
      <c r="DD102">
        <v>53070.366999999977</v>
      </c>
      <c r="DE102" s="2">
        <f t="shared" si="47"/>
        <v>1717128.3130000005</v>
      </c>
      <c r="DH102" s="3">
        <v>262082</v>
      </c>
      <c r="DI102" s="3">
        <v>24463.599999999999</v>
      </c>
      <c r="DJ102" s="3">
        <v>115779</v>
      </c>
      <c r="DK102" s="3">
        <v>214849</v>
      </c>
      <c r="DL102" s="3">
        <v>2696164.4010000001</v>
      </c>
      <c r="DM102" s="3">
        <v>265595.3</v>
      </c>
      <c r="DN102" s="3">
        <f>6394039.318+DB131</f>
        <v>6457037.1509999996</v>
      </c>
      <c r="DO102" s="3">
        <v>1516</v>
      </c>
      <c r="DP102" s="3">
        <f>401838.3+DD131</f>
        <v>407998.6</v>
      </c>
      <c r="DQ102" s="3" t="s">
        <v>8</v>
      </c>
    </row>
    <row r="103" spans="6:121" x14ac:dyDescent="0.2">
      <c r="F103" s="2">
        <v>18030.975237237199</v>
      </c>
      <c r="G103" s="2">
        <v>23057.250034090946</v>
      </c>
      <c r="H103" s="2">
        <v>22360.244747953831</v>
      </c>
      <c r="I103" s="2">
        <v>31043.806980718018</v>
      </c>
      <c r="CL103" s="2">
        <v>71518.534715979025</v>
      </c>
      <c r="CM103" s="2">
        <v>114537.40195120765</v>
      </c>
      <c r="CN103" s="2">
        <v>60990.138527753326</v>
      </c>
      <c r="CO103" s="2">
        <v>7169.6849467785314</v>
      </c>
      <c r="CP103" s="2">
        <v>4450.0237562761149</v>
      </c>
      <c r="CQ103" s="2">
        <v>3883.09971</v>
      </c>
      <c r="CV103">
        <v>0</v>
      </c>
      <c r="CW103">
        <v>0</v>
      </c>
      <c r="CX103">
        <v>118743</v>
      </c>
      <c r="CY103">
        <v>0</v>
      </c>
      <c r="CZ103">
        <v>0</v>
      </c>
      <c r="DA103">
        <v>0</v>
      </c>
      <c r="DB103">
        <v>1548308.8769999999</v>
      </c>
      <c r="DC103">
        <v>0</v>
      </c>
      <c r="DD103">
        <v>53060.199999999983</v>
      </c>
      <c r="DE103" s="2">
        <f t="shared" si="47"/>
        <v>1720112.0769999998</v>
      </c>
      <c r="DH103" s="3">
        <v>263329</v>
      </c>
      <c r="DI103" s="3">
        <v>24511.599999999999</v>
      </c>
      <c r="DJ103" s="3">
        <v>127604</v>
      </c>
      <c r="DK103" s="3">
        <v>213615</v>
      </c>
      <c r="DL103" s="3">
        <v>2703311.1669999999</v>
      </c>
      <c r="DM103" s="3">
        <v>326961</v>
      </c>
      <c r="DN103" s="3">
        <f>6456974.564+DB132</f>
        <v>6523892.6639999999</v>
      </c>
      <c r="DO103" s="3">
        <v>1420</v>
      </c>
      <c r="DP103" s="3">
        <f>420422.488+DD132</f>
        <v>427406.58799999999</v>
      </c>
      <c r="DQ103" s="3" t="s">
        <v>8</v>
      </c>
    </row>
    <row r="104" spans="6:121" x14ac:dyDescent="0.2">
      <c r="F104" s="2">
        <v>15583.0381747431</v>
      </c>
      <c r="G104" s="2">
        <v>21877.888680162287</v>
      </c>
      <c r="H104" s="2">
        <v>22868.724542700165</v>
      </c>
      <c r="I104" s="2">
        <v>32583.525602394468</v>
      </c>
      <c r="CL104" s="2">
        <v>74390.733735637725</v>
      </c>
      <c r="CM104" s="2">
        <v>129201.80314757265</v>
      </c>
      <c r="CN104" s="2">
        <v>84301.573416971834</v>
      </c>
      <c r="CO104" s="2">
        <v>7793.9299825165026</v>
      </c>
      <c r="CP104" s="2">
        <v>5799.0170262449119</v>
      </c>
      <c r="CQ104" s="2">
        <v>3989.54268</v>
      </c>
      <c r="CV104">
        <v>0</v>
      </c>
      <c r="CW104">
        <v>0</v>
      </c>
      <c r="CX104">
        <v>135290</v>
      </c>
      <c r="CY104">
        <v>0</v>
      </c>
      <c r="CZ104">
        <v>0</v>
      </c>
      <c r="DA104">
        <v>0</v>
      </c>
      <c r="DB104">
        <v>1631877.4579999999</v>
      </c>
      <c r="DC104">
        <v>0</v>
      </c>
      <c r="DD104">
        <v>42181.784000000007</v>
      </c>
      <c r="DE104" s="2">
        <f t="shared" si="47"/>
        <v>1809349.2419999999</v>
      </c>
      <c r="DH104" s="3">
        <v>340388.45999999996</v>
      </c>
      <c r="DI104" s="3">
        <v>25220</v>
      </c>
      <c r="DJ104" s="3">
        <v>135599</v>
      </c>
      <c r="DK104" s="3">
        <v>246903</v>
      </c>
      <c r="DL104" s="3">
        <v>2978822.6669999999</v>
      </c>
      <c r="DM104" s="3">
        <v>292951.5</v>
      </c>
      <c r="DN104" s="3">
        <f>6751133.765+DB133</f>
        <v>6824937.7649999997</v>
      </c>
      <c r="DO104" s="3">
        <v>984</v>
      </c>
      <c r="DP104" s="3">
        <f>217543.507+DD133</f>
        <v>221916.98700000002</v>
      </c>
      <c r="DQ104" s="3" t="s">
        <v>8</v>
      </c>
    </row>
    <row r="105" spans="6:121" x14ac:dyDescent="0.2">
      <c r="F105" s="2">
        <v>0</v>
      </c>
      <c r="G105" s="2">
        <v>0</v>
      </c>
      <c r="H105" s="2">
        <v>0</v>
      </c>
      <c r="I105" s="2">
        <v>0</v>
      </c>
      <c r="CL105" s="2">
        <v>37332.981311217198</v>
      </c>
      <c r="CM105" s="2">
        <v>60705.333275952056</v>
      </c>
      <c r="CN105" s="2">
        <v>32901.11559325931</v>
      </c>
      <c r="CO105" s="2">
        <v>4028.2136901755907</v>
      </c>
      <c r="CP105" s="2">
        <v>2577.8296146884704</v>
      </c>
      <c r="CQ105" s="2">
        <v>2157.0143200000002</v>
      </c>
      <c r="CV105">
        <v>0</v>
      </c>
      <c r="CW105">
        <v>0</v>
      </c>
      <c r="CX105">
        <v>138085</v>
      </c>
      <c r="CY105">
        <v>0</v>
      </c>
      <c r="CZ105">
        <v>0</v>
      </c>
      <c r="DA105">
        <v>0</v>
      </c>
      <c r="DB105">
        <v>1631877.4580000006</v>
      </c>
      <c r="DC105">
        <v>0</v>
      </c>
      <c r="DD105">
        <v>43097.766999999934</v>
      </c>
      <c r="DE105" s="2">
        <f t="shared" si="47"/>
        <v>1813060.2250000006</v>
      </c>
      <c r="DH105" s="3">
        <v>350693</v>
      </c>
      <c r="DI105" s="3">
        <v>25220</v>
      </c>
      <c r="DJ105" s="3">
        <v>139853</v>
      </c>
      <c r="DK105" s="3">
        <v>235302</v>
      </c>
      <c r="DL105" s="3">
        <v>2956714.1349999998</v>
      </c>
      <c r="DM105" s="3">
        <v>296316</v>
      </c>
      <c r="DN105" s="3">
        <f>6751133.765+DB134</f>
        <v>6824937.7649999997</v>
      </c>
      <c r="DO105" s="3">
        <v>908</v>
      </c>
      <c r="DP105" s="3">
        <f>225488.159+DD134</f>
        <v>229922.32900000003</v>
      </c>
      <c r="DQ105" s="3" t="s">
        <v>8</v>
      </c>
    </row>
    <row r="106" spans="6:121" x14ac:dyDescent="0.2">
      <c r="CL106" s="2">
        <v>44458.663230855578</v>
      </c>
      <c r="CM106" s="2">
        <v>53176.420534377547</v>
      </c>
      <c r="CN106" s="2">
        <v>14704.816862379468</v>
      </c>
      <c r="CO106" s="2">
        <v>4227.2986124624067</v>
      </c>
      <c r="CP106" s="2">
        <v>1623.9518886242297</v>
      </c>
      <c r="CQ106" s="2">
        <v>2572.2518999999998</v>
      </c>
      <c r="CV106">
        <v>0</v>
      </c>
      <c r="CW106">
        <v>0</v>
      </c>
      <c r="CX106">
        <v>148586</v>
      </c>
      <c r="CY106">
        <v>0</v>
      </c>
      <c r="CZ106">
        <v>0</v>
      </c>
      <c r="DA106">
        <v>0</v>
      </c>
      <c r="DB106">
        <v>1616225.8009999993</v>
      </c>
      <c r="DC106">
        <v>0</v>
      </c>
      <c r="DD106">
        <v>44457.457999999991</v>
      </c>
      <c r="DE106" s="2">
        <f t="shared" si="47"/>
        <v>1809269.2589999994</v>
      </c>
      <c r="DH106" s="3">
        <v>414148</v>
      </c>
      <c r="DI106" s="3">
        <v>25220</v>
      </c>
      <c r="DJ106" s="3">
        <v>152655</v>
      </c>
      <c r="DK106" s="3">
        <v>246124</v>
      </c>
      <c r="DL106" s="3">
        <v>2950471.9440000001</v>
      </c>
      <c r="DM106" s="3">
        <v>296316</v>
      </c>
      <c r="DN106" s="3">
        <f>6685876.82+DB135</f>
        <v>6758281.1529999999</v>
      </c>
      <c r="DO106" s="3">
        <v>954</v>
      </c>
      <c r="DP106" s="3">
        <f>240907.774+DD135</f>
        <v>246015.31400000001</v>
      </c>
      <c r="DQ106" s="3" t="s">
        <v>8</v>
      </c>
    </row>
    <row r="107" spans="6:121" x14ac:dyDescent="0.2">
      <c r="CL107" s="2">
        <v>44526.004222495023</v>
      </c>
      <c r="CM107" s="2">
        <v>54012.337931137205</v>
      </c>
      <c r="CN107" s="2">
        <v>19793.442099061875</v>
      </c>
      <c r="CO107" s="2">
        <v>4831.6730197155784</v>
      </c>
      <c r="CP107" s="2">
        <v>2709.9496194464332</v>
      </c>
      <c r="CQ107" s="2">
        <v>2587.1844000000001</v>
      </c>
      <c r="CV107">
        <v>0</v>
      </c>
      <c r="CW107">
        <v>0</v>
      </c>
      <c r="CX107">
        <v>178896</v>
      </c>
      <c r="CY107">
        <v>0</v>
      </c>
      <c r="CZ107">
        <v>0</v>
      </c>
      <c r="DA107">
        <v>0</v>
      </c>
      <c r="DB107">
        <v>1608591.1249999998</v>
      </c>
      <c r="DC107">
        <v>0</v>
      </c>
      <c r="DD107">
        <v>45621.428000000014</v>
      </c>
      <c r="DE107" s="2">
        <f t="shared" si="47"/>
        <v>1833108.5529999998</v>
      </c>
      <c r="DH107" s="3">
        <v>466446</v>
      </c>
      <c r="DI107" s="3">
        <v>25220</v>
      </c>
      <c r="DJ107" s="3">
        <v>183587</v>
      </c>
      <c r="DK107" s="3">
        <v>271471</v>
      </c>
      <c r="DL107" s="3">
        <v>2942057.017</v>
      </c>
      <c r="DM107" s="3">
        <v>296316</v>
      </c>
      <c r="DN107" s="3">
        <f>6659116.261+DB136</f>
        <v>6732422.2690000003</v>
      </c>
      <c r="DO107" s="3">
        <v>1350</v>
      </c>
      <c r="DP107" s="3">
        <f>250995.424+DD136</f>
        <v>256316.82399999999</v>
      </c>
      <c r="DQ107" s="3" t="s">
        <v>8</v>
      </c>
    </row>
    <row r="108" spans="6:121" x14ac:dyDescent="0.2">
      <c r="CL108" s="2">
        <v>58539.676442342825</v>
      </c>
      <c r="CM108" s="2">
        <v>88623.607577334449</v>
      </c>
      <c r="CN108" s="2">
        <v>67830.576059613159</v>
      </c>
      <c r="CO108" s="2">
        <v>7248.9149223743771</v>
      </c>
      <c r="CP108" s="2">
        <v>10732.229836807543</v>
      </c>
      <c r="CQ108" s="2">
        <v>3319.9306999999999</v>
      </c>
      <c r="CY108" t="s">
        <v>8</v>
      </c>
      <c r="DH108" s="3">
        <f t="shared" ref="DH108" si="48">+CV108+CV123+CV75</f>
        <v>0</v>
      </c>
    </row>
    <row r="109" spans="6:121" x14ac:dyDescent="0.2">
      <c r="CL109" s="2"/>
      <c r="CM109" s="2"/>
      <c r="CN109" s="2"/>
      <c r="CO109" s="2"/>
      <c r="CP109" s="2"/>
      <c r="CQ109" s="2"/>
      <c r="CV109" t="s">
        <v>65</v>
      </c>
      <c r="CW109" t="s">
        <v>73</v>
      </c>
      <c r="CX109" t="s">
        <v>67</v>
      </c>
      <c r="CY109" t="s">
        <v>69</v>
      </c>
      <c r="CZ109" t="s">
        <v>75</v>
      </c>
      <c r="DA109" t="s">
        <v>71</v>
      </c>
      <c r="DB109" t="s">
        <v>80</v>
      </c>
      <c r="DC109" t="s">
        <v>83</v>
      </c>
      <c r="DD109" t="s">
        <v>79</v>
      </c>
    </row>
    <row r="110" spans="6:121" x14ac:dyDescent="0.2">
      <c r="CL110" s="2" t="s">
        <v>190</v>
      </c>
      <c r="CM110" s="2"/>
      <c r="CN110" s="2"/>
      <c r="CO110" s="2" t="s">
        <v>28</v>
      </c>
      <c r="CP110" s="2"/>
      <c r="CQ110" s="2"/>
    </row>
    <row r="111" spans="6:121" x14ac:dyDescent="0.2">
      <c r="CL111" s="2" t="s">
        <v>223</v>
      </c>
      <c r="CM111" s="2" t="s">
        <v>224</v>
      </c>
      <c r="CN111" s="2" t="s">
        <v>229</v>
      </c>
      <c r="CO111" s="2" t="s">
        <v>223</v>
      </c>
      <c r="CP111" s="2" t="s">
        <v>224</v>
      </c>
      <c r="CQ111" s="2" t="s">
        <v>229</v>
      </c>
      <c r="CV111">
        <v>0</v>
      </c>
      <c r="CW111">
        <v>0</v>
      </c>
      <c r="CX111">
        <v>5489</v>
      </c>
      <c r="CY111">
        <v>0</v>
      </c>
      <c r="CZ111">
        <v>1638</v>
      </c>
      <c r="DA111">
        <v>0</v>
      </c>
      <c r="DB111">
        <v>3379502.1770000011</v>
      </c>
      <c r="DC111">
        <v>0</v>
      </c>
      <c r="DD111">
        <v>166480.12200000018</v>
      </c>
      <c r="DE111" s="2">
        <f>SUM(CV111:DD111)</f>
        <v>3553109.299000001</v>
      </c>
    </row>
    <row r="112" spans="6:121" x14ac:dyDescent="0.2"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V112">
        <v>0</v>
      </c>
      <c r="CW112">
        <v>0</v>
      </c>
      <c r="CX112">
        <v>4951</v>
      </c>
      <c r="CY112">
        <v>0</v>
      </c>
      <c r="CZ112">
        <v>1638</v>
      </c>
      <c r="DA112">
        <v>0</v>
      </c>
      <c r="DB112">
        <v>3361605.9779999983</v>
      </c>
      <c r="DC112">
        <v>0</v>
      </c>
      <c r="DD112">
        <v>177618.69700000022</v>
      </c>
      <c r="DE112" s="2">
        <f t="shared" ref="DE112:DE122" si="49">SUM(CV112:DD112)</f>
        <v>3545813.6749999984</v>
      </c>
    </row>
    <row r="113" spans="90:109" x14ac:dyDescent="0.2"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V113">
        <v>0</v>
      </c>
      <c r="CW113">
        <v>0</v>
      </c>
      <c r="CX113">
        <v>8109</v>
      </c>
      <c r="CY113">
        <v>0</v>
      </c>
      <c r="CZ113">
        <v>1638</v>
      </c>
      <c r="DA113">
        <v>0</v>
      </c>
      <c r="DB113">
        <v>3314745.5460000001</v>
      </c>
      <c r="DC113">
        <v>0</v>
      </c>
      <c r="DD113">
        <v>187313.91900000014</v>
      </c>
      <c r="DE113" s="2">
        <f t="shared" si="49"/>
        <v>3511806.4650000003</v>
      </c>
    </row>
    <row r="114" spans="90:109" x14ac:dyDescent="0.2"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V114">
        <v>0</v>
      </c>
      <c r="CW114">
        <v>0</v>
      </c>
      <c r="CX114">
        <v>9907</v>
      </c>
      <c r="CY114">
        <v>0</v>
      </c>
      <c r="CZ114">
        <v>1638</v>
      </c>
      <c r="DA114">
        <v>0</v>
      </c>
      <c r="DB114">
        <v>3297052.3630000008</v>
      </c>
      <c r="DC114">
        <v>0</v>
      </c>
      <c r="DD114">
        <v>196340.61800000016</v>
      </c>
      <c r="DE114" s="2">
        <f t="shared" si="49"/>
        <v>3504937.9810000011</v>
      </c>
    </row>
    <row r="115" spans="90:109" x14ac:dyDescent="0.2"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V115">
        <v>22</v>
      </c>
      <c r="CW115">
        <v>0</v>
      </c>
      <c r="CX115">
        <v>9203</v>
      </c>
      <c r="CY115">
        <v>0</v>
      </c>
      <c r="CZ115">
        <v>1638</v>
      </c>
      <c r="DA115">
        <v>0</v>
      </c>
      <c r="DB115">
        <v>3275313.3309999998</v>
      </c>
      <c r="DC115">
        <v>0</v>
      </c>
      <c r="DD115">
        <v>206307.95999999868</v>
      </c>
      <c r="DE115" s="2">
        <f t="shared" si="49"/>
        <v>3492484.2909999983</v>
      </c>
    </row>
    <row r="116" spans="90:109" x14ac:dyDescent="0.2"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V116">
        <v>15</v>
      </c>
      <c r="CW116">
        <v>0</v>
      </c>
      <c r="CX116">
        <v>8519</v>
      </c>
      <c r="CY116">
        <v>0</v>
      </c>
      <c r="CZ116">
        <v>1638</v>
      </c>
      <c r="DA116">
        <v>0</v>
      </c>
      <c r="DB116">
        <v>3268133.8180000004</v>
      </c>
      <c r="DC116">
        <v>0</v>
      </c>
      <c r="DD116">
        <v>216462.51499999897</v>
      </c>
      <c r="DE116" s="2">
        <f t="shared" si="49"/>
        <v>3494768.3329999996</v>
      </c>
    </row>
    <row r="117" spans="90:109" x14ac:dyDescent="0.2">
      <c r="CL117" s="2">
        <v>144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V117">
        <v>13</v>
      </c>
      <c r="CW117">
        <v>0</v>
      </c>
      <c r="CX117">
        <v>7925</v>
      </c>
      <c r="CY117">
        <v>0</v>
      </c>
      <c r="CZ117">
        <v>1638</v>
      </c>
      <c r="DA117">
        <v>0</v>
      </c>
      <c r="DB117">
        <v>3253433.6740000001</v>
      </c>
      <c r="DC117">
        <v>0</v>
      </c>
      <c r="DD117">
        <v>236685.89400000026</v>
      </c>
      <c r="DE117" s="2">
        <f t="shared" si="49"/>
        <v>3499695.5680000004</v>
      </c>
    </row>
    <row r="118" spans="90:109" x14ac:dyDescent="0.2">
      <c r="CL118" s="2">
        <v>581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V118">
        <v>15</v>
      </c>
      <c r="CW118">
        <v>0</v>
      </c>
      <c r="CX118">
        <v>8861</v>
      </c>
      <c r="CY118">
        <v>0</v>
      </c>
      <c r="CZ118">
        <v>1638</v>
      </c>
      <c r="DA118">
        <v>0</v>
      </c>
      <c r="DB118">
        <v>3260419.138999999</v>
      </c>
      <c r="DC118">
        <v>0</v>
      </c>
      <c r="DD118">
        <v>247835.37799999979</v>
      </c>
      <c r="DE118" s="2">
        <f t="shared" si="49"/>
        <v>3518768.5169999991</v>
      </c>
    </row>
    <row r="119" spans="90:109" x14ac:dyDescent="0.2">
      <c r="CL119" s="2">
        <v>873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V119">
        <v>0</v>
      </c>
      <c r="CW119">
        <v>0</v>
      </c>
      <c r="CX119">
        <v>309</v>
      </c>
      <c r="CY119">
        <v>0</v>
      </c>
      <c r="CZ119">
        <v>1638</v>
      </c>
      <c r="DA119">
        <v>0</v>
      </c>
      <c r="DB119">
        <v>3473023.9720000001</v>
      </c>
      <c r="DC119">
        <v>0</v>
      </c>
      <c r="DD119">
        <v>144727.89100000006</v>
      </c>
      <c r="DE119" s="2">
        <f t="shared" si="49"/>
        <v>3619698.8629999999</v>
      </c>
    </row>
    <row r="120" spans="90:109" x14ac:dyDescent="0.2"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V120">
        <v>0</v>
      </c>
      <c r="CW120">
        <v>0</v>
      </c>
      <c r="CX120">
        <v>1768</v>
      </c>
      <c r="CY120">
        <v>0</v>
      </c>
      <c r="CZ120">
        <v>1638</v>
      </c>
      <c r="DA120">
        <v>0</v>
      </c>
      <c r="DB120">
        <v>3473023.9719999987</v>
      </c>
      <c r="DC120">
        <v>0</v>
      </c>
      <c r="DD120">
        <v>149957.54500000007</v>
      </c>
      <c r="DE120" s="2">
        <f t="shared" si="49"/>
        <v>3626387.5169999986</v>
      </c>
    </row>
    <row r="121" spans="90:109" x14ac:dyDescent="0.2"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V121">
        <v>0</v>
      </c>
      <c r="CW121">
        <v>0</v>
      </c>
      <c r="CX121">
        <v>4069</v>
      </c>
      <c r="CY121">
        <v>0</v>
      </c>
      <c r="CZ121">
        <v>1638</v>
      </c>
      <c r="DA121">
        <v>0</v>
      </c>
      <c r="DB121">
        <v>3437946.3950000005</v>
      </c>
      <c r="DC121">
        <v>0</v>
      </c>
      <c r="DD121">
        <v>155685.56200000015</v>
      </c>
      <c r="DE121" s="2">
        <f t="shared" si="49"/>
        <v>3599338.9570000004</v>
      </c>
    </row>
    <row r="122" spans="90:109" x14ac:dyDescent="0.2">
      <c r="CL122" s="2">
        <v>587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V122">
        <v>0</v>
      </c>
      <c r="CW122">
        <v>0</v>
      </c>
      <c r="CX122">
        <v>4634</v>
      </c>
      <c r="CY122">
        <v>0</v>
      </c>
      <c r="CZ122">
        <v>1638</v>
      </c>
      <c r="DA122">
        <v>0</v>
      </c>
      <c r="DB122">
        <v>3421708.5229999996</v>
      </c>
      <c r="DC122">
        <v>0</v>
      </c>
      <c r="DD122">
        <v>161440.73200000008</v>
      </c>
      <c r="DE122" s="2">
        <f t="shared" si="49"/>
        <v>3589421.2549999999</v>
      </c>
    </row>
    <row r="123" spans="90:109" x14ac:dyDescent="0.2"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</row>
    <row r="124" spans="90:109" x14ac:dyDescent="0.2">
      <c r="CL124" s="2"/>
      <c r="CM124" s="2"/>
      <c r="CN124" s="2"/>
      <c r="CO124" s="2"/>
      <c r="CP124" s="2"/>
      <c r="CQ124" s="2"/>
    </row>
    <row r="125" spans="90:109" x14ac:dyDescent="0.2">
      <c r="CL125" s="2" t="s">
        <v>190</v>
      </c>
      <c r="CM125" s="2"/>
      <c r="CN125" s="2"/>
      <c r="CO125" s="2" t="s">
        <v>28</v>
      </c>
      <c r="CP125" s="2"/>
      <c r="CQ125" s="2"/>
      <c r="CV125" s="4">
        <v>0</v>
      </c>
      <c r="CW125" s="4">
        <v>0</v>
      </c>
      <c r="CX125" s="4">
        <v>0</v>
      </c>
      <c r="CY125" s="4">
        <v>0</v>
      </c>
      <c r="CZ125" s="75">
        <v>0</v>
      </c>
      <c r="DA125" s="4">
        <v>0</v>
      </c>
      <c r="DB125" s="2">
        <v>69440.266999999993</v>
      </c>
      <c r="DC125" s="4">
        <v>0</v>
      </c>
      <c r="DD125" s="2">
        <v>5541.6379999999999</v>
      </c>
      <c r="DE125" s="2">
        <f>SUM(CV125:DD125)</f>
        <v>74981.904999999999</v>
      </c>
    </row>
    <row r="126" spans="90:109" x14ac:dyDescent="0.2">
      <c r="CL126" s="2" t="s">
        <v>223</v>
      </c>
      <c r="CM126" s="2" t="s">
        <v>224</v>
      </c>
      <c r="CN126" s="2" t="s">
        <v>229</v>
      </c>
      <c r="CO126" s="2" t="s">
        <v>223</v>
      </c>
      <c r="CP126" s="2" t="s">
        <v>224</v>
      </c>
      <c r="CQ126" s="2" t="s">
        <v>229</v>
      </c>
      <c r="CV126" s="4">
        <v>0</v>
      </c>
      <c r="CW126" s="4">
        <v>0</v>
      </c>
      <c r="CX126" s="4">
        <v>0</v>
      </c>
      <c r="CY126" s="4">
        <v>0</v>
      </c>
      <c r="CZ126" s="75">
        <v>0</v>
      </c>
      <c r="DA126" s="4">
        <v>0</v>
      </c>
      <c r="DB126" s="2">
        <v>71511</v>
      </c>
      <c r="DC126" s="4">
        <v>0</v>
      </c>
      <c r="DD126" s="2">
        <v>5835.6869999999999</v>
      </c>
      <c r="DE126" s="2">
        <f t="shared" ref="DE126:DE136" si="50">SUM(CV126:DD126)</f>
        <v>77346.687000000005</v>
      </c>
    </row>
    <row r="127" spans="90:109" x14ac:dyDescent="0.2"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V127" s="4">
        <v>0</v>
      </c>
      <c r="CW127" s="4">
        <v>0</v>
      </c>
      <c r="CX127" s="4">
        <v>0</v>
      </c>
      <c r="CY127" s="4">
        <v>0</v>
      </c>
      <c r="CZ127" s="75">
        <v>0</v>
      </c>
      <c r="DA127" s="4">
        <v>0</v>
      </c>
      <c r="DB127" s="2">
        <v>71165.633000000002</v>
      </c>
      <c r="DC127" s="4">
        <v>0</v>
      </c>
      <c r="DD127" s="97">
        <v>6158.32</v>
      </c>
      <c r="DE127" s="2">
        <f t="shared" si="50"/>
        <v>77323.953000000009</v>
      </c>
    </row>
    <row r="128" spans="90:109" x14ac:dyDescent="0.2"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V128" s="4">
        <v>0</v>
      </c>
      <c r="CW128" s="4">
        <v>0</v>
      </c>
      <c r="CX128" s="4">
        <v>0</v>
      </c>
      <c r="CY128" s="4">
        <v>0</v>
      </c>
      <c r="CZ128" s="75">
        <v>0</v>
      </c>
      <c r="DA128" s="4">
        <v>0</v>
      </c>
      <c r="DB128" s="2">
        <v>71343.278999999995</v>
      </c>
      <c r="DC128" s="4">
        <v>0</v>
      </c>
      <c r="DD128" s="2">
        <v>6123.4409999999998</v>
      </c>
      <c r="DE128" s="2">
        <f t="shared" si="50"/>
        <v>77466.720000000001</v>
      </c>
    </row>
    <row r="129" spans="90:109" x14ac:dyDescent="0.2"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V129" s="4">
        <v>0</v>
      </c>
      <c r="CW129" s="4">
        <v>0</v>
      </c>
      <c r="CX129" s="4">
        <v>0</v>
      </c>
      <c r="CY129" s="4">
        <v>0</v>
      </c>
      <c r="CZ129" s="75">
        <v>0</v>
      </c>
      <c r="DA129" s="4">
        <v>0</v>
      </c>
      <c r="DB129" s="2">
        <v>70388</v>
      </c>
      <c r="DC129" s="4">
        <v>0</v>
      </c>
      <c r="DD129" s="2">
        <v>6303.4999999999991</v>
      </c>
      <c r="DE129" s="2">
        <f t="shared" si="50"/>
        <v>76691.5</v>
      </c>
    </row>
    <row r="130" spans="90:109" x14ac:dyDescent="0.2"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V130" s="4">
        <v>0</v>
      </c>
      <c r="CW130" s="4">
        <v>0</v>
      </c>
      <c r="CX130" s="4">
        <v>0</v>
      </c>
      <c r="CY130" s="4">
        <v>0</v>
      </c>
      <c r="CZ130" s="75">
        <v>0</v>
      </c>
      <c r="DA130" s="4">
        <v>0</v>
      </c>
      <c r="DB130" s="2">
        <v>67169.767000000007</v>
      </c>
      <c r="DC130" s="4">
        <v>0</v>
      </c>
      <c r="DD130" s="2">
        <v>6303.4999999999991</v>
      </c>
      <c r="DE130" s="2">
        <f t="shared" si="50"/>
        <v>73473.267000000007</v>
      </c>
    </row>
    <row r="131" spans="90:109" x14ac:dyDescent="0.2"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V131" s="4">
        <v>0</v>
      </c>
      <c r="CW131" s="4">
        <v>0</v>
      </c>
      <c r="CX131" s="4">
        <v>0</v>
      </c>
      <c r="CY131" s="4">
        <v>0</v>
      </c>
      <c r="CZ131" s="75">
        <v>0</v>
      </c>
      <c r="DA131" s="4">
        <v>0</v>
      </c>
      <c r="DB131" s="2">
        <v>62997.832999999999</v>
      </c>
      <c r="DC131" s="4">
        <v>0</v>
      </c>
      <c r="DD131" s="2">
        <v>6160.2999999999993</v>
      </c>
      <c r="DE131" s="2">
        <f t="shared" si="50"/>
        <v>69158.133000000002</v>
      </c>
    </row>
    <row r="132" spans="90:109" x14ac:dyDescent="0.2"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V132" s="4">
        <v>0</v>
      </c>
      <c r="CW132" s="4">
        <v>0</v>
      </c>
      <c r="CX132" s="4">
        <v>0</v>
      </c>
      <c r="CY132" s="4">
        <v>0</v>
      </c>
      <c r="CZ132" s="75">
        <v>0</v>
      </c>
      <c r="DA132" s="4">
        <v>0</v>
      </c>
      <c r="DB132" s="2">
        <v>66918.100000000006</v>
      </c>
      <c r="DC132" s="4">
        <v>0</v>
      </c>
      <c r="DD132" s="2">
        <v>6984.0999999999985</v>
      </c>
      <c r="DE132" s="2">
        <f t="shared" si="50"/>
        <v>73902.200000000012</v>
      </c>
    </row>
    <row r="133" spans="90:109" x14ac:dyDescent="0.2"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V133" s="4">
        <v>0</v>
      </c>
      <c r="CW133" s="4">
        <v>0</v>
      </c>
      <c r="CX133" s="4">
        <v>0</v>
      </c>
      <c r="CY133" s="4">
        <v>0</v>
      </c>
      <c r="CZ133" s="75">
        <v>0</v>
      </c>
      <c r="DA133" s="4">
        <v>0</v>
      </c>
      <c r="DB133" s="2">
        <v>73804</v>
      </c>
      <c r="DC133" s="4">
        <v>0</v>
      </c>
      <c r="DD133" s="2">
        <v>4373.4799999999996</v>
      </c>
      <c r="DE133" s="2">
        <f t="shared" si="50"/>
        <v>78177.48</v>
      </c>
    </row>
    <row r="134" spans="90:109" x14ac:dyDescent="0.2"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V134" s="4">
        <v>0</v>
      </c>
      <c r="CW134" s="4">
        <v>0</v>
      </c>
      <c r="CX134" s="4">
        <v>0</v>
      </c>
      <c r="CY134" s="4">
        <v>0</v>
      </c>
      <c r="CZ134" s="75">
        <v>0</v>
      </c>
      <c r="DA134" s="4">
        <v>0</v>
      </c>
      <c r="DB134" s="2">
        <v>73804</v>
      </c>
      <c r="DC134" s="4">
        <v>0</v>
      </c>
      <c r="DD134" s="2">
        <v>4434.17</v>
      </c>
      <c r="DE134" s="2">
        <f t="shared" si="50"/>
        <v>78238.17</v>
      </c>
    </row>
    <row r="135" spans="90:109" x14ac:dyDescent="0.2">
      <c r="CL135" s="2">
        <v>53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V135" s="4">
        <v>0</v>
      </c>
      <c r="CW135" s="4">
        <v>0</v>
      </c>
      <c r="CX135" s="4">
        <v>0</v>
      </c>
      <c r="CY135" s="4">
        <v>0</v>
      </c>
      <c r="CZ135" s="75">
        <v>0</v>
      </c>
      <c r="DA135" s="4">
        <v>0</v>
      </c>
      <c r="DB135" s="2">
        <v>72404.332999999999</v>
      </c>
      <c r="DC135" s="4">
        <v>0</v>
      </c>
      <c r="DD135" s="2">
        <v>5107.54</v>
      </c>
      <c r="DE135" s="2">
        <f t="shared" si="50"/>
        <v>77511.872999999992</v>
      </c>
    </row>
    <row r="136" spans="90:109" x14ac:dyDescent="0.2"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V136" s="4">
        <v>0</v>
      </c>
      <c r="CW136" s="4">
        <v>0</v>
      </c>
      <c r="CX136" s="4">
        <v>0</v>
      </c>
      <c r="CY136" s="4">
        <v>0</v>
      </c>
      <c r="CZ136" s="75">
        <v>0</v>
      </c>
      <c r="DA136" s="4">
        <v>0</v>
      </c>
      <c r="DB136" s="2">
        <v>73306.008000000002</v>
      </c>
      <c r="DC136" s="4">
        <v>0</v>
      </c>
      <c r="DD136" s="2">
        <v>5321.4000000000005</v>
      </c>
      <c r="DE136" s="2">
        <f t="shared" si="50"/>
        <v>78627.407999999996</v>
      </c>
    </row>
    <row r="137" spans="90:109" x14ac:dyDescent="0.2"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</row>
    <row r="138" spans="90:109" x14ac:dyDescent="0.2"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</row>
    <row r="139" spans="90:109" x14ac:dyDescent="0.2">
      <c r="CL139" s="2"/>
      <c r="CM139" s="2"/>
      <c r="CN139" s="2"/>
      <c r="CO139" s="2"/>
      <c r="CP139" s="2"/>
      <c r="CQ139" s="2"/>
    </row>
    <row r="140" spans="90:109" x14ac:dyDescent="0.2">
      <c r="CL140" s="2" t="s">
        <v>190</v>
      </c>
      <c r="CM140" s="2"/>
      <c r="CN140" s="2"/>
      <c r="CO140" s="2" t="s">
        <v>28</v>
      </c>
      <c r="CP140" s="2"/>
      <c r="CQ140" s="2"/>
    </row>
    <row r="141" spans="90:109" x14ac:dyDescent="0.2">
      <c r="CL141" s="2" t="s">
        <v>223</v>
      </c>
      <c r="CM141" s="2" t="s">
        <v>224</v>
      </c>
      <c r="CN141" s="2" t="s">
        <v>229</v>
      </c>
      <c r="CO141" s="2" t="s">
        <v>223</v>
      </c>
      <c r="CP141" s="2" t="s">
        <v>224</v>
      </c>
      <c r="CQ141" s="2" t="s">
        <v>229</v>
      </c>
    </row>
    <row r="142" spans="90:109" x14ac:dyDescent="0.2"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</row>
    <row r="143" spans="90:109" x14ac:dyDescent="0.2"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</row>
    <row r="144" spans="90:109" x14ac:dyDescent="0.2"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</row>
    <row r="145" spans="90:95" x14ac:dyDescent="0.2"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</row>
    <row r="146" spans="90:95" x14ac:dyDescent="0.2"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</row>
    <row r="147" spans="90:95" x14ac:dyDescent="0.2"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</row>
    <row r="148" spans="90:95" x14ac:dyDescent="0.2"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</row>
    <row r="149" spans="90:95" x14ac:dyDescent="0.2"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</row>
    <row r="150" spans="90:95" x14ac:dyDescent="0.2"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</row>
    <row r="151" spans="90:95" x14ac:dyDescent="0.2"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</row>
    <row r="152" spans="90:95" x14ac:dyDescent="0.2"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</row>
    <row r="153" spans="90:95" x14ac:dyDescent="0.2"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</row>
  </sheetData>
  <mergeCells count="72">
    <mergeCell ref="BT1:BY1"/>
    <mergeCell ref="BT16:BY16"/>
    <mergeCell ref="BT31:BY31"/>
    <mergeCell ref="BT46:BY46"/>
    <mergeCell ref="BT61:BY61"/>
    <mergeCell ref="DJ1:DL1"/>
    <mergeCell ref="CL61:CN61"/>
    <mergeCell ref="CO61:CQ61"/>
    <mergeCell ref="AP61:AU61"/>
    <mergeCell ref="AV61:BA61"/>
    <mergeCell ref="BB61:BG61"/>
    <mergeCell ref="BN1:BS1"/>
    <mergeCell ref="BH1:BM1"/>
    <mergeCell ref="BB1:BG1"/>
    <mergeCell ref="AV1:BA1"/>
    <mergeCell ref="AP1:AU1"/>
    <mergeCell ref="CL1:CN1"/>
    <mergeCell ref="CO1:CQ1"/>
    <mergeCell ref="CL16:CN16"/>
    <mergeCell ref="CO16:CQ16"/>
    <mergeCell ref="CS1:CT1"/>
    <mergeCell ref="AJ61:AO61"/>
    <mergeCell ref="BH61:BM61"/>
    <mergeCell ref="BN61:BS61"/>
    <mergeCell ref="CL31:CN31"/>
    <mergeCell ref="CO31:CQ31"/>
    <mergeCell ref="CL46:CN46"/>
    <mergeCell ref="CO46:CQ46"/>
    <mergeCell ref="AJ31:AO31"/>
    <mergeCell ref="AP31:AU31"/>
    <mergeCell ref="AV31:BA31"/>
    <mergeCell ref="BB31:BG31"/>
    <mergeCell ref="BH31:BM31"/>
    <mergeCell ref="BN31:BS31"/>
    <mergeCell ref="AJ46:AO46"/>
    <mergeCell ref="BH46:BM46"/>
    <mergeCell ref="BN46:BS46"/>
    <mergeCell ref="F31:I31"/>
    <mergeCell ref="K31:N31"/>
    <mergeCell ref="O31:R31"/>
    <mergeCell ref="S31:V31"/>
    <mergeCell ref="W31:Z31"/>
    <mergeCell ref="F61:I61"/>
    <mergeCell ref="K61:N61"/>
    <mergeCell ref="O61:R61"/>
    <mergeCell ref="S61:V61"/>
    <mergeCell ref="W61:Z61"/>
    <mergeCell ref="AJ1:AO1"/>
    <mergeCell ref="F16:I16"/>
    <mergeCell ref="K16:N16"/>
    <mergeCell ref="O16:R16"/>
    <mergeCell ref="S16:V16"/>
    <mergeCell ref="W16:Z16"/>
    <mergeCell ref="AJ16:AO16"/>
    <mergeCell ref="F1:I1"/>
    <mergeCell ref="W1:Z1"/>
    <mergeCell ref="S1:V1"/>
    <mergeCell ref="O1:R1"/>
    <mergeCell ref="K1:N1"/>
    <mergeCell ref="AP16:AU16"/>
    <mergeCell ref="AV16:BA16"/>
    <mergeCell ref="BB16:BG16"/>
    <mergeCell ref="BH16:BM16"/>
    <mergeCell ref="BN16:BS16"/>
    <mergeCell ref="AP46:AU46"/>
    <mergeCell ref="AV46:BA46"/>
    <mergeCell ref="BB46:BG46"/>
    <mergeCell ref="F46:I46"/>
    <mergeCell ref="K46:N46"/>
    <mergeCell ref="O46:R46"/>
    <mergeCell ref="S46:V46"/>
    <mergeCell ref="W46:Z46"/>
  </mergeCells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81"/>
  <sheetViews>
    <sheetView topLeftCell="BY1" zoomScaleNormal="100" workbookViewId="0">
      <selection activeCell="CI3" sqref="CI3"/>
    </sheetView>
  </sheetViews>
  <sheetFormatPr defaultColWidth="9.140625" defaultRowHeight="12.75" x14ac:dyDescent="0.2"/>
  <cols>
    <col min="1" max="1" width="9.42578125" bestFit="1" customWidth="1"/>
    <col min="2" max="2" width="14.42578125" bestFit="1" customWidth="1"/>
    <col min="3" max="23" width="15" customWidth="1"/>
    <col min="24" max="24" width="4.85546875" customWidth="1"/>
    <col min="25" max="31" width="15" customWidth="1"/>
    <col min="32" max="32" width="4.85546875" customWidth="1"/>
    <col min="33" max="74" width="15" customWidth="1"/>
    <col min="75" max="75" width="4.85546875" customWidth="1"/>
    <col min="76" max="85" width="15" customWidth="1"/>
    <col min="86" max="86" width="4.85546875" customWidth="1"/>
    <col min="87" max="92" width="15" customWidth="1"/>
    <col min="93" max="93" width="4.85546875" customWidth="1"/>
    <col min="94" max="95" width="15" customWidth="1"/>
    <col min="96" max="96" width="4.85546875" customWidth="1"/>
    <col min="97" max="105" width="14.85546875" customWidth="1"/>
    <col min="106" max="106" width="4.85546875" customWidth="1"/>
    <col min="107" max="107" width="15" customWidth="1"/>
  </cols>
  <sheetData>
    <row r="1" spans="1:107" x14ac:dyDescent="0.2">
      <c r="B1" t="s">
        <v>25</v>
      </c>
      <c r="C1" s="344" t="s">
        <v>169</v>
      </c>
      <c r="D1" s="344"/>
      <c r="E1" s="344"/>
      <c r="F1" s="345"/>
      <c r="G1" s="15" t="s">
        <v>34</v>
      </c>
      <c r="H1" s="344" t="s">
        <v>36</v>
      </c>
      <c r="I1" s="344"/>
      <c r="J1" s="344"/>
      <c r="K1" s="344"/>
      <c r="L1" s="343" t="s">
        <v>39</v>
      </c>
      <c r="M1" s="344"/>
      <c r="N1" s="344"/>
      <c r="O1" s="344"/>
      <c r="P1" s="343" t="s">
        <v>41</v>
      </c>
      <c r="Q1" s="344"/>
      <c r="R1" s="344"/>
      <c r="S1" s="344"/>
      <c r="T1" s="343" t="s">
        <v>170</v>
      </c>
      <c r="U1" s="344"/>
      <c r="V1" s="344"/>
      <c r="W1" s="344"/>
      <c r="X1" s="11"/>
      <c r="Y1" t="s">
        <v>171</v>
      </c>
      <c r="Z1" t="s">
        <v>172</v>
      </c>
      <c r="AA1" t="s">
        <v>59</v>
      </c>
      <c r="AB1" t="s">
        <v>60</v>
      </c>
      <c r="AC1" t="s">
        <v>173</v>
      </c>
      <c r="AD1" t="s">
        <v>54</v>
      </c>
      <c r="AE1" t="s">
        <v>174</v>
      </c>
      <c r="AF1" s="11"/>
      <c r="AG1" s="343" t="s">
        <v>175</v>
      </c>
      <c r="AH1" s="344"/>
      <c r="AI1" s="344"/>
      <c r="AJ1" s="344"/>
      <c r="AK1" s="344"/>
      <c r="AL1" s="345"/>
      <c r="AM1" s="343" t="s">
        <v>35</v>
      </c>
      <c r="AN1" s="344"/>
      <c r="AO1" s="344"/>
      <c r="AP1" s="344"/>
      <c r="AQ1" s="344"/>
      <c r="AR1" s="344"/>
      <c r="AS1" s="343" t="s">
        <v>176</v>
      </c>
      <c r="AT1" s="344"/>
      <c r="AU1" s="344"/>
      <c r="AV1" s="344"/>
      <c r="AW1" s="344"/>
      <c r="AX1" s="345"/>
      <c r="AY1" s="343" t="s">
        <v>177</v>
      </c>
      <c r="AZ1" s="344"/>
      <c r="BA1" s="344"/>
      <c r="BB1" s="344"/>
      <c r="BC1" s="344"/>
      <c r="BD1" s="345"/>
      <c r="BE1" s="344" t="s">
        <v>42</v>
      </c>
      <c r="BF1" s="344"/>
      <c r="BG1" s="344"/>
      <c r="BH1" s="344"/>
      <c r="BI1" s="344"/>
      <c r="BJ1" s="344"/>
      <c r="BK1" s="349" t="s">
        <v>253</v>
      </c>
      <c r="BL1" s="344"/>
      <c r="BM1" s="344"/>
      <c r="BN1" s="344"/>
      <c r="BO1" s="344"/>
      <c r="BP1" s="344"/>
      <c r="BQ1" s="349" t="s">
        <v>254</v>
      </c>
      <c r="BR1" s="344"/>
      <c r="BS1" s="344"/>
      <c r="BT1" s="344"/>
      <c r="BU1" s="344"/>
      <c r="BV1" s="344"/>
      <c r="BW1" s="11"/>
      <c r="BX1" s="9" t="s">
        <v>182</v>
      </c>
      <c r="BY1" s="9" t="s">
        <v>183</v>
      </c>
      <c r="BZ1" s="9" t="s">
        <v>184</v>
      </c>
      <c r="CA1" s="9" t="s">
        <v>185</v>
      </c>
      <c r="CB1" t="s">
        <v>180</v>
      </c>
      <c r="CC1" t="s">
        <v>181</v>
      </c>
      <c r="CD1" t="s">
        <v>186</v>
      </c>
      <c r="CE1" t="s">
        <v>187</v>
      </c>
      <c r="CF1" s="9" t="s">
        <v>188</v>
      </c>
      <c r="CG1" s="9" t="s">
        <v>189</v>
      </c>
      <c r="CH1" s="11"/>
      <c r="CI1" s="344" t="s">
        <v>190</v>
      </c>
      <c r="CJ1" s="344"/>
      <c r="CK1" s="344"/>
      <c r="CL1" s="343" t="s">
        <v>28</v>
      </c>
      <c r="CM1" s="344"/>
      <c r="CN1" s="345"/>
      <c r="CO1" s="11"/>
      <c r="CP1" s="344" t="s">
        <v>191</v>
      </c>
      <c r="CQ1" s="344"/>
      <c r="CR1" s="11"/>
      <c r="CS1" s="96" t="s">
        <v>65</v>
      </c>
      <c r="CT1" s="52" t="s">
        <v>73</v>
      </c>
      <c r="CU1" s="96" t="s">
        <v>67</v>
      </c>
      <c r="CV1" s="96" t="s">
        <v>69</v>
      </c>
      <c r="CW1" s="96" t="s">
        <v>75</v>
      </c>
      <c r="CX1" s="96" t="s">
        <v>71</v>
      </c>
      <c r="CY1" s="96" t="s">
        <v>80</v>
      </c>
      <c r="CZ1" s="96" t="s">
        <v>83</v>
      </c>
      <c r="DA1" s="96" t="s">
        <v>79</v>
      </c>
      <c r="DB1" s="11"/>
    </row>
    <row r="2" spans="1:107" x14ac:dyDescent="0.2">
      <c r="C2" t="s">
        <v>217</v>
      </c>
      <c r="D2" t="s">
        <v>218</v>
      </c>
      <c r="E2" t="s">
        <v>219</v>
      </c>
      <c r="F2" s="13" t="s">
        <v>220</v>
      </c>
      <c r="G2" s="15"/>
      <c r="H2" t="s">
        <v>217</v>
      </c>
      <c r="I2" t="s">
        <v>218</v>
      </c>
      <c r="J2" t="s">
        <v>219</v>
      </c>
      <c r="K2" s="13" t="s">
        <v>220</v>
      </c>
      <c r="L2" t="s">
        <v>217</v>
      </c>
      <c r="M2" t="s">
        <v>218</v>
      </c>
      <c r="N2" t="s">
        <v>219</v>
      </c>
      <c r="O2" s="13" t="s">
        <v>220</v>
      </c>
      <c r="P2" t="s">
        <v>217</v>
      </c>
      <c r="Q2" t="s">
        <v>218</v>
      </c>
      <c r="R2" t="s">
        <v>219</v>
      </c>
      <c r="S2" s="13" t="s">
        <v>220</v>
      </c>
      <c r="T2" t="s">
        <v>217</v>
      </c>
      <c r="U2" t="s">
        <v>218</v>
      </c>
      <c r="V2" t="s">
        <v>219</v>
      </c>
      <c r="W2" t="s">
        <v>220</v>
      </c>
      <c r="X2" s="11"/>
      <c r="AA2" s="9" t="s">
        <v>8</v>
      </c>
      <c r="AB2" s="9" t="s">
        <v>8</v>
      </c>
      <c r="AF2" s="11"/>
      <c r="AG2" t="s">
        <v>223</v>
      </c>
      <c r="AH2" t="s">
        <v>224</v>
      </c>
      <c r="AI2" t="s">
        <v>225</v>
      </c>
      <c r="AJ2" t="s">
        <v>226</v>
      </c>
      <c r="AK2" t="s">
        <v>227</v>
      </c>
      <c r="AL2" s="13" t="s">
        <v>228</v>
      </c>
      <c r="AM2" t="s">
        <v>223</v>
      </c>
      <c r="AN2" t="s">
        <v>224</v>
      </c>
      <c r="AO2" t="s">
        <v>225</v>
      </c>
      <c r="AP2" t="s">
        <v>226</v>
      </c>
      <c r="AQ2" t="s">
        <v>227</v>
      </c>
      <c r="AR2" s="13" t="s">
        <v>228</v>
      </c>
      <c r="AS2" t="s">
        <v>223</v>
      </c>
      <c r="AT2" t="s">
        <v>224</v>
      </c>
      <c r="AU2" t="s">
        <v>225</v>
      </c>
      <c r="AV2" t="s">
        <v>226</v>
      </c>
      <c r="AW2" t="s">
        <v>227</v>
      </c>
      <c r="AX2" s="13" t="s">
        <v>228</v>
      </c>
      <c r="AY2" t="s">
        <v>223</v>
      </c>
      <c r="AZ2" t="s">
        <v>224</v>
      </c>
      <c r="BA2" t="s">
        <v>225</v>
      </c>
      <c r="BB2" t="s">
        <v>226</v>
      </c>
      <c r="BC2" t="s">
        <v>227</v>
      </c>
      <c r="BD2" s="13" t="s">
        <v>228</v>
      </c>
      <c r="BE2" t="s">
        <v>223</v>
      </c>
      <c r="BF2" t="s">
        <v>224</v>
      </c>
      <c r="BG2" t="s">
        <v>225</v>
      </c>
      <c r="BH2" t="s">
        <v>226</v>
      </c>
      <c r="BI2" t="s">
        <v>227</v>
      </c>
      <c r="BJ2" s="13" t="s">
        <v>228</v>
      </c>
      <c r="BK2" t="s">
        <v>223</v>
      </c>
      <c r="BL2" t="s">
        <v>224</v>
      </c>
      <c r="BM2" t="s">
        <v>225</v>
      </c>
      <c r="BN2" t="s">
        <v>226</v>
      </c>
      <c r="BO2" t="s">
        <v>227</v>
      </c>
      <c r="BP2" s="13" t="s">
        <v>228</v>
      </c>
      <c r="BQ2" t="str">
        <f t="shared" ref="BQ2:BV2" si="0">+BK2</f>
        <v>First 300 kWh</v>
      </c>
      <c r="BR2" t="str">
        <f t="shared" si="0"/>
        <v>Next 700 kWh</v>
      </c>
      <c r="BS2" t="str">
        <f t="shared" si="0"/>
        <v>Next 1500 kWh</v>
      </c>
      <c r="BT2" t="str">
        <f t="shared" si="0"/>
        <v>Over 2500 kWh</v>
      </c>
      <c r="BU2" t="str">
        <f t="shared" si="0"/>
        <v>KWH_NEXT110</v>
      </c>
      <c r="BV2" t="str">
        <f t="shared" si="0"/>
        <v>KWH_300+</v>
      </c>
      <c r="BW2" s="11"/>
      <c r="CH2" s="11"/>
      <c r="CI2" t="s">
        <v>223</v>
      </c>
      <c r="CJ2" t="s">
        <v>224</v>
      </c>
      <c r="CK2" t="s">
        <v>229</v>
      </c>
      <c r="CL2" s="25" t="s">
        <v>223</v>
      </c>
      <c r="CM2" t="s">
        <v>224</v>
      </c>
      <c r="CN2" s="13" t="s">
        <v>229</v>
      </c>
      <c r="CO2" s="11"/>
      <c r="CP2" s="126" t="s">
        <v>230</v>
      </c>
      <c r="CQ2" s="126" t="s">
        <v>231</v>
      </c>
      <c r="CR2" s="11"/>
      <c r="DB2" s="11"/>
    </row>
    <row r="3" spans="1:107" x14ac:dyDescent="0.2">
      <c r="A3">
        <v>1</v>
      </c>
      <c r="B3" t="s">
        <v>232</v>
      </c>
      <c r="C3" s="20">
        <f>'Allocators Data'!F3/'Allocators Data'!$DF3</f>
        <v>0</v>
      </c>
      <c r="D3" s="20">
        <f>'Allocators Data'!G3/'Allocators Data'!$DF3</f>
        <v>0</v>
      </c>
      <c r="E3" s="20">
        <f>'Allocators Data'!H3/'Allocators Data'!$DF3</f>
        <v>0</v>
      </c>
      <c r="F3" s="20">
        <f>'Allocators Data'!I3/'Allocators Data'!$DF3</f>
        <v>0</v>
      </c>
      <c r="G3" s="31">
        <f>'Allocators Data'!J3/'Allocators Data'!$DF3</f>
        <v>0</v>
      </c>
      <c r="H3" s="20">
        <f>'Allocators Data'!K3/'Allocators Data'!$DF3</f>
        <v>0</v>
      </c>
      <c r="I3" s="20">
        <f>'Allocators Data'!L3/'Allocators Data'!$DF3</f>
        <v>0</v>
      </c>
      <c r="J3" s="20">
        <f>'Allocators Data'!M3/'Allocators Data'!$DF3</f>
        <v>0</v>
      </c>
      <c r="K3" s="21">
        <f>'Allocators Data'!N3/'Allocators Data'!$DF3</f>
        <v>0</v>
      </c>
      <c r="L3" s="20">
        <f>'Allocators Data'!O3/'Allocators Data'!$DF3</f>
        <v>0</v>
      </c>
      <c r="M3" s="20">
        <f>'Allocators Data'!P3/'Allocators Data'!$DF3</f>
        <v>0</v>
      </c>
      <c r="N3" s="20">
        <f>'Allocators Data'!Q3/'Allocators Data'!$DF3</f>
        <v>0</v>
      </c>
      <c r="O3" s="21">
        <f>'Allocators Data'!R3/'Allocators Data'!$DF3</f>
        <v>0</v>
      </c>
      <c r="P3" s="20">
        <f>'Allocators Data'!S3/'Allocators Data'!$DF3</f>
        <v>0</v>
      </c>
      <c r="Q3" s="20">
        <f>'Allocators Data'!T3/'Allocators Data'!$DF3</f>
        <v>0</v>
      </c>
      <c r="R3" s="20">
        <f>'Allocators Data'!U3/'Allocators Data'!$DF3</f>
        <v>0</v>
      </c>
      <c r="S3" s="21">
        <f>'Allocators Data'!V3/'Allocators Data'!$DF3</f>
        <v>0</v>
      </c>
      <c r="T3" s="20">
        <f>'Allocators Data'!W3/'Allocators Data'!$DF3</f>
        <v>0</v>
      </c>
      <c r="U3" s="20">
        <f>'Allocators Data'!X3/'Allocators Data'!$DF3</f>
        <v>0</v>
      </c>
      <c r="V3" s="20">
        <f>'Allocators Data'!Y3/'Allocators Data'!$DF3</f>
        <v>0</v>
      </c>
      <c r="W3" s="20">
        <f>'Allocators Data'!Z3/'Allocators Data'!$DF3</f>
        <v>0</v>
      </c>
      <c r="X3" s="22"/>
      <c r="Y3" s="20">
        <f>'Allocators Data'!AB3/'Allocators Data'!$DF3</f>
        <v>0</v>
      </c>
      <c r="Z3" s="20">
        <f>'Allocators Data'!AC3/'Allocators Data'!$DF3</f>
        <v>0</v>
      </c>
      <c r="AA3" s="20">
        <f>'Allocators Data'!AD3/'Allocators Data'!$DF3</f>
        <v>0</v>
      </c>
      <c r="AB3" s="20">
        <f>'Allocators Data'!AE3/'Allocators Data'!$DF3</f>
        <v>0</v>
      </c>
      <c r="AC3" s="20">
        <f>'Allocators Data'!AF3/'Allocators Data'!$DF3</f>
        <v>0</v>
      </c>
      <c r="AD3" s="20">
        <f>'Allocators Data'!AG3/'Allocators Data'!$DF3</f>
        <v>0</v>
      </c>
      <c r="AE3" s="20">
        <f>'Allocators Data'!AH3/'Allocators Data'!$DF3</f>
        <v>0</v>
      </c>
      <c r="AF3" s="22"/>
      <c r="AG3" s="20">
        <f>'Allocators Data'!AJ3/'Allocators Data'!$DF3</f>
        <v>0</v>
      </c>
      <c r="AH3" s="20">
        <f>'Allocators Data'!AK3/'Allocators Data'!$DF3</f>
        <v>0</v>
      </c>
      <c r="AI3" s="20">
        <f>'Allocators Data'!AL3/'Allocators Data'!$DF3</f>
        <v>0</v>
      </c>
      <c r="AJ3" s="20">
        <f>'Allocators Data'!AM3/'Allocators Data'!$DF3</f>
        <v>0</v>
      </c>
      <c r="AK3" s="20">
        <f>'Allocators Data'!AN3/'Allocators Data'!$DF3</f>
        <v>0</v>
      </c>
      <c r="AL3" s="21">
        <f>'Allocators Data'!AO3/'Allocators Data'!$DF3</f>
        <v>0</v>
      </c>
      <c r="AM3" s="20">
        <f>'Allocators Data'!AP3/'Allocators Data'!$DF3</f>
        <v>0</v>
      </c>
      <c r="AN3" s="20">
        <f>'Allocators Data'!AQ3/'Allocators Data'!$DF3</f>
        <v>0</v>
      </c>
      <c r="AO3" s="20">
        <f>'Allocators Data'!AR3/'Allocators Data'!$DF3</f>
        <v>0</v>
      </c>
      <c r="AP3" s="20">
        <f>'Allocators Data'!AS3/'Allocators Data'!$DF3</f>
        <v>0</v>
      </c>
      <c r="AQ3" s="20">
        <f>'Allocators Data'!AT3/'Allocators Data'!$DF3</f>
        <v>0</v>
      </c>
      <c r="AR3" s="21">
        <f>'Allocators Data'!AU3/'Allocators Data'!$DF3</f>
        <v>0</v>
      </c>
      <c r="AS3" s="20">
        <f>'Allocators Data'!AV3/'Allocators Data'!$DF3</f>
        <v>0</v>
      </c>
      <c r="AT3" s="20">
        <f>'Allocators Data'!AW3/'Allocators Data'!$DF3</f>
        <v>0</v>
      </c>
      <c r="AU3" s="20">
        <f>'Allocators Data'!AX3/'Allocators Data'!$DF3</f>
        <v>0</v>
      </c>
      <c r="AV3" s="20">
        <f>'Allocators Data'!AY3/'Allocators Data'!$DF3</f>
        <v>0</v>
      </c>
      <c r="AW3" s="20">
        <f>'Allocators Data'!AZ3/'Allocators Data'!$DF3</f>
        <v>0</v>
      </c>
      <c r="AX3" s="21">
        <f>'Allocators Data'!BA3/'Allocators Data'!$DF3</f>
        <v>0</v>
      </c>
      <c r="AY3" s="20">
        <f>'Allocators Data'!BB3/'Allocators Data'!$DF3</f>
        <v>0</v>
      </c>
      <c r="AZ3" s="20">
        <f>'Allocators Data'!BC3/'Allocators Data'!$DF3</f>
        <v>0</v>
      </c>
      <c r="BA3" s="20">
        <f>'Allocators Data'!BD3/'Allocators Data'!$DF3</f>
        <v>0</v>
      </c>
      <c r="BB3" s="20">
        <f>'Allocators Data'!BE3/'Allocators Data'!$DF3</f>
        <v>0</v>
      </c>
      <c r="BC3" s="20">
        <f>'Allocators Data'!BF3/'Allocators Data'!$DF3</f>
        <v>0</v>
      </c>
      <c r="BD3" s="21">
        <f>'Allocators Data'!BG3/'Allocators Data'!$DF3</f>
        <v>0</v>
      </c>
      <c r="BE3" s="20">
        <f>'Allocators Data'!BH3/'Allocators Data'!$DF3</f>
        <v>0</v>
      </c>
      <c r="BF3" s="20">
        <f>'Allocators Data'!BI3/'Allocators Data'!$DF3</f>
        <v>0</v>
      </c>
      <c r="BG3" s="20">
        <f>'Allocators Data'!BJ3/'Allocators Data'!$DF3</f>
        <v>0</v>
      </c>
      <c r="BH3" s="20">
        <f>'Allocators Data'!BK3/'Allocators Data'!$DF3</f>
        <v>0</v>
      </c>
      <c r="BI3" s="20">
        <f>'Allocators Data'!BL3/'Allocators Data'!$DF3</f>
        <v>0</v>
      </c>
      <c r="BJ3" s="21">
        <f>'Allocators Data'!BM3/'Allocators Data'!$DF3</f>
        <v>0</v>
      </c>
      <c r="BK3" s="20">
        <f>'Allocators Data'!BN3/'Allocators Data'!$DF3</f>
        <v>0</v>
      </c>
      <c r="BL3" s="20">
        <f>'Allocators Data'!BO3/'Allocators Data'!$DF3</f>
        <v>0</v>
      </c>
      <c r="BM3" s="20">
        <f>'Allocators Data'!BP3/'Allocators Data'!$DF3</f>
        <v>0</v>
      </c>
      <c r="BN3" s="20">
        <f>'Allocators Data'!BQ3/'Allocators Data'!$DF3</f>
        <v>0</v>
      </c>
      <c r="BO3" s="20">
        <f>'Allocators Data'!BR3/'Allocators Data'!$DF3</f>
        <v>0</v>
      </c>
      <c r="BP3" s="21">
        <f>'Allocators Data'!BS3/'Allocators Data'!$DF3</f>
        <v>0</v>
      </c>
      <c r="BQ3" s="20">
        <f>'Allocators Data'!BT3/'Allocators Data'!$DF3</f>
        <v>0</v>
      </c>
      <c r="BR3" s="20">
        <f>'Allocators Data'!BU3/'Allocators Data'!$DF3</f>
        <v>0</v>
      </c>
      <c r="BS3" s="20">
        <f>'Allocators Data'!BV3/'Allocators Data'!$DF3</f>
        <v>0</v>
      </c>
      <c r="BT3" s="20">
        <f>'Allocators Data'!BW3/'Allocators Data'!$DF3</f>
        <v>0</v>
      </c>
      <c r="BU3" s="20">
        <f>'Allocators Data'!BX3/'Allocators Data'!$DF3</f>
        <v>0</v>
      </c>
      <c r="BV3" s="21">
        <f>'Allocators Data'!BY3/'Allocators Data'!$DF3</f>
        <v>0</v>
      </c>
      <c r="BW3" s="22"/>
      <c r="BX3" s="20">
        <f>'Allocators Data'!CA3/'Allocators Data'!$DF3</f>
        <v>0</v>
      </c>
      <c r="BY3" s="20">
        <f>'Allocators Data'!CB3/'Allocators Data'!$DF3</f>
        <v>0</v>
      </c>
      <c r="BZ3" s="20">
        <f>'Allocators Data'!CC3/'Allocators Data'!$DF3</f>
        <v>0</v>
      </c>
      <c r="CA3" s="20">
        <f>'Allocators Data'!CD3/'Allocators Data'!$DF3</f>
        <v>0</v>
      </c>
      <c r="CB3" s="20">
        <f>'Allocators Data'!CE3/'Allocators Data'!$DF3</f>
        <v>0</v>
      </c>
      <c r="CC3" s="20">
        <f>'Allocators Data'!CF3/'Allocators Data'!$DF3</f>
        <v>0</v>
      </c>
      <c r="CD3" s="20">
        <f>'Allocators Data'!CG3/'Allocators Data'!$DF3</f>
        <v>0</v>
      </c>
      <c r="CE3" s="20">
        <f>'Allocators Data'!CH3/'Allocators Data'!$DF3</f>
        <v>0</v>
      </c>
      <c r="CF3" s="20">
        <f>'Allocators Data'!CI3/'Allocators Data'!$DF3</f>
        <v>0</v>
      </c>
      <c r="CG3" s="20">
        <f>'Allocators Data'!CJ3/'Allocators Data'!$DF3</f>
        <v>0</v>
      </c>
      <c r="CH3" s="22"/>
      <c r="CI3" s="20">
        <f>'Allocators Data'!CL3/'Allocators Data'!$DF3</f>
        <v>0.2212986546185147</v>
      </c>
      <c r="CJ3" s="20">
        <f>'Allocators Data'!CM3/'Allocators Data'!$DF3</f>
        <v>0.35387727474185138</v>
      </c>
      <c r="CK3" s="20">
        <f>'Allocators Data'!CN3/'Allocators Data'!$DF3</f>
        <v>0.32921014417006533</v>
      </c>
      <c r="CL3" s="29">
        <f>'Allocators Data'!CO3/'Allocators Data'!$DF3</f>
        <v>1.24200615157569E-2</v>
      </c>
      <c r="CM3" s="20">
        <f>'Allocators Data'!CP3/'Allocators Data'!$DF3</f>
        <v>2.7704017636685965E-2</v>
      </c>
      <c r="CN3" s="20">
        <f>'Allocators Data'!CQ3/'Allocators Data'!$DF3</f>
        <v>5.548984731712564E-2</v>
      </c>
      <c r="CO3" s="22"/>
      <c r="CP3" s="20">
        <f>'Allocators Data'!CS3/'Allocators Data'!$DF3</f>
        <v>0</v>
      </c>
      <c r="CQ3" s="20">
        <f>'Allocators Data'!CT3/'Allocators Data'!$DF3</f>
        <v>0</v>
      </c>
      <c r="CR3" s="22"/>
      <c r="CS3" s="20">
        <f>'Allocators Data'!CV3/'Allocators Data'!$DF3</f>
        <v>0</v>
      </c>
      <c r="CT3" s="20">
        <f>'Allocators Data'!CW3/'Allocators Data'!$DF3</f>
        <v>0</v>
      </c>
      <c r="CU3" s="20">
        <f>'Allocators Data'!CX3/'Allocators Data'!$DF3</f>
        <v>0</v>
      </c>
      <c r="CV3" s="20">
        <f>'Allocators Data'!CY3/'Allocators Data'!$DF3</f>
        <v>0</v>
      </c>
      <c r="CW3" s="20">
        <f>'Allocators Data'!CZ3/'Allocators Data'!$DF3</f>
        <v>0</v>
      </c>
      <c r="CX3" s="20">
        <f>'Allocators Data'!DA3/'Allocators Data'!$DF3</f>
        <v>0</v>
      </c>
      <c r="CY3" s="20">
        <f>'Allocators Data'!DB3/'Allocators Data'!$DF3</f>
        <v>0</v>
      </c>
      <c r="CZ3" s="20">
        <f>'Allocators Data'!DC3/'Allocators Data'!$DF3</f>
        <v>0</v>
      </c>
      <c r="DA3" s="20">
        <f>'Allocators Data'!DD3/'Allocators Data'!$DF3</f>
        <v>0</v>
      </c>
      <c r="DB3" s="22"/>
      <c r="DC3" s="20">
        <f t="shared" ref="DC3:DC14" si="1">SUM(C3:DA3)</f>
        <v>1</v>
      </c>
    </row>
    <row r="4" spans="1:107" x14ac:dyDescent="0.2">
      <c r="A4">
        <v>2</v>
      </c>
      <c r="B4" t="s">
        <v>233</v>
      </c>
      <c r="C4" s="20">
        <f>'Allocators Data'!F4/'Allocators Data'!$DF4</f>
        <v>0</v>
      </c>
      <c r="D4" s="20">
        <f>'Allocators Data'!G4/'Allocators Data'!$DF4</f>
        <v>0</v>
      </c>
      <c r="E4" s="20">
        <f>'Allocators Data'!H4/'Allocators Data'!$DF4</f>
        <v>0</v>
      </c>
      <c r="F4" s="20">
        <f>'Allocators Data'!I4/'Allocators Data'!$DF4</f>
        <v>0</v>
      </c>
      <c r="G4" s="31">
        <f>'Allocators Data'!J4/'Allocators Data'!$DF4</f>
        <v>0</v>
      </c>
      <c r="H4" s="20">
        <f>'Allocators Data'!K4/'Allocators Data'!$DF4</f>
        <v>0</v>
      </c>
      <c r="I4" s="20">
        <f>'Allocators Data'!L4/'Allocators Data'!$DF4</f>
        <v>0</v>
      </c>
      <c r="J4" s="20">
        <f>'Allocators Data'!M4/'Allocators Data'!$DF4</f>
        <v>0</v>
      </c>
      <c r="K4" s="21">
        <f>'Allocators Data'!N4/'Allocators Data'!$DF4</f>
        <v>0</v>
      </c>
      <c r="L4" s="20">
        <f>'Allocators Data'!O4/'Allocators Data'!$DF4</f>
        <v>0</v>
      </c>
      <c r="M4" s="20">
        <f>'Allocators Data'!P4/'Allocators Data'!$DF4</f>
        <v>0</v>
      </c>
      <c r="N4" s="20">
        <f>'Allocators Data'!Q4/'Allocators Data'!$DF4</f>
        <v>0</v>
      </c>
      <c r="O4" s="21">
        <f>'Allocators Data'!R4/'Allocators Data'!$DF4</f>
        <v>0</v>
      </c>
      <c r="P4" s="20">
        <f>'Allocators Data'!S4/'Allocators Data'!$DF4</f>
        <v>0</v>
      </c>
      <c r="Q4" s="20">
        <f>'Allocators Data'!T4/'Allocators Data'!$DF4</f>
        <v>0</v>
      </c>
      <c r="R4" s="20">
        <f>'Allocators Data'!U4/'Allocators Data'!$DF4</f>
        <v>0</v>
      </c>
      <c r="S4" s="21">
        <f>'Allocators Data'!V4/'Allocators Data'!$DF4</f>
        <v>0</v>
      </c>
      <c r="T4" s="20">
        <f>'Allocators Data'!W4/'Allocators Data'!$DF4</f>
        <v>0</v>
      </c>
      <c r="U4" s="20">
        <f>'Allocators Data'!X4/'Allocators Data'!$DF4</f>
        <v>0</v>
      </c>
      <c r="V4" s="20">
        <f>'Allocators Data'!Y4/'Allocators Data'!$DF4</f>
        <v>0</v>
      </c>
      <c r="W4" s="20">
        <f>'Allocators Data'!Z4/'Allocators Data'!$DF4</f>
        <v>0</v>
      </c>
      <c r="X4" s="22"/>
      <c r="Y4" s="20">
        <f>'Allocators Data'!AB4/'Allocators Data'!$DF4</f>
        <v>0</v>
      </c>
      <c r="Z4" s="20">
        <f>'Allocators Data'!AC4/'Allocators Data'!$DF4</f>
        <v>0</v>
      </c>
      <c r="AA4" s="20">
        <f>'Allocators Data'!AD4/'Allocators Data'!$DF4</f>
        <v>0</v>
      </c>
      <c r="AB4" s="20">
        <f>'Allocators Data'!AE4/'Allocators Data'!$DF4</f>
        <v>0</v>
      </c>
      <c r="AC4" s="20">
        <f>'Allocators Data'!AF4/'Allocators Data'!$DF4</f>
        <v>0</v>
      </c>
      <c r="AD4" s="20">
        <f>'Allocators Data'!AG4/'Allocators Data'!$DF4</f>
        <v>0</v>
      </c>
      <c r="AE4" s="20">
        <f>'Allocators Data'!AH4/'Allocators Data'!$DF4</f>
        <v>0</v>
      </c>
      <c r="AF4" s="22"/>
      <c r="AG4" s="20">
        <f>'Allocators Data'!AJ4/'Allocators Data'!$DF4</f>
        <v>0</v>
      </c>
      <c r="AH4" s="20">
        <f>'Allocators Data'!AK4/'Allocators Data'!$DF4</f>
        <v>0</v>
      </c>
      <c r="AI4" s="20">
        <f>'Allocators Data'!AL4/'Allocators Data'!$DF4</f>
        <v>0</v>
      </c>
      <c r="AJ4" s="20">
        <f>'Allocators Data'!AM4/'Allocators Data'!$DF4</f>
        <v>0</v>
      </c>
      <c r="AK4" s="20">
        <f>'Allocators Data'!AN4/'Allocators Data'!$DF4</f>
        <v>0</v>
      </c>
      <c r="AL4" s="21">
        <f>'Allocators Data'!AO4/'Allocators Data'!$DF4</f>
        <v>0</v>
      </c>
      <c r="AM4" s="20">
        <f>'Allocators Data'!AP4/'Allocators Data'!$DF4</f>
        <v>0</v>
      </c>
      <c r="AN4" s="20">
        <f>'Allocators Data'!AQ4/'Allocators Data'!$DF4</f>
        <v>0</v>
      </c>
      <c r="AO4" s="20">
        <f>'Allocators Data'!AR4/'Allocators Data'!$DF4</f>
        <v>0</v>
      </c>
      <c r="AP4" s="20">
        <f>'Allocators Data'!AS4/'Allocators Data'!$DF4</f>
        <v>0</v>
      </c>
      <c r="AQ4" s="20">
        <f>'Allocators Data'!AT4/'Allocators Data'!$DF4</f>
        <v>0</v>
      </c>
      <c r="AR4" s="21">
        <f>'Allocators Data'!AU4/'Allocators Data'!$DF4</f>
        <v>0</v>
      </c>
      <c r="AS4" s="20">
        <f>'Allocators Data'!AV4/'Allocators Data'!$DF4</f>
        <v>0</v>
      </c>
      <c r="AT4" s="20">
        <f>'Allocators Data'!AW4/'Allocators Data'!$DF4</f>
        <v>0</v>
      </c>
      <c r="AU4" s="20">
        <f>'Allocators Data'!AX4/'Allocators Data'!$DF4</f>
        <v>0</v>
      </c>
      <c r="AV4" s="20">
        <f>'Allocators Data'!AY4/'Allocators Data'!$DF4</f>
        <v>0</v>
      </c>
      <c r="AW4" s="20">
        <f>'Allocators Data'!AZ4/'Allocators Data'!$DF4</f>
        <v>0</v>
      </c>
      <c r="AX4" s="21">
        <f>'Allocators Data'!BA4/'Allocators Data'!$DF4</f>
        <v>0</v>
      </c>
      <c r="AY4" s="20">
        <f>'Allocators Data'!BB4/'Allocators Data'!$DF4</f>
        <v>0</v>
      </c>
      <c r="AZ4" s="20">
        <f>'Allocators Data'!BC4/'Allocators Data'!$DF4</f>
        <v>0</v>
      </c>
      <c r="BA4" s="20">
        <f>'Allocators Data'!BD4/'Allocators Data'!$DF4</f>
        <v>0</v>
      </c>
      <c r="BB4" s="20">
        <f>'Allocators Data'!BE4/'Allocators Data'!$DF4</f>
        <v>0</v>
      </c>
      <c r="BC4" s="20">
        <f>'Allocators Data'!BF4/'Allocators Data'!$DF4</f>
        <v>0</v>
      </c>
      <c r="BD4" s="21">
        <f>'Allocators Data'!BG4/'Allocators Data'!$DF4</f>
        <v>0</v>
      </c>
      <c r="BE4" s="20">
        <f>'Allocators Data'!BH4/'Allocators Data'!$DF4</f>
        <v>0</v>
      </c>
      <c r="BF4" s="20">
        <f>'Allocators Data'!BI4/'Allocators Data'!$DF4</f>
        <v>0</v>
      </c>
      <c r="BG4" s="20">
        <f>'Allocators Data'!BJ4/'Allocators Data'!$DF4</f>
        <v>0</v>
      </c>
      <c r="BH4" s="20">
        <f>'Allocators Data'!BK4/'Allocators Data'!$DF4</f>
        <v>0</v>
      </c>
      <c r="BI4" s="20">
        <f>'Allocators Data'!BL4/'Allocators Data'!$DF4</f>
        <v>0</v>
      </c>
      <c r="BJ4" s="21">
        <f>'Allocators Data'!BM4/'Allocators Data'!$DF4</f>
        <v>0</v>
      </c>
      <c r="BK4" s="20">
        <f>'Allocators Data'!BN4/'Allocators Data'!$DF4</f>
        <v>0</v>
      </c>
      <c r="BL4" s="20">
        <f>'Allocators Data'!BO4/'Allocators Data'!$DF4</f>
        <v>0</v>
      </c>
      <c r="BM4" s="20">
        <f>'Allocators Data'!BP4/'Allocators Data'!$DF4</f>
        <v>0</v>
      </c>
      <c r="BN4" s="20">
        <f>'Allocators Data'!BQ4/'Allocators Data'!$DF4</f>
        <v>0</v>
      </c>
      <c r="BO4" s="20">
        <f>'Allocators Data'!BR4/'Allocators Data'!$DF4</f>
        <v>0</v>
      </c>
      <c r="BP4" s="21">
        <f>'Allocators Data'!BS4/'Allocators Data'!$DF4</f>
        <v>0</v>
      </c>
      <c r="BQ4" s="20">
        <f>'Allocators Data'!BT4/'Allocators Data'!$DF4</f>
        <v>0</v>
      </c>
      <c r="BR4" s="20">
        <f>'Allocators Data'!BU4/'Allocators Data'!$DF4</f>
        <v>0</v>
      </c>
      <c r="BS4" s="20">
        <f>'Allocators Data'!BV4/'Allocators Data'!$DF4</f>
        <v>0</v>
      </c>
      <c r="BT4" s="20">
        <f>'Allocators Data'!BW4/'Allocators Data'!$DF4</f>
        <v>0</v>
      </c>
      <c r="BU4" s="20">
        <f>'Allocators Data'!BX4/'Allocators Data'!$DF4</f>
        <v>0</v>
      </c>
      <c r="BV4" s="21">
        <f>'Allocators Data'!BY4/'Allocators Data'!$DF4</f>
        <v>0</v>
      </c>
      <c r="BW4" s="22"/>
      <c r="BX4" s="20">
        <f>'Allocators Data'!CA4/'Allocators Data'!$DF4</f>
        <v>0</v>
      </c>
      <c r="BY4" s="20">
        <f>'Allocators Data'!CB4/'Allocators Data'!$DF4</f>
        <v>0</v>
      </c>
      <c r="BZ4" s="20">
        <f>'Allocators Data'!CC4/'Allocators Data'!$DF4</f>
        <v>0</v>
      </c>
      <c r="CA4" s="20">
        <f>'Allocators Data'!CD4/'Allocators Data'!$DF4</f>
        <v>0</v>
      </c>
      <c r="CB4" s="20">
        <f>'Allocators Data'!CE4/'Allocators Data'!$DF4</f>
        <v>0</v>
      </c>
      <c r="CC4" s="20">
        <f>'Allocators Data'!CF4/'Allocators Data'!$DF4</f>
        <v>0</v>
      </c>
      <c r="CD4" s="20">
        <f>'Allocators Data'!CG4/'Allocators Data'!$DF4</f>
        <v>0</v>
      </c>
      <c r="CE4" s="20">
        <f>'Allocators Data'!CH4/'Allocators Data'!$DF4</f>
        <v>0</v>
      </c>
      <c r="CF4" s="20">
        <f>'Allocators Data'!CI4/'Allocators Data'!$DF4</f>
        <v>0</v>
      </c>
      <c r="CG4" s="20">
        <f>'Allocators Data'!CJ4/'Allocators Data'!$DF4</f>
        <v>0</v>
      </c>
      <c r="CH4" s="22"/>
      <c r="CI4" s="20">
        <f>'Allocators Data'!CL4/'Allocators Data'!$DF4</f>
        <v>0.2470539169000808</v>
      </c>
      <c r="CJ4" s="20">
        <f>'Allocators Data'!CM4/'Allocators Data'!$DF4</f>
        <v>0.36462833467719896</v>
      </c>
      <c r="CK4" s="20">
        <f>'Allocators Data'!CN4/'Allocators Data'!$DF4</f>
        <v>0.29399175235755581</v>
      </c>
      <c r="CL4" s="29">
        <f>'Allocators Data'!CO4/'Allocators Data'!$DF4</f>
        <v>1.3870417211436073E-2</v>
      </c>
      <c r="CM4" s="20">
        <f>'Allocators Data'!CP4/'Allocators Data'!$DF4</f>
        <v>3.0661574063451016E-2</v>
      </c>
      <c r="CN4" s="20">
        <f>'Allocators Data'!CQ4/'Allocators Data'!$DF4</f>
        <v>4.9794004790277485E-2</v>
      </c>
      <c r="CO4" s="22"/>
      <c r="CP4" s="20">
        <f>'Allocators Data'!CS4/'Allocators Data'!$DF4</f>
        <v>0</v>
      </c>
      <c r="CQ4" s="20">
        <f>'Allocators Data'!CT4/'Allocators Data'!$DF4</f>
        <v>0</v>
      </c>
      <c r="CR4" s="22"/>
      <c r="CS4" s="20">
        <f>'Allocators Data'!CV4/'Allocators Data'!$DF4</f>
        <v>0</v>
      </c>
      <c r="CT4" s="20">
        <f>'Allocators Data'!CW4/'Allocators Data'!$DF4</f>
        <v>0</v>
      </c>
      <c r="CU4" s="20">
        <f>'Allocators Data'!CX4/'Allocators Data'!$DF4</f>
        <v>0</v>
      </c>
      <c r="CV4" s="20">
        <f>'Allocators Data'!CY4/'Allocators Data'!$DF4</f>
        <v>0</v>
      </c>
      <c r="CW4" s="20">
        <f>'Allocators Data'!CZ4/'Allocators Data'!$DF4</f>
        <v>0</v>
      </c>
      <c r="CX4" s="20">
        <f>'Allocators Data'!DA4/'Allocators Data'!$DF4</f>
        <v>0</v>
      </c>
      <c r="CY4" s="20">
        <f>'Allocators Data'!DB4/'Allocators Data'!$DF4</f>
        <v>0</v>
      </c>
      <c r="CZ4" s="20">
        <f>'Allocators Data'!DC4/'Allocators Data'!$DF4</f>
        <v>0</v>
      </c>
      <c r="DA4" s="20">
        <f>'Allocators Data'!DD4/'Allocators Data'!$DF4</f>
        <v>0</v>
      </c>
      <c r="DB4" s="22"/>
      <c r="DC4" s="20">
        <f t="shared" si="1"/>
        <v>1.0000000000000002</v>
      </c>
    </row>
    <row r="5" spans="1:107" x14ac:dyDescent="0.2">
      <c r="A5">
        <v>3</v>
      </c>
      <c r="B5" t="s">
        <v>234</v>
      </c>
      <c r="C5" s="20">
        <f>'Allocators Data'!F5/'Allocators Data'!$DF5</f>
        <v>0</v>
      </c>
      <c r="D5" s="20">
        <f>'Allocators Data'!G5/'Allocators Data'!$DF5</f>
        <v>0</v>
      </c>
      <c r="E5" s="20">
        <f>'Allocators Data'!H5/'Allocators Data'!$DF5</f>
        <v>0</v>
      </c>
      <c r="F5" s="20">
        <f>'Allocators Data'!I5/'Allocators Data'!$DF5</f>
        <v>0</v>
      </c>
      <c r="G5" s="31">
        <f>'Allocators Data'!J5/'Allocators Data'!$DF5</f>
        <v>0</v>
      </c>
      <c r="H5" s="20">
        <f>'Allocators Data'!K5/'Allocators Data'!$DF5</f>
        <v>0</v>
      </c>
      <c r="I5" s="20">
        <f>'Allocators Data'!L5/'Allocators Data'!$DF5</f>
        <v>0</v>
      </c>
      <c r="J5" s="20">
        <f>'Allocators Data'!M5/'Allocators Data'!$DF5</f>
        <v>0</v>
      </c>
      <c r="K5" s="21">
        <f>'Allocators Data'!N5/'Allocators Data'!$DF5</f>
        <v>0</v>
      </c>
      <c r="L5" s="20">
        <f>'Allocators Data'!O5/'Allocators Data'!$DF5</f>
        <v>0</v>
      </c>
      <c r="M5" s="20">
        <f>'Allocators Data'!P5/'Allocators Data'!$DF5</f>
        <v>0</v>
      </c>
      <c r="N5" s="20">
        <f>'Allocators Data'!Q5/'Allocators Data'!$DF5</f>
        <v>0</v>
      </c>
      <c r="O5" s="21">
        <f>'Allocators Data'!R5/'Allocators Data'!$DF5</f>
        <v>0</v>
      </c>
      <c r="P5" s="20">
        <f>'Allocators Data'!S5/'Allocators Data'!$DF5</f>
        <v>0</v>
      </c>
      <c r="Q5" s="20">
        <f>'Allocators Data'!T5/'Allocators Data'!$DF5</f>
        <v>0</v>
      </c>
      <c r="R5" s="20">
        <f>'Allocators Data'!U5/'Allocators Data'!$DF5</f>
        <v>0</v>
      </c>
      <c r="S5" s="21">
        <f>'Allocators Data'!V5/'Allocators Data'!$DF5</f>
        <v>0</v>
      </c>
      <c r="T5" s="20">
        <f>'Allocators Data'!W5/'Allocators Data'!$DF5</f>
        <v>0</v>
      </c>
      <c r="U5" s="20">
        <f>'Allocators Data'!X5/'Allocators Data'!$DF5</f>
        <v>0</v>
      </c>
      <c r="V5" s="20">
        <f>'Allocators Data'!Y5/'Allocators Data'!$DF5</f>
        <v>0</v>
      </c>
      <c r="W5" s="20">
        <f>'Allocators Data'!Z5/'Allocators Data'!$DF5</f>
        <v>0</v>
      </c>
      <c r="X5" s="22"/>
      <c r="Y5" s="20">
        <f>'Allocators Data'!AB5/'Allocators Data'!$DF5</f>
        <v>0</v>
      </c>
      <c r="Z5" s="20">
        <f>'Allocators Data'!AC5/'Allocators Data'!$DF5</f>
        <v>0</v>
      </c>
      <c r="AA5" s="20">
        <f>'Allocators Data'!AD5/'Allocators Data'!$DF5</f>
        <v>0</v>
      </c>
      <c r="AB5" s="20">
        <f>'Allocators Data'!AE5/'Allocators Data'!$DF5</f>
        <v>0</v>
      </c>
      <c r="AC5" s="20">
        <f>'Allocators Data'!AF5/'Allocators Data'!$DF5</f>
        <v>0</v>
      </c>
      <c r="AD5" s="20">
        <f>'Allocators Data'!AG5/'Allocators Data'!$DF5</f>
        <v>0</v>
      </c>
      <c r="AE5" s="20">
        <f>'Allocators Data'!AH5/'Allocators Data'!$DF5</f>
        <v>0</v>
      </c>
      <c r="AF5" s="22"/>
      <c r="AG5" s="20">
        <f>'Allocators Data'!AJ5/'Allocators Data'!$DF5</f>
        <v>0</v>
      </c>
      <c r="AH5" s="20">
        <f>'Allocators Data'!AK5/'Allocators Data'!$DF5</f>
        <v>0</v>
      </c>
      <c r="AI5" s="20">
        <f>'Allocators Data'!AL5/'Allocators Data'!$DF5</f>
        <v>0</v>
      </c>
      <c r="AJ5" s="20">
        <f>'Allocators Data'!AM5/'Allocators Data'!$DF5</f>
        <v>0</v>
      </c>
      <c r="AK5" s="20">
        <f>'Allocators Data'!AN5/'Allocators Data'!$DF5</f>
        <v>0</v>
      </c>
      <c r="AL5" s="21">
        <f>'Allocators Data'!AO5/'Allocators Data'!$DF5</f>
        <v>0</v>
      </c>
      <c r="AM5" s="20">
        <f>'Allocators Data'!AP5/'Allocators Data'!$DF5</f>
        <v>0</v>
      </c>
      <c r="AN5" s="20">
        <f>'Allocators Data'!AQ5/'Allocators Data'!$DF5</f>
        <v>0</v>
      </c>
      <c r="AO5" s="20">
        <f>'Allocators Data'!AR5/'Allocators Data'!$DF5</f>
        <v>0</v>
      </c>
      <c r="AP5" s="20">
        <f>'Allocators Data'!AS5/'Allocators Data'!$DF5</f>
        <v>0</v>
      </c>
      <c r="AQ5" s="20">
        <f>'Allocators Data'!AT5/'Allocators Data'!$DF5</f>
        <v>0</v>
      </c>
      <c r="AR5" s="21">
        <f>'Allocators Data'!AU5/'Allocators Data'!$DF5</f>
        <v>0</v>
      </c>
      <c r="AS5" s="20">
        <f>'Allocators Data'!AV5/'Allocators Data'!$DF5</f>
        <v>0</v>
      </c>
      <c r="AT5" s="20">
        <f>'Allocators Data'!AW5/'Allocators Data'!$DF5</f>
        <v>0</v>
      </c>
      <c r="AU5" s="20">
        <f>'Allocators Data'!AX5/'Allocators Data'!$DF5</f>
        <v>0</v>
      </c>
      <c r="AV5" s="20">
        <f>'Allocators Data'!AY5/'Allocators Data'!$DF5</f>
        <v>0</v>
      </c>
      <c r="AW5" s="20">
        <f>'Allocators Data'!AZ5/'Allocators Data'!$DF5</f>
        <v>0</v>
      </c>
      <c r="AX5" s="21">
        <f>'Allocators Data'!BA5/'Allocators Data'!$DF5</f>
        <v>0</v>
      </c>
      <c r="AY5" s="20">
        <f>'Allocators Data'!BB5/'Allocators Data'!$DF5</f>
        <v>0</v>
      </c>
      <c r="AZ5" s="20">
        <f>'Allocators Data'!BC5/'Allocators Data'!$DF5</f>
        <v>0</v>
      </c>
      <c r="BA5" s="20">
        <f>'Allocators Data'!BD5/'Allocators Data'!$DF5</f>
        <v>0</v>
      </c>
      <c r="BB5" s="20">
        <f>'Allocators Data'!BE5/'Allocators Data'!$DF5</f>
        <v>0</v>
      </c>
      <c r="BC5" s="20">
        <f>'Allocators Data'!BF5/'Allocators Data'!$DF5</f>
        <v>0</v>
      </c>
      <c r="BD5" s="21">
        <f>'Allocators Data'!BG5/'Allocators Data'!$DF5</f>
        <v>0</v>
      </c>
      <c r="BE5" s="20">
        <f>'Allocators Data'!BH5/'Allocators Data'!$DF5</f>
        <v>0</v>
      </c>
      <c r="BF5" s="20">
        <f>'Allocators Data'!BI5/'Allocators Data'!$DF5</f>
        <v>0</v>
      </c>
      <c r="BG5" s="20">
        <f>'Allocators Data'!BJ5/'Allocators Data'!$DF5</f>
        <v>0</v>
      </c>
      <c r="BH5" s="20">
        <f>'Allocators Data'!BK5/'Allocators Data'!$DF5</f>
        <v>0</v>
      </c>
      <c r="BI5" s="20">
        <f>'Allocators Data'!BL5/'Allocators Data'!$DF5</f>
        <v>0</v>
      </c>
      <c r="BJ5" s="21">
        <f>'Allocators Data'!BM5/'Allocators Data'!$DF5</f>
        <v>0</v>
      </c>
      <c r="BK5" s="20">
        <f>'Allocators Data'!BN5/'Allocators Data'!$DF5</f>
        <v>0</v>
      </c>
      <c r="BL5" s="20">
        <f>'Allocators Data'!BO5/'Allocators Data'!$DF5</f>
        <v>0</v>
      </c>
      <c r="BM5" s="20">
        <f>'Allocators Data'!BP5/'Allocators Data'!$DF5</f>
        <v>0</v>
      </c>
      <c r="BN5" s="20">
        <f>'Allocators Data'!BQ5/'Allocators Data'!$DF5</f>
        <v>0</v>
      </c>
      <c r="BO5" s="20">
        <f>'Allocators Data'!BR5/'Allocators Data'!$DF5</f>
        <v>0</v>
      </c>
      <c r="BP5" s="21">
        <f>'Allocators Data'!BS5/'Allocators Data'!$DF5</f>
        <v>0</v>
      </c>
      <c r="BQ5" s="20">
        <f>'Allocators Data'!BT5/'Allocators Data'!$DF5</f>
        <v>0</v>
      </c>
      <c r="BR5" s="20">
        <f>'Allocators Data'!BU5/'Allocators Data'!$DF5</f>
        <v>0</v>
      </c>
      <c r="BS5" s="20">
        <f>'Allocators Data'!BV5/'Allocators Data'!$DF5</f>
        <v>0</v>
      </c>
      <c r="BT5" s="20">
        <f>'Allocators Data'!BW5/'Allocators Data'!$DF5</f>
        <v>0</v>
      </c>
      <c r="BU5" s="20">
        <f>'Allocators Data'!BX5/'Allocators Data'!$DF5</f>
        <v>0</v>
      </c>
      <c r="BV5" s="21">
        <f>'Allocators Data'!BY5/'Allocators Data'!$DF5</f>
        <v>0</v>
      </c>
      <c r="BW5" s="22"/>
      <c r="BX5" s="20">
        <f>'Allocators Data'!CA5/'Allocators Data'!$DF5</f>
        <v>0</v>
      </c>
      <c r="BY5" s="20">
        <f>'Allocators Data'!CB5/'Allocators Data'!$DF5</f>
        <v>0</v>
      </c>
      <c r="BZ5" s="20">
        <f>'Allocators Data'!CC5/'Allocators Data'!$DF5</f>
        <v>0</v>
      </c>
      <c r="CA5" s="20">
        <f>'Allocators Data'!CD5/'Allocators Data'!$DF5</f>
        <v>0</v>
      </c>
      <c r="CB5" s="20">
        <f>'Allocators Data'!CE5/'Allocators Data'!$DF5</f>
        <v>0</v>
      </c>
      <c r="CC5" s="20">
        <f>'Allocators Data'!CF5/'Allocators Data'!$DF5</f>
        <v>0</v>
      </c>
      <c r="CD5" s="20">
        <f>'Allocators Data'!CG5/'Allocators Data'!$DF5</f>
        <v>0</v>
      </c>
      <c r="CE5" s="20">
        <f>'Allocators Data'!CH5/'Allocators Data'!$DF5</f>
        <v>0</v>
      </c>
      <c r="CF5" s="20">
        <f>'Allocators Data'!CI5/'Allocators Data'!$DF5</f>
        <v>0</v>
      </c>
      <c r="CG5" s="20">
        <f>'Allocators Data'!CJ5/'Allocators Data'!$DF5</f>
        <v>0</v>
      </c>
      <c r="CH5" s="22"/>
      <c r="CI5" s="20">
        <f>'Allocators Data'!CL5/'Allocators Data'!$DF5</f>
        <v>0.28942835226130753</v>
      </c>
      <c r="CJ5" s="20">
        <f>'Allocators Data'!CM5/'Allocators Data'!$DF5</f>
        <v>0.3954431216898262</v>
      </c>
      <c r="CK5" s="20">
        <f>'Allocators Data'!CN5/'Allocators Data'!$DF5</f>
        <v>0.2278974526728223</v>
      </c>
      <c r="CL5" s="29">
        <f>'Allocators Data'!CO5/'Allocators Data'!$DF5</f>
        <v>1.6393198257136796E-2</v>
      </c>
      <c r="CM5" s="20">
        <f>'Allocators Data'!CP5/'Allocators Data'!$DF5</f>
        <v>3.4557746027853845E-2</v>
      </c>
      <c r="CN5" s="20">
        <f>'Allocators Data'!CQ5/'Allocators Data'!$DF5</f>
        <v>3.6280129091053395E-2</v>
      </c>
      <c r="CO5" s="22"/>
      <c r="CP5" s="20">
        <f>'Allocators Data'!CS5/'Allocators Data'!$DF5</f>
        <v>0</v>
      </c>
      <c r="CQ5" s="20">
        <f>'Allocators Data'!CT5/'Allocators Data'!$DF5</f>
        <v>0</v>
      </c>
      <c r="CR5" s="22"/>
      <c r="CS5" s="20">
        <f>'Allocators Data'!CV5/'Allocators Data'!$DF5</f>
        <v>0</v>
      </c>
      <c r="CT5" s="20">
        <f>'Allocators Data'!CW5/'Allocators Data'!$DF5</f>
        <v>0</v>
      </c>
      <c r="CU5" s="20">
        <f>'Allocators Data'!CX5/'Allocators Data'!$DF5</f>
        <v>0</v>
      </c>
      <c r="CV5" s="20">
        <f>'Allocators Data'!CY5/'Allocators Data'!$DF5</f>
        <v>0</v>
      </c>
      <c r="CW5" s="20">
        <f>'Allocators Data'!CZ5/'Allocators Data'!$DF5</f>
        <v>0</v>
      </c>
      <c r="CX5" s="20">
        <f>'Allocators Data'!DA5/'Allocators Data'!$DF5</f>
        <v>0</v>
      </c>
      <c r="CY5" s="20">
        <f>'Allocators Data'!DB5/'Allocators Data'!$DF5</f>
        <v>0</v>
      </c>
      <c r="CZ5" s="20">
        <f>'Allocators Data'!DC5/'Allocators Data'!$DF5</f>
        <v>0</v>
      </c>
      <c r="DA5" s="20">
        <f>'Allocators Data'!DD5/'Allocators Data'!$DF5</f>
        <v>0</v>
      </c>
      <c r="DB5" s="22"/>
      <c r="DC5" s="20">
        <f t="shared" si="1"/>
        <v>1.0000000000000002</v>
      </c>
    </row>
    <row r="6" spans="1:107" x14ac:dyDescent="0.2">
      <c r="A6">
        <v>4</v>
      </c>
      <c r="B6" t="s">
        <v>235</v>
      </c>
      <c r="C6" s="20">
        <f>'Allocators Data'!F6/'Allocators Data'!$DF6</f>
        <v>0</v>
      </c>
      <c r="D6" s="20">
        <f>'Allocators Data'!G6/'Allocators Data'!$DF6</f>
        <v>0</v>
      </c>
      <c r="E6" s="20">
        <f>'Allocators Data'!H6/'Allocators Data'!$DF6</f>
        <v>0</v>
      </c>
      <c r="F6" s="20">
        <f>'Allocators Data'!I6/'Allocators Data'!$DF6</f>
        <v>0</v>
      </c>
      <c r="G6" s="31">
        <f>'Allocators Data'!J6/'Allocators Data'!$DF6</f>
        <v>0</v>
      </c>
      <c r="H6" s="20">
        <f>'Allocators Data'!K6/'Allocators Data'!$DF6</f>
        <v>0</v>
      </c>
      <c r="I6" s="20">
        <f>'Allocators Data'!L6/'Allocators Data'!$DF6</f>
        <v>0</v>
      </c>
      <c r="J6" s="20">
        <f>'Allocators Data'!M6/'Allocators Data'!$DF6</f>
        <v>0</v>
      </c>
      <c r="K6" s="21">
        <f>'Allocators Data'!N6/'Allocators Data'!$DF6</f>
        <v>0</v>
      </c>
      <c r="L6" s="20">
        <f>'Allocators Data'!O6/'Allocators Data'!$DF6</f>
        <v>0</v>
      </c>
      <c r="M6" s="20">
        <f>'Allocators Data'!P6/'Allocators Data'!$DF6</f>
        <v>0</v>
      </c>
      <c r="N6" s="20">
        <f>'Allocators Data'!Q6/'Allocators Data'!$DF6</f>
        <v>0</v>
      </c>
      <c r="O6" s="21">
        <f>'Allocators Data'!R6/'Allocators Data'!$DF6</f>
        <v>0</v>
      </c>
      <c r="P6" s="20">
        <f>'Allocators Data'!S6/'Allocators Data'!$DF6</f>
        <v>0</v>
      </c>
      <c r="Q6" s="20">
        <f>'Allocators Data'!T6/'Allocators Data'!$DF6</f>
        <v>0</v>
      </c>
      <c r="R6" s="20">
        <f>'Allocators Data'!U6/'Allocators Data'!$DF6</f>
        <v>0</v>
      </c>
      <c r="S6" s="21">
        <f>'Allocators Data'!V6/'Allocators Data'!$DF6</f>
        <v>0</v>
      </c>
      <c r="T6" s="20">
        <f>'Allocators Data'!W6/'Allocators Data'!$DF6</f>
        <v>0</v>
      </c>
      <c r="U6" s="20">
        <f>'Allocators Data'!X6/'Allocators Data'!$DF6</f>
        <v>0</v>
      </c>
      <c r="V6" s="20">
        <f>'Allocators Data'!Y6/'Allocators Data'!$DF6</f>
        <v>0</v>
      </c>
      <c r="W6" s="20">
        <f>'Allocators Data'!Z6/'Allocators Data'!$DF6</f>
        <v>0</v>
      </c>
      <c r="X6" s="22"/>
      <c r="Y6" s="20">
        <f>'Allocators Data'!AB6/'Allocators Data'!$DF6</f>
        <v>0</v>
      </c>
      <c r="Z6" s="20">
        <f>'Allocators Data'!AC6/'Allocators Data'!$DF6</f>
        <v>0</v>
      </c>
      <c r="AA6" s="20">
        <f>'Allocators Data'!AD6/'Allocators Data'!$DF6</f>
        <v>0</v>
      </c>
      <c r="AB6" s="20">
        <f>'Allocators Data'!AE6/'Allocators Data'!$DF6</f>
        <v>0</v>
      </c>
      <c r="AC6" s="20">
        <f>'Allocators Data'!AF6/'Allocators Data'!$DF6</f>
        <v>0</v>
      </c>
      <c r="AD6" s="20">
        <f>'Allocators Data'!AG6/'Allocators Data'!$DF6</f>
        <v>0</v>
      </c>
      <c r="AE6" s="20">
        <f>'Allocators Data'!AH6/'Allocators Data'!$DF6</f>
        <v>0</v>
      </c>
      <c r="AF6" s="22"/>
      <c r="AG6" s="20">
        <f>'Allocators Data'!AJ6/'Allocators Data'!$DF6</f>
        <v>0</v>
      </c>
      <c r="AH6" s="20">
        <f>'Allocators Data'!AK6/'Allocators Data'!$DF6</f>
        <v>0</v>
      </c>
      <c r="AI6" s="20">
        <f>'Allocators Data'!AL6/'Allocators Data'!$DF6</f>
        <v>0</v>
      </c>
      <c r="AJ6" s="20">
        <f>'Allocators Data'!AM6/'Allocators Data'!$DF6</f>
        <v>0</v>
      </c>
      <c r="AK6" s="20">
        <f>'Allocators Data'!AN6/'Allocators Data'!$DF6</f>
        <v>0</v>
      </c>
      <c r="AL6" s="21">
        <f>'Allocators Data'!AO6/'Allocators Data'!$DF6</f>
        <v>0</v>
      </c>
      <c r="AM6" s="20">
        <f>'Allocators Data'!AP6/'Allocators Data'!$DF6</f>
        <v>0</v>
      </c>
      <c r="AN6" s="20">
        <f>'Allocators Data'!AQ6/'Allocators Data'!$DF6</f>
        <v>0</v>
      </c>
      <c r="AO6" s="20">
        <f>'Allocators Data'!AR6/'Allocators Data'!$DF6</f>
        <v>0</v>
      </c>
      <c r="AP6" s="20">
        <f>'Allocators Data'!AS6/'Allocators Data'!$DF6</f>
        <v>0</v>
      </c>
      <c r="AQ6" s="20">
        <f>'Allocators Data'!AT6/'Allocators Data'!$DF6</f>
        <v>0</v>
      </c>
      <c r="AR6" s="21">
        <f>'Allocators Data'!AU6/'Allocators Data'!$DF6</f>
        <v>0</v>
      </c>
      <c r="AS6" s="20">
        <f>'Allocators Data'!AV6/'Allocators Data'!$DF6</f>
        <v>0</v>
      </c>
      <c r="AT6" s="20">
        <f>'Allocators Data'!AW6/'Allocators Data'!$DF6</f>
        <v>0</v>
      </c>
      <c r="AU6" s="20">
        <f>'Allocators Data'!AX6/'Allocators Data'!$DF6</f>
        <v>0</v>
      </c>
      <c r="AV6" s="20">
        <f>'Allocators Data'!AY6/'Allocators Data'!$DF6</f>
        <v>0</v>
      </c>
      <c r="AW6" s="20">
        <f>'Allocators Data'!AZ6/'Allocators Data'!$DF6</f>
        <v>0</v>
      </c>
      <c r="AX6" s="21">
        <f>'Allocators Data'!BA6/'Allocators Data'!$DF6</f>
        <v>0</v>
      </c>
      <c r="AY6" s="20">
        <f>'Allocators Data'!BB6/'Allocators Data'!$DF6</f>
        <v>0</v>
      </c>
      <c r="AZ6" s="20">
        <f>'Allocators Data'!BC6/'Allocators Data'!$DF6</f>
        <v>0</v>
      </c>
      <c r="BA6" s="20">
        <f>'Allocators Data'!BD6/'Allocators Data'!$DF6</f>
        <v>0</v>
      </c>
      <c r="BB6" s="20">
        <f>'Allocators Data'!BE6/'Allocators Data'!$DF6</f>
        <v>0</v>
      </c>
      <c r="BC6" s="20">
        <f>'Allocators Data'!BF6/'Allocators Data'!$DF6</f>
        <v>0</v>
      </c>
      <c r="BD6" s="21">
        <f>'Allocators Data'!BG6/'Allocators Data'!$DF6</f>
        <v>0</v>
      </c>
      <c r="BE6" s="20">
        <f>'Allocators Data'!BH6/'Allocators Data'!$DF6</f>
        <v>0</v>
      </c>
      <c r="BF6" s="20">
        <f>'Allocators Data'!BI6/'Allocators Data'!$DF6</f>
        <v>0</v>
      </c>
      <c r="BG6" s="20">
        <f>'Allocators Data'!BJ6/'Allocators Data'!$DF6</f>
        <v>0</v>
      </c>
      <c r="BH6" s="20">
        <f>'Allocators Data'!BK6/'Allocators Data'!$DF6</f>
        <v>0</v>
      </c>
      <c r="BI6" s="20">
        <f>'Allocators Data'!BL6/'Allocators Data'!$DF6</f>
        <v>0</v>
      </c>
      <c r="BJ6" s="21">
        <f>'Allocators Data'!BM6/'Allocators Data'!$DF6</f>
        <v>0</v>
      </c>
      <c r="BK6" s="20">
        <f>'Allocators Data'!BN6/'Allocators Data'!$DF6</f>
        <v>0</v>
      </c>
      <c r="BL6" s="20">
        <f>'Allocators Data'!BO6/'Allocators Data'!$DF6</f>
        <v>0</v>
      </c>
      <c r="BM6" s="20">
        <f>'Allocators Data'!BP6/'Allocators Data'!$DF6</f>
        <v>0</v>
      </c>
      <c r="BN6" s="20">
        <f>'Allocators Data'!BQ6/'Allocators Data'!$DF6</f>
        <v>0</v>
      </c>
      <c r="BO6" s="20">
        <f>'Allocators Data'!BR6/'Allocators Data'!$DF6</f>
        <v>0</v>
      </c>
      <c r="BP6" s="21">
        <f>'Allocators Data'!BS6/'Allocators Data'!$DF6</f>
        <v>0</v>
      </c>
      <c r="BQ6" s="20">
        <f>'Allocators Data'!BT6/'Allocators Data'!$DF6</f>
        <v>0</v>
      </c>
      <c r="BR6" s="20">
        <f>'Allocators Data'!BU6/'Allocators Data'!$DF6</f>
        <v>0</v>
      </c>
      <c r="BS6" s="20">
        <f>'Allocators Data'!BV6/'Allocators Data'!$DF6</f>
        <v>0</v>
      </c>
      <c r="BT6" s="20">
        <f>'Allocators Data'!BW6/'Allocators Data'!$DF6</f>
        <v>0</v>
      </c>
      <c r="BU6" s="20">
        <f>'Allocators Data'!BX6/'Allocators Data'!$DF6</f>
        <v>0</v>
      </c>
      <c r="BV6" s="21">
        <f>'Allocators Data'!BY6/'Allocators Data'!$DF6</f>
        <v>0</v>
      </c>
      <c r="BW6" s="22"/>
      <c r="BX6" s="20">
        <f>'Allocators Data'!CA6/'Allocators Data'!$DF6</f>
        <v>0</v>
      </c>
      <c r="BY6" s="20">
        <f>'Allocators Data'!CB6/'Allocators Data'!$DF6</f>
        <v>0</v>
      </c>
      <c r="BZ6" s="20">
        <f>'Allocators Data'!CC6/'Allocators Data'!$DF6</f>
        <v>0</v>
      </c>
      <c r="CA6" s="20">
        <f>'Allocators Data'!CD6/'Allocators Data'!$DF6</f>
        <v>0</v>
      </c>
      <c r="CB6" s="20">
        <f>'Allocators Data'!CE6/'Allocators Data'!$DF6</f>
        <v>0</v>
      </c>
      <c r="CC6" s="20">
        <f>'Allocators Data'!CF6/'Allocators Data'!$DF6</f>
        <v>0</v>
      </c>
      <c r="CD6" s="20">
        <f>'Allocators Data'!CG6/'Allocators Data'!$DF6</f>
        <v>0</v>
      </c>
      <c r="CE6" s="20">
        <f>'Allocators Data'!CH6/'Allocators Data'!$DF6</f>
        <v>0</v>
      </c>
      <c r="CF6" s="20">
        <f>'Allocators Data'!CI6/'Allocators Data'!$DF6</f>
        <v>0</v>
      </c>
      <c r="CG6" s="20">
        <f>'Allocators Data'!CJ6/'Allocators Data'!$DF6</f>
        <v>0</v>
      </c>
      <c r="CH6" s="22"/>
      <c r="CI6" s="20">
        <f>'Allocators Data'!CL6/'Allocators Data'!$DF6</f>
        <v>0.32210287894889839</v>
      </c>
      <c r="CJ6" s="20">
        <f>'Allocators Data'!CM6/'Allocators Data'!$DF6</f>
        <v>0.41483702247640153</v>
      </c>
      <c r="CK6" s="20">
        <f>'Allocators Data'!CN6/'Allocators Data'!$DF6</f>
        <v>0.1806594359422595</v>
      </c>
      <c r="CL6" s="29">
        <f>'Allocators Data'!CO6/'Allocators Data'!$DF6</f>
        <v>1.821128843213364E-2</v>
      </c>
      <c r="CM6" s="20">
        <f>'Allocators Data'!CP6/'Allocators Data'!$DF6</f>
        <v>3.6433760426452758E-2</v>
      </c>
      <c r="CN6" s="20">
        <f>'Allocators Data'!CQ6/'Allocators Data'!$DF6</f>
        <v>2.7755613773854215E-2</v>
      </c>
      <c r="CO6" s="22"/>
      <c r="CP6" s="20">
        <f>'Allocators Data'!CS6/'Allocators Data'!$DF6</f>
        <v>0</v>
      </c>
      <c r="CQ6" s="20">
        <f>'Allocators Data'!CT6/'Allocators Data'!$DF6</f>
        <v>0</v>
      </c>
      <c r="CR6" s="22"/>
      <c r="CS6" s="20">
        <f>'Allocators Data'!CV6/'Allocators Data'!$DF6</f>
        <v>0</v>
      </c>
      <c r="CT6" s="20">
        <f>'Allocators Data'!CW6/'Allocators Data'!$DF6</f>
        <v>0</v>
      </c>
      <c r="CU6" s="20">
        <f>'Allocators Data'!CX6/'Allocators Data'!$DF6</f>
        <v>0</v>
      </c>
      <c r="CV6" s="20">
        <f>'Allocators Data'!CY6/'Allocators Data'!$DF6</f>
        <v>0</v>
      </c>
      <c r="CW6" s="20">
        <f>'Allocators Data'!CZ6/'Allocators Data'!$DF6</f>
        <v>0</v>
      </c>
      <c r="CX6" s="20">
        <f>'Allocators Data'!DA6/'Allocators Data'!$DF6</f>
        <v>0</v>
      </c>
      <c r="CY6" s="20">
        <f>'Allocators Data'!DB6/'Allocators Data'!$DF6</f>
        <v>0</v>
      </c>
      <c r="CZ6" s="20">
        <f>'Allocators Data'!DC6/'Allocators Data'!$DF6</f>
        <v>0</v>
      </c>
      <c r="DA6" s="20">
        <f>'Allocators Data'!DD6/'Allocators Data'!$DF6</f>
        <v>0</v>
      </c>
      <c r="DB6" s="22"/>
      <c r="DC6" s="20">
        <f t="shared" si="1"/>
        <v>1</v>
      </c>
    </row>
    <row r="7" spans="1:107" x14ac:dyDescent="0.2">
      <c r="A7">
        <v>5</v>
      </c>
      <c r="B7" t="s">
        <v>236</v>
      </c>
      <c r="C7" s="20">
        <f>'Allocators Data'!F7/'Allocators Data'!$DF7</f>
        <v>0</v>
      </c>
      <c r="D7" s="20">
        <f>'Allocators Data'!G7/'Allocators Data'!$DF7</f>
        <v>0</v>
      </c>
      <c r="E7" s="20">
        <f>'Allocators Data'!H7/'Allocators Data'!$DF7</f>
        <v>0</v>
      </c>
      <c r="F7" s="20">
        <f>'Allocators Data'!I7/'Allocators Data'!$DF7</f>
        <v>0</v>
      </c>
      <c r="G7" s="31">
        <f>'Allocators Data'!J7/'Allocators Data'!$DF7</f>
        <v>0</v>
      </c>
      <c r="H7" s="20">
        <f>'Allocators Data'!K7/'Allocators Data'!$DF7</f>
        <v>0</v>
      </c>
      <c r="I7" s="20">
        <f>'Allocators Data'!L7/'Allocators Data'!$DF7</f>
        <v>0</v>
      </c>
      <c r="J7" s="20">
        <f>'Allocators Data'!M7/'Allocators Data'!$DF7</f>
        <v>0</v>
      </c>
      <c r="K7" s="21">
        <f>'Allocators Data'!N7/'Allocators Data'!$DF7</f>
        <v>0</v>
      </c>
      <c r="L7" s="20">
        <f>'Allocators Data'!O7/'Allocators Data'!$DF7</f>
        <v>0</v>
      </c>
      <c r="M7" s="20">
        <f>'Allocators Data'!P7/'Allocators Data'!$DF7</f>
        <v>0</v>
      </c>
      <c r="N7" s="20">
        <f>'Allocators Data'!Q7/'Allocators Data'!$DF7</f>
        <v>0</v>
      </c>
      <c r="O7" s="21">
        <f>'Allocators Data'!R7/'Allocators Data'!$DF7</f>
        <v>0</v>
      </c>
      <c r="P7" s="20">
        <f>'Allocators Data'!S7/'Allocators Data'!$DF7</f>
        <v>0</v>
      </c>
      <c r="Q7" s="20">
        <f>'Allocators Data'!T7/'Allocators Data'!$DF7</f>
        <v>0</v>
      </c>
      <c r="R7" s="20">
        <f>'Allocators Data'!U7/'Allocators Data'!$DF7</f>
        <v>0</v>
      </c>
      <c r="S7" s="21">
        <f>'Allocators Data'!V7/'Allocators Data'!$DF7</f>
        <v>0</v>
      </c>
      <c r="T7" s="20">
        <f>'Allocators Data'!W7/'Allocators Data'!$DF7</f>
        <v>0</v>
      </c>
      <c r="U7" s="20">
        <f>'Allocators Data'!X7/'Allocators Data'!$DF7</f>
        <v>0</v>
      </c>
      <c r="V7" s="20">
        <f>'Allocators Data'!Y7/'Allocators Data'!$DF7</f>
        <v>0</v>
      </c>
      <c r="W7" s="20">
        <f>'Allocators Data'!Z7/'Allocators Data'!$DF7</f>
        <v>0</v>
      </c>
      <c r="X7" s="22"/>
      <c r="Y7" s="20">
        <f>'Allocators Data'!AB7/'Allocators Data'!$DF7</f>
        <v>0</v>
      </c>
      <c r="Z7" s="20">
        <f>'Allocators Data'!AC7/'Allocators Data'!$DF7</f>
        <v>0</v>
      </c>
      <c r="AA7" s="20">
        <f>'Allocators Data'!AD7/'Allocators Data'!$DF7</f>
        <v>0</v>
      </c>
      <c r="AB7" s="20">
        <f>'Allocators Data'!AE7/'Allocators Data'!$DF7</f>
        <v>0</v>
      </c>
      <c r="AC7" s="20">
        <f>'Allocators Data'!AF7/'Allocators Data'!$DF7</f>
        <v>0</v>
      </c>
      <c r="AD7" s="20">
        <f>'Allocators Data'!AG7/'Allocators Data'!$DF7</f>
        <v>0</v>
      </c>
      <c r="AE7" s="20">
        <f>'Allocators Data'!AH7/'Allocators Data'!$DF7</f>
        <v>0</v>
      </c>
      <c r="AF7" s="22"/>
      <c r="AG7" s="20">
        <f>'Allocators Data'!AJ7/'Allocators Data'!$DF7</f>
        <v>0</v>
      </c>
      <c r="AH7" s="20">
        <f>'Allocators Data'!AK7/'Allocators Data'!$DF7</f>
        <v>0</v>
      </c>
      <c r="AI7" s="20">
        <f>'Allocators Data'!AL7/'Allocators Data'!$DF7</f>
        <v>0</v>
      </c>
      <c r="AJ7" s="20">
        <f>'Allocators Data'!AM7/'Allocators Data'!$DF7</f>
        <v>0</v>
      </c>
      <c r="AK7" s="20">
        <f>'Allocators Data'!AN7/'Allocators Data'!$DF7</f>
        <v>0</v>
      </c>
      <c r="AL7" s="21">
        <f>'Allocators Data'!AO7/'Allocators Data'!$DF7</f>
        <v>0</v>
      </c>
      <c r="AM7" s="20">
        <f>'Allocators Data'!AP7/'Allocators Data'!$DF7</f>
        <v>0</v>
      </c>
      <c r="AN7" s="20">
        <f>'Allocators Data'!AQ7/'Allocators Data'!$DF7</f>
        <v>0</v>
      </c>
      <c r="AO7" s="20">
        <f>'Allocators Data'!AR7/'Allocators Data'!$DF7</f>
        <v>0</v>
      </c>
      <c r="AP7" s="20">
        <f>'Allocators Data'!AS7/'Allocators Data'!$DF7</f>
        <v>0</v>
      </c>
      <c r="AQ7" s="20">
        <f>'Allocators Data'!AT7/'Allocators Data'!$DF7</f>
        <v>0</v>
      </c>
      <c r="AR7" s="21">
        <f>'Allocators Data'!AU7/'Allocators Data'!$DF7</f>
        <v>0</v>
      </c>
      <c r="AS7" s="20">
        <f>'Allocators Data'!AV7/'Allocators Data'!$DF7</f>
        <v>0</v>
      </c>
      <c r="AT7" s="20">
        <f>'Allocators Data'!AW7/'Allocators Data'!$DF7</f>
        <v>0</v>
      </c>
      <c r="AU7" s="20">
        <f>'Allocators Data'!AX7/'Allocators Data'!$DF7</f>
        <v>0</v>
      </c>
      <c r="AV7" s="20">
        <f>'Allocators Data'!AY7/'Allocators Data'!$DF7</f>
        <v>0</v>
      </c>
      <c r="AW7" s="20">
        <f>'Allocators Data'!AZ7/'Allocators Data'!$DF7</f>
        <v>0</v>
      </c>
      <c r="AX7" s="21">
        <f>'Allocators Data'!BA7/'Allocators Data'!$DF7</f>
        <v>0</v>
      </c>
      <c r="AY7" s="20">
        <f>'Allocators Data'!BB7/'Allocators Data'!$DF7</f>
        <v>0</v>
      </c>
      <c r="AZ7" s="20">
        <f>'Allocators Data'!BC7/'Allocators Data'!$DF7</f>
        <v>0</v>
      </c>
      <c r="BA7" s="20">
        <f>'Allocators Data'!BD7/'Allocators Data'!$DF7</f>
        <v>0</v>
      </c>
      <c r="BB7" s="20">
        <f>'Allocators Data'!BE7/'Allocators Data'!$DF7</f>
        <v>0</v>
      </c>
      <c r="BC7" s="20">
        <f>'Allocators Data'!BF7/'Allocators Data'!$DF7</f>
        <v>0</v>
      </c>
      <c r="BD7" s="21">
        <f>'Allocators Data'!BG7/'Allocators Data'!$DF7</f>
        <v>0</v>
      </c>
      <c r="BE7" s="20">
        <f>'Allocators Data'!BH7/'Allocators Data'!$DF7</f>
        <v>0</v>
      </c>
      <c r="BF7" s="20">
        <f>'Allocators Data'!BI7/'Allocators Data'!$DF7</f>
        <v>0</v>
      </c>
      <c r="BG7" s="20">
        <f>'Allocators Data'!BJ7/'Allocators Data'!$DF7</f>
        <v>0</v>
      </c>
      <c r="BH7" s="20">
        <f>'Allocators Data'!BK7/'Allocators Data'!$DF7</f>
        <v>0</v>
      </c>
      <c r="BI7" s="20">
        <f>'Allocators Data'!BL7/'Allocators Data'!$DF7</f>
        <v>0</v>
      </c>
      <c r="BJ7" s="21">
        <f>'Allocators Data'!BM7/'Allocators Data'!$DF7</f>
        <v>0</v>
      </c>
      <c r="BK7" s="20">
        <f>'Allocators Data'!BN7/'Allocators Data'!$DF7</f>
        <v>0</v>
      </c>
      <c r="BL7" s="20">
        <f>'Allocators Data'!BO7/'Allocators Data'!$DF7</f>
        <v>0</v>
      </c>
      <c r="BM7" s="20">
        <f>'Allocators Data'!BP7/'Allocators Data'!$DF7</f>
        <v>0</v>
      </c>
      <c r="BN7" s="20">
        <f>'Allocators Data'!BQ7/'Allocators Data'!$DF7</f>
        <v>0</v>
      </c>
      <c r="BO7" s="20">
        <f>'Allocators Data'!BR7/'Allocators Data'!$DF7</f>
        <v>0</v>
      </c>
      <c r="BP7" s="21">
        <f>'Allocators Data'!BS7/'Allocators Data'!$DF7</f>
        <v>0</v>
      </c>
      <c r="BQ7" s="20">
        <f>'Allocators Data'!BT7/'Allocators Data'!$DF7</f>
        <v>0</v>
      </c>
      <c r="BR7" s="20">
        <f>'Allocators Data'!BU7/'Allocators Data'!$DF7</f>
        <v>0</v>
      </c>
      <c r="BS7" s="20">
        <f>'Allocators Data'!BV7/'Allocators Data'!$DF7</f>
        <v>0</v>
      </c>
      <c r="BT7" s="20">
        <f>'Allocators Data'!BW7/'Allocators Data'!$DF7</f>
        <v>0</v>
      </c>
      <c r="BU7" s="20">
        <f>'Allocators Data'!BX7/'Allocators Data'!$DF7</f>
        <v>0</v>
      </c>
      <c r="BV7" s="21">
        <f>'Allocators Data'!BY7/'Allocators Data'!$DF7</f>
        <v>0</v>
      </c>
      <c r="BW7" s="22"/>
      <c r="BX7" s="20">
        <f>'Allocators Data'!CA7/'Allocators Data'!$DF7</f>
        <v>0</v>
      </c>
      <c r="BY7" s="20">
        <f>'Allocators Data'!CB7/'Allocators Data'!$DF7</f>
        <v>0</v>
      </c>
      <c r="BZ7" s="20">
        <f>'Allocators Data'!CC7/'Allocators Data'!$DF7</f>
        <v>0</v>
      </c>
      <c r="CA7" s="20">
        <f>'Allocators Data'!CD7/'Allocators Data'!$DF7</f>
        <v>0</v>
      </c>
      <c r="CB7" s="20">
        <f>'Allocators Data'!CE7/'Allocators Data'!$DF7</f>
        <v>0</v>
      </c>
      <c r="CC7" s="20">
        <f>'Allocators Data'!CF7/'Allocators Data'!$DF7</f>
        <v>0</v>
      </c>
      <c r="CD7" s="20">
        <f>'Allocators Data'!CG7/'Allocators Data'!$DF7</f>
        <v>0</v>
      </c>
      <c r="CE7" s="20">
        <f>'Allocators Data'!CH7/'Allocators Data'!$DF7</f>
        <v>0</v>
      </c>
      <c r="CF7" s="20">
        <f>'Allocators Data'!CI7/'Allocators Data'!$DF7</f>
        <v>0</v>
      </c>
      <c r="CG7" s="20">
        <f>'Allocators Data'!CJ7/'Allocators Data'!$DF7</f>
        <v>0</v>
      </c>
      <c r="CH7" s="22"/>
      <c r="CI7" s="20">
        <f>'Allocators Data'!CL7/'Allocators Data'!$DF7</f>
        <v>0.3749857980648813</v>
      </c>
      <c r="CJ7" s="20">
        <f>'Allocators Data'!CM7/'Allocators Data'!$DF7</f>
        <v>0.4354749846762539</v>
      </c>
      <c r="CK7" s="20">
        <f>'Allocators Data'!CN7/'Allocators Data'!$DF7</f>
        <v>0.11660486843910904</v>
      </c>
      <c r="CL7" s="29">
        <f>'Allocators Data'!CO7/'Allocators Data'!$DF7</f>
        <v>2.1169745431416587E-2</v>
      </c>
      <c r="CM7" s="20">
        <f>'Allocators Data'!CP7/'Allocators Data'!$DF7</f>
        <v>3.6869062370731301E-2</v>
      </c>
      <c r="CN7" s="20">
        <f>'Allocators Data'!CQ7/'Allocators Data'!$DF7</f>
        <v>1.4895541017607834E-2</v>
      </c>
      <c r="CO7" s="22"/>
      <c r="CP7" s="20">
        <f>'Allocators Data'!CS7/'Allocators Data'!$DF7</f>
        <v>0</v>
      </c>
      <c r="CQ7" s="20">
        <f>'Allocators Data'!CT7/'Allocators Data'!$DF7</f>
        <v>0</v>
      </c>
      <c r="CR7" s="22"/>
      <c r="CS7" s="20">
        <f>'Allocators Data'!CV7/'Allocators Data'!$DF7</f>
        <v>0</v>
      </c>
      <c r="CT7" s="20">
        <f>'Allocators Data'!CW7/'Allocators Data'!$DF7</f>
        <v>0</v>
      </c>
      <c r="CU7" s="20">
        <f>'Allocators Data'!CX7/'Allocators Data'!$DF7</f>
        <v>0</v>
      </c>
      <c r="CV7" s="20">
        <f>'Allocators Data'!CY7/'Allocators Data'!$DF7</f>
        <v>0</v>
      </c>
      <c r="CW7" s="20">
        <f>'Allocators Data'!CZ7/'Allocators Data'!$DF7</f>
        <v>0</v>
      </c>
      <c r="CX7" s="20">
        <f>'Allocators Data'!DA7/'Allocators Data'!$DF7</f>
        <v>0</v>
      </c>
      <c r="CY7" s="20">
        <f>'Allocators Data'!DB7/'Allocators Data'!$DF7</f>
        <v>0</v>
      </c>
      <c r="CZ7" s="20">
        <f>'Allocators Data'!DC7/'Allocators Data'!$DF7</f>
        <v>0</v>
      </c>
      <c r="DA7" s="20">
        <f>'Allocators Data'!DD7/'Allocators Data'!$DF7</f>
        <v>0</v>
      </c>
      <c r="DB7" s="22"/>
      <c r="DC7" s="20">
        <f t="shared" si="1"/>
        <v>0.99999999999999989</v>
      </c>
    </row>
    <row r="8" spans="1:107" x14ac:dyDescent="0.2">
      <c r="A8">
        <v>6</v>
      </c>
      <c r="B8" t="s">
        <v>237</v>
      </c>
      <c r="C8" s="20">
        <f>'Allocators Data'!F8/'Allocators Data'!$DF8</f>
        <v>0</v>
      </c>
      <c r="D8" s="20">
        <f>'Allocators Data'!G8/'Allocators Data'!$DF8</f>
        <v>0</v>
      </c>
      <c r="E8" s="20">
        <f>'Allocators Data'!H8/'Allocators Data'!$DF8</f>
        <v>0</v>
      </c>
      <c r="F8" s="20">
        <f>'Allocators Data'!I8/'Allocators Data'!$DF8</f>
        <v>0</v>
      </c>
      <c r="G8" s="31">
        <f>'Allocators Data'!J8/'Allocators Data'!$DF8</f>
        <v>0</v>
      </c>
      <c r="H8" s="20">
        <f>'Allocators Data'!K8/'Allocators Data'!$DF8</f>
        <v>0</v>
      </c>
      <c r="I8" s="20">
        <f>'Allocators Data'!L8/'Allocators Data'!$DF8</f>
        <v>0</v>
      </c>
      <c r="J8" s="20">
        <f>'Allocators Data'!M8/'Allocators Data'!$DF8</f>
        <v>0</v>
      </c>
      <c r="K8" s="21">
        <f>'Allocators Data'!N8/'Allocators Data'!$DF8</f>
        <v>0</v>
      </c>
      <c r="L8" s="20">
        <f>'Allocators Data'!O8/'Allocators Data'!$DF8</f>
        <v>0</v>
      </c>
      <c r="M8" s="20">
        <f>'Allocators Data'!P8/'Allocators Data'!$DF8</f>
        <v>0</v>
      </c>
      <c r="N8" s="20">
        <f>'Allocators Data'!Q8/'Allocators Data'!$DF8</f>
        <v>0</v>
      </c>
      <c r="O8" s="21">
        <f>'Allocators Data'!R8/'Allocators Data'!$DF8</f>
        <v>0</v>
      </c>
      <c r="P8" s="20">
        <f>'Allocators Data'!S8/'Allocators Data'!$DF8</f>
        <v>0</v>
      </c>
      <c r="Q8" s="20">
        <f>'Allocators Data'!T8/'Allocators Data'!$DF8</f>
        <v>0</v>
      </c>
      <c r="R8" s="20">
        <f>'Allocators Data'!U8/'Allocators Data'!$DF8</f>
        <v>0</v>
      </c>
      <c r="S8" s="21">
        <f>'Allocators Data'!V8/'Allocators Data'!$DF8</f>
        <v>0</v>
      </c>
      <c r="T8" s="20">
        <f>'Allocators Data'!W8/'Allocators Data'!$DF8</f>
        <v>0</v>
      </c>
      <c r="U8" s="20">
        <f>'Allocators Data'!X8/'Allocators Data'!$DF8</f>
        <v>0</v>
      </c>
      <c r="V8" s="20">
        <f>'Allocators Data'!Y8/'Allocators Data'!$DF8</f>
        <v>0</v>
      </c>
      <c r="W8" s="20">
        <f>'Allocators Data'!Z8/'Allocators Data'!$DF8</f>
        <v>0</v>
      </c>
      <c r="X8" s="22"/>
      <c r="Y8" s="20">
        <f>'Allocators Data'!AB8/'Allocators Data'!$DF8</f>
        <v>0</v>
      </c>
      <c r="Z8" s="20">
        <f>'Allocators Data'!AC8/'Allocators Data'!$DF8</f>
        <v>0</v>
      </c>
      <c r="AA8" s="20">
        <f>'Allocators Data'!AD8/'Allocators Data'!$DF8</f>
        <v>0</v>
      </c>
      <c r="AB8" s="20">
        <f>'Allocators Data'!AE8/'Allocators Data'!$DF8</f>
        <v>0</v>
      </c>
      <c r="AC8" s="20">
        <f>'Allocators Data'!AF8/'Allocators Data'!$DF8</f>
        <v>0</v>
      </c>
      <c r="AD8" s="20">
        <f>'Allocators Data'!AG8/'Allocators Data'!$DF8</f>
        <v>0</v>
      </c>
      <c r="AE8" s="20">
        <f>'Allocators Data'!AH8/'Allocators Data'!$DF8</f>
        <v>0</v>
      </c>
      <c r="AF8" s="22"/>
      <c r="AG8" s="20">
        <f>'Allocators Data'!AJ8/'Allocators Data'!$DF8</f>
        <v>0</v>
      </c>
      <c r="AH8" s="20">
        <f>'Allocators Data'!AK8/'Allocators Data'!$DF8</f>
        <v>0</v>
      </c>
      <c r="AI8" s="20">
        <f>'Allocators Data'!AL8/'Allocators Data'!$DF8</f>
        <v>0</v>
      </c>
      <c r="AJ8" s="20">
        <f>'Allocators Data'!AM8/'Allocators Data'!$DF8</f>
        <v>0</v>
      </c>
      <c r="AK8" s="20">
        <f>'Allocators Data'!AN8/'Allocators Data'!$DF8</f>
        <v>0</v>
      </c>
      <c r="AL8" s="21">
        <f>'Allocators Data'!AO8/'Allocators Data'!$DF8</f>
        <v>0</v>
      </c>
      <c r="AM8" s="20">
        <f>'Allocators Data'!AP8/'Allocators Data'!$DF8</f>
        <v>0</v>
      </c>
      <c r="AN8" s="20">
        <f>'Allocators Data'!AQ8/'Allocators Data'!$DF8</f>
        <v>0</v>
      </c>
      <c r="AO8" s="20">
        <f>'Allocators Data'!AR8/'Allocators Data'!$DF8</f>
        <v>0</v>
      </c>
      <c r="AP8" s="20">
        <f>'Allocators Data'!AS8/'Allocators Data'!$DF8</f>
        <v>0</v>
      </c>
      <c r="AQ8" s="20">
        <f>'Allocators Data'!AT8/'Allocators Data'!$DF8</f>
        <v>0</v>
      </c>
      <c r="AR8" s="21">
        <f>'Allocators Data'!AU8/'Allocators Data'!$DF8</f>
        <v>0</v>
      </c>
      <c r="AS8" s="20">
        <f>'Allocators Data'!AV8/'Allocators Data'!$DF8</f>
        <v>0</v>
      </c>
      <c r="AT8" s="20">
        <f>'Allocators Data'!AW8/'Allocators Data'!$DF8</f>
        <v>0</v>
      </c>
      <c r="AU8" s="20">
        <f>'Allocators Data'!AX8/'Allocators Data'!$DF8</f>
        <v>0</v>
      </c>
      <c r="AV8" s="20">
        <f>'Allocators Data'!AY8/'Allocators Data'!$DF8</f>
        <v>0</v>
      </c>
      <c r="AW8" s="20">
        <f>'Allocators Data'!AZ8/'Allocators Data'!$DF8</f>
        <v>0</v>
      </c>
      <c r="AX8" s="21">
        <f>'Allocators Data'!BA8/'Allocators Data'!$DF8</f>
        <v>0</v>
      </c>
      <c r="AY8" s="20">
        <f>'Allocators Data'!BB8/'Allocators Data'!$DF8</f>
        <v>0</v>
      </c>
      <c r="AZ8" s="20">
        <f>'Allocators Data'!BC8/'Allocators Data'!$DF8</f>
        <v>0</v>
      </c>
      <c r="BA8" s="20">
        <f>'Allocators Data'!BD8/'Allocators Data'!$DF8</f>
        <v>0</v>
      </c>
      <c r="BB8" s="20">
        <f>'Allocators Data'!BE8/'Allocators Data'!$DF8</f>
        <v>0</v>
      </c>
      <c r="BC8" s="20">
        <f>'Allocators Data'!BF8/'Allocators Data'!$DF8</f>
        <v>0</v>
      </c>
      <c r="BD8" s="21">
        <f>'Allocators Data'!BG8/'Allocators Data'!$DF8</f>
        <v>0</v>
      </c>
      <c r="BE8" s="20">
        <f>'Allocators Data'!BH8/'Allocators Data'!$DF8</f>
        <v>0</v>
      </c>
      <c r="BF8" s="20">
        <f>'Allocators Data'!BI8/'Allocators Data'!$DF8</f>
        <v>0</v>
      </c>
      <c r="BG8" s="20">
        <f>'Allocators Data'!BJ8/'Allocators Data'!$DF8</f>
        <v>0</v>
      </c>
      <c r="BH8" s="20">
        <f>'Allocators Data'!BK8/'Allocators Data'!$DF8</f>
        <v>0</v>
      </c>
      <c r="BI8" s="20">
        <f>'Allocators Data'!BL8/'Allocators Data'!$DF8</f>
        <v>0</v>
      </c>
      <c r="BJ8" s="21">
        <f>'Allocators Data'!BM8/'Allocators Data'!$DF8</f>
        <v>0</v>
      </c>
      <c r="BK8" s="20">
        <f>'Allocators Data'!BN8/'Allocators Data'!$DF8</f>
        <v>0</v>
      </c>
      <c r="BL8" s="20">
        <f>'Allocators Data'!BO8/'Allocators Data'!$DF8</f>
        <v>0</v>
      </c>
      <c r="BM8" s="20">
        <f>'Allocators Data'!BP8/'Allocators Data'!$DF8</f>
        <v>0</v>
      </c>
      <c r="BN8" s="20">
        <f>'Allocators Data'!BQ8/'Allocators Data'!$DF8</f>
        <v>0</v>
      </c>
      <c r="BO8" s="20">
        <f>'Allocators Data'!BR8/'Allocators Data'!$DF8</f>
        <v>0</v>
      </c>
      <c r="BP8" s="21">
        <f>'Allocators Data'!BS8/'Allocators Data'!$DF8</f>
        <v>0</v>
      </c>
      <c r="BQ8" s="20">
        <f>'Allocators Data'!BT8/'Allocators Data'!$DF8</f>
        <v>0</v>
      </c>
      <c r="BR8" s="20">
        <f>'Allocators Data'!BU8/'Allocators Data'!$DF8</f>
        <v>0</v>
      </c>
      <c r="BS8" s="20">
        <f>'Allocators Data'!BV8/'Allocators Data'!$DF8</f>
        <v>0</v>
      </c>
      <c r="BT8" s="20">
        <f>'Allocators Data'!BW8/'Allocators Data'!$DF8</f>
        <v>0</v>
      </c>
      <c r="BU8" s="20">
        <f>'Allocators Data'!BX8/'Allocators Data'!$DF8</f>
        <v>0</v>
      </c>
      <c r="BV8" s="21">
        <f>'Allocators Data'!BY8/'Allocators Data'!$DF8</f>
        <v>0</v>
      </c>
      <c r="BW8" s="22"/>
      <c r="BX8" s="20">
        <f>'Allocators Data'!CA8/'Allocators Data'!$DF8</f>
        <v>0</v>
      </c>
      <c r="BY8" s="20">
        <f>'Allocators Data'!CB8/'Allocators Data'!$DF8</f>
        <v>0</v>
      </c>
      <c r="BZ8" s="20">
        <f>'Allocators Data'!CC8/'Allocators Data'!$DF8</f>
        <v>0</v>
      </c>
      <c r="CA8" s="20">
        <f>'Allocators Data'!CD8/'Allocators Data'!$DF8</f>
        <v>0</v>
      </c>
      <c r="CB8" s="20">
        <f>'Allocators Data'!CE8/'Allocators Data'!$DF8</f>
        <v>0</v>
      </c>
      <c r="CC8" s="20">
        <f>'Allocators Data'!CF8/'Allocators Data'!$DF8</f>
        <v>0</v>
      </c>
      <c r="CD8" s="20">
        <f>'Allocators Data'!CG8/'Allocators Data'!$DF8</f>
        <v>0</v>
      </c>
      <c r="CE8" s="20">
        <f>'Allocators Data'!CH8/'Allocators Data'!$DF8</f>
        <v>0</v>
      </c>
      <c r="CF8" s="20">
        <f>'Allocators Data'!CI8/'Allocators Data'!$DF8</f>
        <v>0</v>
      </c>
      <c r="CG8" s="20">
        <f>'Allocators Data'!CJ8/'Allocators Data'!$DF8</f>
        <v>0</v>
      </c>
      <c r="CH8" s="22"/>
      <c r="CI8" s="20">
        <f>'Allocators Data'!CL8/'Allocators Data'!$DF8</f>
        <v>0.30650340579373153</v>
      </c>
      <c r="CJ8" s="20">
        <f>'Allocators Data'!CM8/'Allocators Data'!$DF8</f>
        <v>0.44073245538195194</v>
      </c>
      <c r="CK8" s="20">
        <f>'Allocators Data'!CN8/'Allocators Data'!$DF8</f>
        <v>0.19002496720836631</v>
      </c>
      <c r="CL8" s="29">
        <f>'Allocators Data'!CO8/'Allocators Data'!$DF8</f>
        <v>1.6894024521938222E-2</v>
      </c>
      <c r="CM8" s="20">
        <f>'Allocators Data'!CP8/'Allocators Data'!$DF8</f>
        <v>2.9525645474621328E-2</v>
      </c>
      <c r="CN8" s="20">
        <f>'Allocators Data'!CQ8/'Allocators Data'!$DF8</f>
        <v>1.6319501619390542E-2</v>
      </c>
      <c r="CO8" s="22"/>
      <c r="CP8" s="20">
        <f>'Allocators Data'!CS8/'Allocators Data'!$DF8</f>
        <v>0</v>
      </c>
      <c r="CQ8" s="20">
        <f>'Allocators Data'!CT8/'Allocators Data'!$DF8</f>
        <v>0</v>
      </c>
      <c r="CR8" s="22"/>
      <c r="CS8" s="20">
        <f>'Allocators Data'!CV8/'Allocators Data'!$DF8</f>
        <v>0</v>
      </c>
      <c r="CT8" s="20">
        <f>'Allocators Data'!CW8/'Allocators Data'!$DF8</f>
        <v>0</v>
      </c>
      <c r="CU8" s="20">
        <f>'Allocators Data'!CX8/'Allocators Data'!$DF8</f>
        <v>0</v>
      </c>
      <c r="CV8" s="20">
        <f>'Allocators Data'!CY8/'Allocators Data'!$DF8</f>
        <v>0</v>
      </c>
      <c r="CW8" s="20">
        <f>'Allocators Data'!CZ8/'Allocators Data'!$DF8</f>
        <v>0</v>
      </c>
      <c r="CX8" s="20">
        <f>'Allocators Data'!DA8/'Allocators Data'!$DF8</f>
        <v>0</v>
      </c>
      <c r="CY8" s="20">
        <f>'Allocators Data'!DB8/'Allocators Data'!$DF8</f>
        <v>0</v>
      </c>
      <c r="CZ8" s="20">
        <f>'Allocators Data'!DC8/'Allocators Data'!$DF8</f>
        <v>0</v>
      </c>
      <c r="DA8" s="20">
        <f>'Allocators Data'!DD8/'Allocators Data'!$DF8</f>
        <v>0</v>
      </c>
      <c r="DB8" s="22"/>
      <c r="DC8" s="20">
        <f t="shared" si="1"/>
        <v>0.99999999999999989</v>
      </c>
    </row>
    <row r="9" spans="1:107" x14ac:dyDescent="0.2">
      <c r="A9">
        <v>7</v>
      </c>
      <c r="B9" t="s">
        <v>238</v>
      </c>
      <c r="C9" s="20">
        <f>'Allocators Data'!F9/'Allocators Data'!$DF9</f>
        <v>0</v>
      </c>
      <c r="D9" s="20">
        <f>'Allocators Data'!G9/'Allocators Data'!$DF9</f>
        <v>0</v>
      </c>
      <c r="E9" s="20">
        <f>'Allocators Data'!H9/'Allocators Data'!$DF9</f>
        <v>0</v>
      </c>
      <c r="F9" s="20">
        <f>'Allocators Data'!I9/'Allocators Data'!$DF9</f>
        <v>0</v>
      </c>
      <c r="G9" s="31">
        <f>'Allocators Data'!J9/'Allocators Data'!$DF9</f>
        <v>0</v>
      </c>
      <c r="H9" s="20">
        <f>'Allocators Data'!K9/'Allocators Data'!$DF9</f>
        <v>0</v>
      </c>
      <c r="I9" s="20">
        <f>'Allocators Data'!L9/'Allocators Data'!$DF9</f>
        <v>0</v>
      </c>
      <c r="J9" s="20">
        <f>'Allocators Data'!M9/'Allocators Data'!$DF9</f>
        <v>0</v>
      </c>
      <c r="K9" s="21">
        <f>'Allocators Data'!N9/'Allocators Data'!$DF9</f>
        <v>0</v>
      </c>
      <c r="L9" s="20">
        <f>'Allocators Data'!O9/'Allocators Data'!$DF9</f>
        <v>0</v>
      </c>
      <c r="M9" s="20">
        <f>'Allocators Data'!P9/'Allocators Data'!$DF9</f>
        <v>0</v>
      </c>
      <c r="N9" s="20">
        <f>'Allocators Data'!Q9/'Allocators Data'!$DF9</f>
        <v>0</v>
      </c>
      <c r="O9" s="21">
        <f>'Allocators Data'!R9/'Allocators Data'!$DF9</f>
        <v>0</v>
      </c>
      <c r="P9" s="20">
        <f>'Allocators Data'!S9/'Allocators Data'!$DF9</f>
        <v>0</v>
      </c>
      <c r="Q9" s="20">
        <f>'Allocators Data'!T9/'Allocators Data'!$DF9</f>
        <v>0</v>
      </c>
      <c r="R9" s="20">
        <f>'Allocators Data'!U9/'Allocators Data'!$DF9</f>
        <v>0</v>
      </c>
      <c r="S9" s="21">
        <f>'Allocators Data'!V9/'Allocators Data'!$DF9</f>
        <v>0</v>
      </c>
      <c r="T9" s="20">
        <f>'Allocators Data'!W9/'Allocators Data'!$DF9</f>
        <v>0</v>
      </c>
      <c r="U9" s="20">
        <f>'Allocators Data'!X9/'Allocators Data'!$DF9</f>
        <v>0</v>
      </c>
      <c r="V9" s="20">
        <f>'Allocators Data'!Y9/'Allocators Data'!$DF9</f>
        <v>0</v>
      </c>
      <c r="W9" s="20">
        <f>'Allocators Data'!Z9/'Allocators Data'!$DF9</f>
        <v>0</v>
      </c>
      <c r="X9" s="22"/>
      <c r="Y9" s="20">
        <f>'Allocators Data'!AB9/'Allocators Data'!$DF9</f>
        <v>0</v>
      </c>
      <c r="Z9" s="20">
        <f>'Allocators Data'!AC9/'Allocators Data'!$DF9</f>
        <v>0</v>
      </c>
      <c r="AA9" s="20">
        <f>'Allocators Data'!AD9/'Allocators Data'!$DF9</f>
        <v>0</v>
      </c>
      <c r="AB9" s="20">
        <f>'Allocators Data'!AE9/'Allocators Data'!$DF9</f>
        <v>0</v>
      </c>
      <c r="AC9" s="20">
        <f>'Allocators Data'!AF9/'Allocators Data'!$DF9</f>
        <v>0</v>
      </c>
      <c r="AD9" s="20">
        <f>'Allocators Data'!AG9/'Allocators Data'!$DF9</f>
        <v>0</v>
      </c>
      <c r="AE9" s="20">
        <f>'Allocators Data'!AH9/'Allocators Data'!$DF9</f>
        <v>0</v>
      </c>
      <c r="AF9" s="22"/>
      <c r="AG9" s="20">
        <f>'Allocators Data'!AJ9/'Allocators Data'!$DF9</f>
        <v>0</v>
      </c>
      <c r="AH9" s="20">
        <f>'Allocators Data'!AK9/'Allocators Data'!$DF9</f>
        <v>0</v>
      </c>
      <c r="AI9" s="20">
        <f>'Allocators Data'!AL9/'Allocators Data'!$DF9</f>
        <v>0</v>
      </c>
      <c r="AJ9" s="20">
        <f>'Allocators Data'!AM9/'Allocators Data'!$DF9</f>
        <v>0</v>
      </c>
      <c r="AK9" s="20">
        <f>'Allocators Data'!AN9/'Allocators Data'!$DF9</f>
        <v>0</v>
      </c>
      <c r="AL9" s="21">
        <f>'Allocators Data'!AO9/'Allocators Data'!$DF9</f>
        <v>0</v>
      </c>
      <c r="AM9" s="20">
        <f>'Allocators Data'!AP9/'Allocators Data'!$DF9</f>
        <v>0</v>
      </c>
      <c r="AN9" s="20">
        <f>'Allocators Data'!AQ9/'Allocators Data'!$DF9</f>
        <v>0</v>
      </c>
      <c r="AO9" s="20">
        <f>'Allocators Data'!AR9/'Allocators Data'!$DF9</f>
        <v>0</v>
      </c>
      <c r="AP9" s="20">
        <f>'Allocators Data'!AS9/'Allocators Data'!$DF9</f>
        <v>0</v>
      </c>
      <c r="AQ9" s="20">
        <f>'Allocators Data'!AT9/'Allocators Data'!$DF9</f>
        <v>0</v>
      </c>
      <c r="AR9" s="21">
        <f>'Allocators Data'!AU9/'Allocators Data'!$DF9</f>
        <v>0</v>
      </c>
      <c r="AS9" s="20">
        <f>'Allocators Data'!AV9/'Allocators Data'!$DF9</f>
        <v>0</v>
      </c>
      <c r="AT9" s="20">
        <f>'Allocators Data'!AW9/'Allocators Data'!$DF9</f>
        <v>0</v>
      </c>
      <c r="AU9" s="20">
        <f>'Allocators Data'!AX9/'Allocators Data'!$DF9</f>
        <v>0</v>
      </c>
      <c r="AV9" s="20">
        <f>'Allocators Data'!AY9/'Allocators Data'!$DF9</f>
        <v>0</v>
      </c>
      <c r="AW9" s="20">
        <f>'Allocators Data'!AZ9/'Allocators Data'!$DF9</f>
        <v>0</v>
      </c>
      <c r="AX9" s="21">
        <f>'Allocators Data'!BA9/'Allocators Data'!$DF9</f>
        <v>0</v>
      </c>
      <c r="AY9" s="20">
        <f>'Allocators Data'!BB9/'Allocators Data'!$DF9</f>
        <v>0</v>
      </c>
      <c r="AZ9" s="20">
        <f>'Allocators Data'!BC9/'Allocators Data'!$DF9</f>
        <v>0</v>
      </c>
      <c r="BA9" s="20">
        <f>'Allocators Data'!BD9/'Allocators Data'!$DF9</f>
        <v>0</v>
      </c>
      <c r="BB9" s="20">
        <f>'Allocators Data'!BE9/'Allocators Data'!$DF9</f>
        <v>0</v>
      </c>
      <c r="BC9" s="20">
        <f>'Allocators Data'!BF9/'Allocators Data'!$DF9</f>
        <v>0</v>
      </c>
      <c r="BD9" s="21">
        <f>'Allocators Data'!BG9/'Allocators Data'!$DF9</f>
        <v>0</v>
      </c>
      <c r="BE9" s="20">
        <f>'Allocators Data'!BH9/'Allocators Data'!$DF9</f>
        <v>0</v>
      </c>
      <c r="BF9" s="20">
        <f>'Allocators Data'!BI9/'Allocators Data'!$DF9</f>
        <v>0</v>
      </c>
      <c r="BG9" s="20">
        <f>'Allocators Data'!BJ9/'Allocators Data'!$DF9</f>
        <v>0</v>
      </c>
      <c r="BH9" s="20">
        <f>'Allocators Data'!BK9/'Allocators Data'!$DF9</f>
        <v>0</v>
      </c>
      <c r="BI9" s="20">
        <f>'Allocators Data'!BL9/'Allocators Data'!$DF9</f>
        <v>0</v>
      </c>
      <c r="BJ9" s="21">
        <f>'Allocators Data'!BM9/'Allocators Data'!$DF9</f>
        <v>0</v>
      </c>
      <c r="BK9" s="20">
        <f>'Allocators Data'!BN9/'Allocators Data'!$DF9</f>
        <v>0</v>
      </c>
      <c r="BL9" s="20">
        <f>'Allocators Data'!BO9/'Allocators Data'!$DF9</f>
        <v>0</v>
      </c>
      <c r="BM9" s="20">
        <f>'Allocators Data'!BP9/'Allocators Data'!$DF9</f>
        <v>0</v>
      </c>
      <c r="BN9" s="20">
        <f>'Allocators Data'!BQ9/'Allocators Data'!$DF9</f>
        <v>0</v>
      </c>
      <c r="BO9" s="20">
        <f>'Allocators Data'!BR9/'Allocators Data'!$DF9</f>
        <v>0</v>
      </c>
      <c r="BP9" s="21">
        <f>'Allocators Data'!BS9/'Allocators Data'!$DF9</f>
        <v>0</v>
      </c>
      <c r="BQ9" s="20">
        <f>'Allocators Data'!BT9/'Allocators Data'!$DF9</f>
        <v>0</v>
      </c>
      <c r="BR9" s="20">
        <f>'Allocators Data'!BU9/'Allocators Data'!$DF9</f>
        <v>0</v>
      </c>
      <c r="BS9" s="20">
        <f>'Allocators Data'!BV9/'Allocators Data'!$DF9</f>
        <v>0</v>
      </c>
      <c r="BT9" s="20">
        <f>'Allocators Data'!BW9/'Allocators Data'!$DF9</f>
        <v>0</v>
      </c>
      <c r="BU9" s="20">
        <f>'Allocators Data'!BX9/'Allocators Data'!$DF9</f>
        <v>0</v>
      </c>
      <c r="BV9" s="21">
        <f>'Allocators Data'!BY9/'Allocators Data'!$DF9</f>
        <v>0</v>
      </c>
      <c r="BW9" s="22"/>
      <c r="BX9" s="20">
        <f>'Allocators Data'!CA9/'Allocators Data'!$DF9</f>
        <v>0</v>
      </c>
      <c r="BY9" s="20">
        <f>'Allocators Data'!CB9/'Allocators Data'!$DF9</f>
        <v>0</v>
      </c>
      <c r="BZ9" s="20">
        <f>'Allocators Data'!CC9/'Allocators Data'!$DF9</f>
        <v>0</v>
      </c>
      <c r="CA9" s="20">
        <f>'Allocators Data'!CD9/'Allocators Data'!$DF9</f>
        <v>0</v>
      </c>
      <c r="CB9" s="20">
        <f>'Allocators Data'!CE9/'Allocators Data'!$DF9</f>
        <v>0</v>
      </c>
      <c r="CC9" s="20">
        <f>'Allocators Data'!CF9/'Allocators Data'!$DF9</f>
        <v>0</v>
      </c>
      <c r="CD9" s="20">
        <f>'Allocators Data'!CG9/'Allocators Data'!$DF9</f>
        <v>0</v>
      </c>
      <c r="CE9" s="20">
        <f>'Allocators Data'!CH9/'Allocators Data'!$DF9</f>
        <v>0</v>
      </c>
      <c r="CF9" s="20">
        <f>'Allocators Data'!CI9/'Allocators Data'!$DF9</f>
        <v>0</v>
      </c>
      <c r="CG9" s="20">
        <f>'Allocators Data'!CJ9/'Allocators Data'!$DF9</f>
        <v>0</v>
      </c>
      <c r="CH9" s="22"/>
      <c r="CI9" s="20">
        <f>'Allocators Data'!CL9/'Allocators Data'!$DF9</f>
        <v>0.27240126174187307</v>
      </c>
      <c r="CJ9" s="20">
        <f>'Allocators Data'!CM9/'Allocators Data'!$DF9</f>
        <v>0.43625119708770826</v>
      </c>
      <c r="CK9" s="20">
        <f>'Allocators Data'!CN9/'Allocators Data'!$DF9</f>
        <v>0.23229984694966282</v>
      </c>
      <c r="CL9" s="29">
        <f>'Allocators Data'!CO9/'Allocators Data'!$DF9</f>
        <v>1.4794700331618237E-2</v>
      </c>
      <c r="CM9" s="20">
        <f>'Allocators Data'!CP9/'Allocators Data'!$DF9</f>
        <v>2.7304435364620096E-2</v>
      </c>
      <c r="CN9" s="20">
        <f>'Allocators Data'!CQ9/'Allocators Data'!$DF9</f>
        <v>1.6948558524517675E-2</v>
      </c>
      <c r="CO9" s="22"/>
      <c r="CP9" s="20">
        <f>'Allocators Data'!CS9/'Allocators Data'!$DF9</f>
        <v>0</v>
      </c>
      <c r="CQ9" s="20">
        <f>'Allocators Data'!CT9/'Allocators Data'!$DF9</f>
        <v>0</v>
      </c>
      <c r="CR9" s="22"/>
      <c r="CS9" s="20">
        <f>'Allocators Data'!CV9/'Allocators Data'!$DF9</f>
        <v>0</v>
      </c>
      <c r="CT9" s="20">
        <f>'Allocators Data'!CW9/'Allocators Data'!$DF9</f>
        <v>0</v>
      </c>
      <c r="CU9" s="20">
        <f>'Allocators Data'!CX9/'Allocators Data'!$DF9</f>
        <v>0</v>
      </c>
      <c r="CV9" s="20">
        <f>'Allocators Data'!CY9/'Allocators Data'!$DF9</f>
        <v>0</v>
      </c>
      <c r="CW9" s="20">
        <f>'Allocators Data'!CZ9/'Allocators Data'!$DF9</f>
        <v>0</v>
      </c>
      <c r="CX9" s="20">
        <f>'Allocators Data'!DA9/'Allocators Data'!$DF9</f>
        <v>0</v>
      </c>
      <c r="CY9" s="20">
        <f>'Allocators Data'!DB9/'Allocators Data'!$DF9</f>
        <v>0</v>
      </c>
      <c r="CZ9" s="20">
        <f>'Allocators Data'!DC9/'Allocators Data'!$DF9</f>
        <v>0</v>
      </c>
      <c r="DA9" s="20">
        <f>'Allocators Data'!DD9/'Allocators Data'!$DF9</f>
        <v>0</v>
      </c>
      <c r="DB9" s="22"/>
      <c r="DC9" s="20">
        <f t="shared" si="1"/>
        <v>1.0000000000000002</v>
      </c>
    </row>
    <row r="10" spans="1:107" x14ac:dyDescent="0.2">
      <c r="A10">
        <v>8</v>
      </c>
      <c r="B10" t="s">
        <v>239</v>
      </c>
      <c r="C10" s="20">
        <f>'Allocators Data'!F10/'Allocators Data'!$DF10</f>
        <v>0</v>
      </c>
      <c r="D10" s="20">
        <f>'Allocators Data'!G10/'Allocators Data'!$DF10</f>
        <v>0</v>
      </c>
      <c r="E10" s="20">
        <f>'Allocators Data'!H10/'Allocators Data'!$DF10</f>
        <v>0</v>
      </c>
      <c r="F10" s="20">
        <f>'Allocators Data'!I10/'Allocators Data'!$DF10</f>
        <v>0</v>
      </c>
      <c r="G10" s="31">
        <f>'Allocators Data'!J10/'Allocators Data'!$DF10</f>
        <v>0</v>
      </c>
      <c r="H10" s="20">
        <f>'Allocators Data'!K10/'Allocators Data'!$DF10</f>
        <v>0</v>
      </c>
      <c r="I10" s="20">
        <f>'Allocators Data'!L10/'Allocators Data'!$DF10</f>
        <v>0</v>
      </c>
      <c r="J10" s="20">
        <f>'Allocators Data'!M10/'Allocators Data'!$DF10</f>
        <v>0</v>
      </c>
      <c r="K10" s="21">
        <f>'Allocators Data'!N10/'Allocators Data'!$DF10</f>
        <v>0</v>
      </c>
      <c r="L10" s="20">
        <f>'Allocators Data'!O10/'Allocators Data'!$DF10</f>
        <v>0</v>
      </c>
      <c r="M10" s="20">
        <f>'Allocators Data'!P10/'Allocators Data'!$DF10</f>
        <v>0</v>
      </c>
      <c r="N10" s="20">
        <f>'Allocators Data'!Q10/'Allocators Data'!$DF10</f>
        <v>0</v>
      </c>
      <c r="O10" s="21">
        <f>'Allocators Data'!R10/'Allocators Data'!$DF10</f>
        <v>0</v>
      </c>
      <c r="P10" s="20">
        <f>'Allocators Data'!S10/'Allocators Data'!$DF10</f>
        <v>0</v>
      </c>
      <c r="Q10" s="20">
        <f>'Allocators Data'!T10/'Allocators Data'!$DF10</f>
        <v>0</v>
      </c>
      <c r="R10" s="20">
        <f>'Allocators Data'!U10/'Allocators Data'!$DF10</f>
        <v>0</v>
      </c>
      <c r="S10" s="21">
        <f>'Allocators Data'!V10/'Allocators Data'!$DF10</f>
        <v>0</v>
      </c>
      <c r="T10" s="20">
        <f>'Allocators Data'!W10/'Allocators Data'!$DF10</f>
        <v>0</v>
      </c>
      <c r="U10" s="20">
        <f>'Allocators Data'!X10/'Allocators Data'!$DF10</f>
        <v>0</v>
      </c>
      <c r="V10" s="20">
        <f>'Allocators Data'!Y10/'Allocators Data'!$DF10</f>
        <v>0</v>
      </c>
      <c r="W10" s="20">
        <f>'Allocators Data'!Z10/'Allocators Data'!$DF10</f>
        <v>0</v>
      </c>
      <c r="X10" s="22"/>
      <c r="Y10" s="20">
        <f>'Allocators Data'!AB10/'Allocators Data'!$DF10</f>
        <v>0</v>
      </c>
      <c r="Z10" s="20">
        <f>'Allocators Data'!AC10/'Allocators Data'!$DF10</f>
        <v>0</v>
      </c>
      <c r="AA10" s="20">
        <f>'Allocators Data'!AD10/'Allocators Data'!$DF10</f>
        <v>0</v>
      </c>
      <c r="AB10" s="20">
        <f>'Allocators Data'!AE10/'Allocators Data'!$DF10</f>
        <v>0</v>
      </c>
      <c r="AC10" s="20">
        <f>'Allocators Data'!AF10/'Allocators Data'!$DF10</f>
        <v>0</v>
      </c>
      <c r="AD10" s="20">
        <f>'Allocators Data'!AG10/'Allocators Data'!$DF10</f>
        <v>0</v>
      </c>
      <c r="AE10" s="20">
        <f>'Allocators Data'!AH10/'Allocators Data'!$DF10</f>
        <v>0</v>
      </c>
      <c r="AF10" s="22"/>
      <c r="AG10" s="20">
        <f>'Allocators Data'!AJ10/'Allocators Data'!$DF10</f>
        <v>0</v>
      </c>
      <c r="AH10" s="20">
        <f>'Allocators Data'!AK10/'Allocators Data'!$DF10</f>
        <v>0</v>
      </c>
      <c r="AI10" s="20">
        <f>'Allocators Data'!AL10/'Allocators Data'!$DF10</f>
        <v>0</v>
      </c>
      <c r="AJ10" s="20">
        <f>'Allocators Data'!AM10/'Allocators Data'!$DF10</f>
        <v>0</v>
      </c>
      <c r="AK10" s="20">
        <f>'Allocators Data'!AN10/'Allocators Data'!$DF10</f>
        <v>0</v>
      </c>
      <c r="AL10" s="21">
        <f>'Allocators Data'!AO10/'Allocators Data'!$DF10</f>
        <v>0</v>
      </c>
      <c r="AM10" s="20">
        <f>'Allocators Data'!AP10/'Allocators Data'!$DF10</f>
        <v>0</v>
      </c>
      <c r="AN10" s="20">
        <f>'Allocators Data'!AQ10/'Allocators Data'!$DF10</f>
        <v>0</v>
      </c>
      <c r="AO10" s="20">
        <f>'Allocators Data'!AR10/'Allocators Data'!$DF10</f>
        <v>0</v>
      </c>
      <c r="AP10" s="20">
        <f>'Allocators Data'!AS10/'Allocators Data'!$DF10</f>
        <v>0</v>
      </c>
      <c r="AQ10" s="20">
        <f>'Allocators Data'!AT10/'Allocators Data'!$DF10</f>
        <v>0</v>
      </c>
      <c r="AR10" s="21">
        <f>'Allocators Data'!AU10/'Allocators Data'!$DF10</f>
        <v>0</v>
      </c>
      <c r="AS10" s="20">
        <f>'Allocators Data'!AV10/'Allocators Data'!$DF10</f>
        <v>0</v>
      </c>
      <c r="AT10" s="20">
        <f>'Allocators Data'!AW10/'Allocators Data'!$DF10</f>
        <v>0</v>
      </c>
      <c r="AU10" s="20">
        <f>'Allocators Data'!AX10/'Allocators Data'!$DF10</f>
        <v>0</v>
      </c>
      <c r="AV10" s="20">
        <f>'Allocators Data'!AY10/'Allocators Data'!$DF10</f>
        <v>0</v>
      </c>
      <c r="AW10" s="20">
        <f>'Allocators Data'!AZ10/'Allocators Data'!$DF10</f>
        <v>0</v>
      </c>
      <c r="AX10" s="21">
        <f>'Allocators Data'!BA10/'Allocators Data'!$DF10</f>
        <v>0</v>
      </c>
      <c r="AY10" s="20">
        <f>'Allocators Data'!BB10/'Allocators Data'!$DF10</f>
        <v>0</v>
      </c>
      <c r="AZ10" s="20">
        <f>'Allocators Data'!BC10/'Allocators Data'!$DF10</f>
        <v>0</v>
      </c>
      <c r="BA10" s="20">
        <f>'Allocators Data'!BD10/'Allocators Data'!$DF10</f>
        <v>0</v>
      </c>
      <c r="BB10" s="20">
        <f>'Allocators Data'!BE10/'Allocators Data'!$DF10</f>
        <v>0</v>
      </c>
      <c r="BC10" s="20">
        <f>'Allocators Data'!BF10/'Allocators Data'!$DF10</f>
        <v>0</v>
      </c>
      <c r="BD10" s="21">
        <f>'Allocators Data'!BG10/'Allocators Data'!$DF10</f>
        <v>0</v>
      </c>
      <c r="BE10" s="20">
        <f>'Allocators Data'!BH10/'Allocators Data'!$DF10</f>
        <v>0</v>
      </c>
      <c r="BF10" s="20">
        <f>'Allocators Data'!BI10/'Allocators Data'!$DF10</f>
        <v>0</v>
      </c>
      <c r="BG10" s="20">
        <f>'Allocators Data'!BJ10/'Allocators Data'!$DF10</f>
        <v>0</v>
      </c>
      <c r="BH10" s="20">
        <f>'Allocators Data'!BK10/'Allocators Data'!$DF10</f>
        <v>0</v>
      </c>
      <c r="BI10" s="20">
        <f>'Allocators Data'!BL10/'Allocators Data'!$DF10</f>
        <v>0</v>
      </c>
      <c r="BJ10" s="21">
        <f>'Allocators Data'!BM10/'Allocators Data'!$DF10</f>
        <v>0</v>
      </c>
      <c r="BK10" s="20">
        <f>'Allocators Data'!BN10/'Allocators Data'!$DF10</f>
        <v>0</v>
      </c>
      <c r="BL10" s="20">
        <f>'Allocators Data'!BO10/'Allocators Data'!$DF10</f>
        <v>0</v>
      </c>
      <c r="BM10" s="20">
        <f>'Allocators Data'!BP10/'Allocators Data'!$DF10</f>
        <v>0</v>
      </c>
      <c r="BN10" s="20">
        <f>'Allocators Data'!BQ10/'Allocators Data'!$DF10</f>
        <v>0</v>
      </c>
      <c r="BO10" s="20">
        <f>'Allocators Data'!BR10/'Allocators Data'!$DF10</f>
        <v>0</v>
      </c>
      <c r="BP10" s="21">
        <f>'Allocators Data'!BS10/'Allocators Data'!$DF10</f>
        <v>0</v>
      </c>
      <c r="BQ10" s="20">
        <f>'Allocators Data'!BT10/'Allocators Data'!$DF10</f>
        <v>0</v>
      </c>
      <c r="BR10" s="20">
        <f>'Allocators Data'!BU10/'Allocators Data'!$DF10</f>
        <v>0</v>
      </c>
      <c r="BS10" s="20">
        <f>'Allocators Data'!BV10/'Allocators Data'!$DF10</f>
        <v>0</v>
      </c>
      <c r="BT10" s="20">
        <f>'Allocators Data'!BW10/'Allocators Data'!$DF10</f>
        <v>0</v>
      </c>
      <c r="BU10" s="20">
        <f>'Allocators Data'!BX10/'Allocators Data'!$DF10</f>
        <v>0</v>
      </c>
      <c r="BV10" s="21">
        <f>'Allocators Data'!BY10/'Allocators Data'!$DF10</f>
        <v>0</v>
      </c>
      <c r="BW10" s="22"/>
      <c r="BX10" s="20">
        <f>'Allocators Data'!CA10/'Allocators Data'!$DF10</f>
        <v>0</v>
      </c>
      <c r="BY10" s="20">
        <f>'Allocators Data'!CB10/'Allocators Data'!$DF10</f>
        <v>0</v>
      </c>
      <c r="BZ10" s="20">
        <f>'Allocators Data'!CC10/'Allocators Data'!$DF10</f>
        <v>0</v>
      </c>
      <c r="CA10" s="20">
        <f>'Allocators Data'!CD10/'Allocators Data'!$DF10</f>
        <v>0</v>
      </c>
      <c r="CB10" s="20">
        <f>'Allocators Data'!CE10/'Allocators Data'!$DF10</f>
        <v>0</v>
      </c>
      <c r="CC10" s="20">
        <f>'Allocators Data'!CF10/'Allocators Data'!$DF10</f>
        <v>0</v>
      </c>
      <c r="CD10" s="20">
        <f>'Allocators Data'!CG10/'Allocators Data'!$DF10</f>
        <v>0</v>
      </c>
      <c r="CE10" s="20">
        <f>'Allocators Data'!CH10/'Allocators Data'!$DF10</f>
        <v>0</v>
      </c>
      <c r="CF10" s="20">
        <f>'Allocators Data'!CI10/'Allocators Data'!$DF10</f>
        <v>0</v>
      </c>
      <c r="CG10" s="20">
        <f>'Allocators Data'!CJ10/'Allocators Data'!$DF10</f>
        <v>0</v>
      </c>
      <c r="CH10" s="22"/>
      <c r="CI10" s="20">
        <f>'Allocators Data'!CL10/'Allocators Data'!$DF10</f>
        <v>0.24352316133204061</v>
      </c>
      <c r="CJ10" s="20">
        <f>'Allocators Data'!CM10/'Allocators Data'!$DF10</f>
        <v>0.42294918878676296</v>
      </c>
      <c r="CK10" s="20">
        <f>'Allocators Data'!CN10/'Allocators Data'!$DF10</f>
        <v>0.2759658241722136</v>
      </c>
      <c r="CL10" s="29">
        <f>'Allocators Data'!CO10/'Allocators Data'!$DF10</f>
        <v>1.3068988853303909E-2</v>
      </c>
      <c r="CM10" s="20">
        <f>'Allocators Data'!CP10/'Allocators Data'!$DF10</f>
        <v>2.551153917562822E-2</v>
      </c>
      <c r="CN10" s="20">
        <f>'Allocators Data'!CQ10/'Allocators Data'!$DF10</f>
        <v>1.8981297680050649E-2</v>
      </c>
      <c r="CO10" s="22"/>
      <c r="CP10" s="20">
        <f>'Allocators Data'!CS10/'Allocators Data'!$DF10</f>
        <v>0</v>
      </c>
      <c r="CQ10" s="20">
        <f>'Allocators Data'!CT10/'Allocators Data'!$DF10</f>
        <v>0</v>
      </c>
      <c r="CR10" s="22"/>
      <c r="CS10" s="20">
        <f>'Allocators Data'!CV10/'Allocators Data'!$DF10</f>
        <v>0</v>
      </c>
      <c r="CT10" s="20">
        <f>'Allocators Data'!CW10/'Allocators Data'!$DF10</f>
        <v>0</v>
      </c>
      <c r="CU10" s="20">
        <f>'Allocators Data'!CX10/'Allocators Data'!$DF10</f>
        <v>0</v>
      </c>
      <c r="CV10" s="20">
        <f>'Allocators Data'!CY10/'Allocators Data'!$DF10</f>
        <v>0</v>
      </c>
      <c r="CW10" s="20">
        <f>'Allocators Data'!CZ10/'Allocators Data'!$DF10</f>
        <v>0</v>
      </c>
      <c r="CX10" s="20">
        <f>'Allocators Data'!DA10/'Allocators Data'!$DF10</f>
        <v>0</v>
      </c>
      <c r="CY10" s="20">
        <f>'Allocators Data'!DB10/'Allocators Data'!$DF10</f>
        <v>0</v>
      </c>
      <c r="CZ10" s="20">
        <f>'Allocators Data'!DC10/'Allocators Data'!$DF10</f>
        <v>0</v>
      </c>
      <c r="DA10" s="20">
        <f>'Allocators Data'!DD10/'Allocators Data'!$DF10</f>
        <v>0</v>
      </c>
      <c r="DB10" s="22"/>
      <c r="DC10" s="20">
        <f t="shared" si="1"/>
        <v>0.99999999999999989</v>
      </c>
    </row>
    <row r="11" spans="1:107" x14ac:dyDescent="0.2">
      <c r="A11">
        <v>9</v>
      </c>
      <c r="B11" t="s">
        <v>240</v>
      </c>
      <c r="C11" s="20">
        <f>'Allocators Data'!F11/'Allocators Data'!$DF11</f>
        <v>0</v>
      </c>
      <c r="D11" s="20">
        <f>'Allocators Data'!G11/'Allocators Data'!$DF11</f>
        <v>0</v>
      </c>
      <c r="E11" s="20">
        <f>'Allocators Data'!H11/'Allocators Data'!$DF11</f>
        <v>0</v>
      </c>
      <c r="F11" s="20">
        <f>'Allocators Data'!I11/'Allocators Data'!$DF11</f>
        <v>0</v>
      </c>
      <c r="G11" s="31">
        <f>'Allocators Data'!J11/'Allocators Data'!$DF11</f>
        <v>0</v>
      </c>
      <c r="H11" s="20">
        <f>'Allocators Data'!K11/'Allocators Data'!$DF11</f>
        <v>0</v>
      </c>
      <c r="I11" s="20">
        <f>'Allocators Data'!L11/'Allocators Data'!$DF11</f>
        <v>0</v>
      </c>
      <c r="J11" s="20">
        <f>'Allocators Data'!M11/'Allocators Data'!$DF11</f>
        <v>0</v>
      </c>
      <c r="K11" s="21">
        <f>'Allocators Data'!N11/'Allocators Data'!$DF11</f>
        <v>0</v>
      </c>
      <c r="L11" s="20">
        <f>'Allocators Data'!O11/'Allocators Data'!$DF11</f>
        <v>0</v>
      </c>
      <c r="M11" s="20">
        <f>'Allocators Data'!P11/'Allocators Data'!$DF11</f>
        <v>0</v>
      </c>
      <c r="N11" s="20">
        <f>'Allocators Data'!Q11/'Allocators Data'!$DF11</f>
        <v>0</v>
      </c>
      <c r="O11" s="21">
        <f>'Allocators Data'!R11/'Allocators Data'!$DF11</f>
        <v>0</v>
      </c>
      <c r="P11" s="20">
        <f>'Allocators Data'!S11/'Allocators Data'!$DF11</f>
        <v>0</v>
      </c>
      <c r="Q11" s="20">
        <f>'Allocators Data'!T11/'Allocators Data'!$DF11</f>
        <v>0</v>
      </c>
      <c r="R11" s="20">
        <f>'Allocators Data'!U11/'Allocators Data'!$DF11</f>
        <v>0</v>
      </c>
      <c r="S11" s="21">
        <f>'Allocators Data'!V11/'Allocators Data'!$DF11</f>
        <v>0</v>
      </c>
      <c r="T11" s="20">
        <f>'Allocators Data'!W11/'Allocators Data'!$DF11</f>
        <v>0</v>
      </c>
      <c r="U11" s="20">
        <f>'Allocators Data'!X11/'Allocators Data'!$DF11</f>
        <v>0</v>
      </c>
      <c r="V11" s="20">
        <f>'Allocators Data'!Y11/'Allocators Data'!$DF11</f>
        <v>0</v>
      </c>
      <c r="W11" s="20">
        <f>'Allocators Data'!Z11/'Allocators Data'!$DF11</f>
        <v>0</v>
      </c>
      <c r="X11" s="22"/>
      <c r="Y11" s="20">
        <f>'Allocators Data'!AB11/'Allocators Data'!$DF11</f>
        <v>0</v>
      </c>
      <c r="Z11" s="20">
        <f>'Allocators Data'!AC11/'Allocators Data'!$DF11</f>
        <v>0</v>
      </c>
      <c r="AA11" s="20">
        <f>'Allocators Data'!AD11/'Allocators Data'!$DF11</f>
        <v>0</v>
      </c>
      <c r="AB11" s="20">
        <f>'Allocators Data'!AE11/'Allocators Data'!$DF11</f>
        <v>0</v>
      </c>
      <c r="AC11" s="20">
        <f>'Allocators Data'!AF11/'Allocators Data'!$DF11</f>
        <v>0</v>
      </c>
      <c r="AD11" s="20">
        <f>'Allocators Data'!AG11/'Allocators Data'!$DF11</f>
        <v>0</v>
      </c>
      <c r="AE11" s="20">
        <f>'Allocators Data'!AH11/'Allocators Data'!$DF11</f>
        <v>0</v>
      </c>
      <c r="AF11" s="22"/>
      <c r="AG11" s="20">
        <f>'Allocators Data'!AJ11/'Allocators Data'!$DF11</f>
        <v>0</v>
      </c>
      <c r="AH11" s="20">
        <f>'Allocators Data'!AK11/'Allocators Data'!$DF11</f>
        <v>0</v>
      </c>
      <c r="AI11" s="20">
        <f>'Allocators Data'!AL11/'Allocators Data'!$DF11</f>
        <v>0</v>
      </c>
      <c r="AJ11" s="20">
        <f>'Allocators Data'!AM11/'Allocators Data'!$DF11</f>
        <v>0</v>
      </c>
      <c r="AK11" s="20">
        <f>'Allocators Data'!AN11/'Allocators Data'!$DF11</f>
        <v>0</v>
      </c>
      <c r="AL11" s="21">
        <f>'Allocators Data'!AO11/'Allocators Data'!$DF11</f>
        <v>0</v>
      </c>
      <c r="AM11" s="20">
        <f>'Allocators Data'!AP11/'Allocators Data'!$DF11</f>
        <v>0</v>
      </c>
      <c r="AN11" s="20">
        <f>'Allocators Data'!AQ11/'Allocators Data'!$DF11</f>
        <v>0</v>
      </c>
      <c r="AO11" s="20">
        <f>'Allocators Data'!AR11/'Allocators Data'!$DF11</f>
        <v>0</v>
      </c>
      <c r="AP11" s="20">
        <f>'Allocators Data'!AS11/'Allocators Data'!$DF11</f>
        <v>0</v>
      </c>
      <c r="AQ11" s="20">
        <f>'Allocators Data'!AT11/'Allocators Data'!$DF11</f>
        <v>0</v>
      </c>
      <c r="AR11" s="21">
        <f>'Allocators Data'!AU11/'Allocators Data'!$DF11</f>
        <v>0</v>
      </c>
      <c r="AS11" s="20">
        <f>'Allocators Data'!AV11/'Allocators Data'!$DF11</f>
        <v>0</v>
      </c>
      <c r="AT11" s="20">
        <f>'Allocators Data'!AW11/'Allocators Data'!$DF11</f>
        <v>0</v>
      </c>
      <c r="AU11" s="20">
        <f>'Allocators Data'!AX11/'Allocators Data'!$DF11</f>
        <v>0</v>
      </c>
      <c r="AV11" s="20">
        <f>'Allocators Data'!AY11/'Allocators Data'!$DF11</f>
        <v>0</v>
      </c>
      <c r="AW11" s="20">
        <f>'Allocators Data'!AZ11/'Allocators Data'!$DF11</f>
        <v>0</v>
      </c>
      <c r="AX11" s="21">
        <f>'Allocators Data'!BA11/'Allocators Data'!$DF11</f>
        <v>0</v>
      </c>
      <c r="AY11" s="20">
        <f>'Allocators Data'!BB11/'Allocators Data'!$DF11</f>
        <v>0</v>
      </c>
      <c r="AZ11" s="20">
        <f>'Allocators Data'!BC11/'Allocators Data'!$DF11</f>
        <v>0</v>
      </c>
      <c r="BA11" s="20">
        <f>'Allocators Data'!BD11/'Allocators Data'!$DF11</f>
        <v>0</v>
      </c>
      <c r="BB11" s="20">
        <f>'Allocators Data'!BE11/'Allocators Data'!$DF11</f>
        <v>0</v>
      </c>
      <c r="BC11" s="20">
        <f>'Allocators Data'!BF11/'Allocators Data'!$DF11</f>
        <v>0</v>
      </c>
      <c r="BD11" s="21">
        <f>'Allocators Data'!BG11/'Allocators Data'!$DF11</f>
        <v>0</v>
      </c>
      <c r="BE11" s="20">
        <f>'Allocators Data'!BH11/'Allocators Data'!$DF11</f>
        <v>0</v>
      </c>
      <c r="BF11" s="20">
        <f>'Allocators Data'!BI11/'Allocators Data'!$DF11</f>
        <v>0</v>
      </c>
      <c r="BG11" s="20">
        <f>'Allocators Data'!BJ11/'Allocators Data'!$DF11</f>
        <v>0</v>
      </c>
      <c r="BH11" s="20">
        <f>'Allocators Data'!BK11/'Allocators Data'!$DF11</f>
        <v>0</v>
      </c>
      <c r="BI11" s="20">
        <f>'Allocators Data'!BL11/'Allocators Data'!$DF11</f>
        <v>0</v>
      </c>
      <c r="BJ11" s="21">
        <f>'Allocators Data'!BM11/'Allocators Data'!$DF11</f>
        <v>0</v>
      </c>
      <c r="BK11" s="20">
        <f>'Allocators Data'!BN11/'Allocators Data'!$DF11</f>
        <v>0</v>
      </c>
      <c r="BL11" s="20">
        <f>'Allocators Data'!BO11/'Allocators Data'!$DF11</f>
        <v>0</v>
      </c>
      <c r="BM11" s="20">
        <f>'Allocators Data'!BP11/'Allocators Data'!$DF11</f>
        <v>0</v>
      </c>
      <c r="BN11" s="20">
        <f>'Allocators Data'!BQ11/'Allocators Data'!$DF11</f>
        <v>0</v>
      </c>
      <c r="BO11" s="20">
        <f>'Allocators Data'!BR11/'Allocators Data'!$DF11</f>
        <v>0</v>
      </c>
      <c r="BP11" s="21">
        <f>'Allocators Data'!BS11/'Allocators Data'!$DF11</f>
        <v>0</v>
      </c>
      <c r="BQ11" s="20">
        <f>'Allocators Data'!BT11/'Allocators Data'!$DF11</f>
        <v>0</v>
      </c>
      <c r="BR11" s="20">
        <f>'Allocators Data'!BU11/'Allocators Data'!$DF11</f>
        <v>0</v>
      </c>
      <c r="BS11" s="20">
        <f>'Allocators Data'!BV11/'Allocators Data'!$DF11</f>
        <v>0</v>
      </c>
      <c r="BT11" s="20">
        <f>'Allocators Data'!BW11/'Allocators Data'!$DF11</f>
        <v>0</v>
      </c>
      <c r="BU11" s="20">
        <f>'Allocators Data'!BX11/'Allocators Data'!$DF11</f>
        <v>0</v>
      </c>
      <c r="BV11" s="21">
        <f>'Allocators Data'!BY11/'Allocators Data'!$DF11</f>
        <v>0</v>
      </c>
      <c r="BW11" s="22"/>
      <c r="BX11" s="20">
        <f>'Allocators Data'!CA11/'Allocators Data'!$DF11</f>
        <v>0</v>
      </c>
      <c r="BY11" s="20">
        <f>'Allocators Data'!CB11/'Allocators Data'!$DF11</f>
        <v>0</v>
      </c>
      <c r="BZ11" s="20">
        <f>'Allocators Data'!CC11/'Allocators Data'!$DF11</f>
        <v>0</v>
      </c>
      <c r="CA11" s="20">
        <f>'Allocators Data'!CD11/'Allocators Data'!$DF11</f>
        <v>0</v>
      </c>
      <c r="CB11" s="20">
        <f>'Allocators Data'!CE11/'Allocators Data'!$DF11</f>
        <v>0</v>
      </c>
      <c r="CC11" s="20">
        <f>'Allocators Data'!CF11/'Allocators Data'!$DF11</f>
        <v>0</v>
      </c>
      <c r="CD11" s="20">
        <f>'Allocators Data'!CG11/'Allocators Data'!$DF11</f>
        <v>0</v>
      </c>
      <c r="CE11" s="20">
        <f>'Allocators Data'!CH11/'Allocators Data'!$DF11</f>
        <v>0</v>
      </c>
      <c r="CF11" s="20">
        <f>'Allocators Data'!CI11/'Allocators Data'!$DF11</f>
        <v>0</v>
      </c>
      <c r="CG11" s="20">
        <f>'Allocators Data'!CJ11/'Allocators Data'!$DF11</f>
        <v>0</v>
      </c>
      <c r="CH11" s="22"/>
      <c r="CI11" s="20">
        <f>'Allocators Data'!CL11/'Allocators Data'!$DF11</f>
        <v>0.26723111416754941</v>
      </c>
      <c r="CJ11" s="20">
        <f>'Allocators Data'!CM11/'Allocators Data'!$DF11</f>
        <v>0.43453132116830084</v>
      </c>
      <c r="CK11" s="20">
        <f>'Allocators Data'!CN11/'Allocators Data'!$DF11</f>
        <v>0.23550756507111417</v>
      </c>
      <c r="CL11" s="29">
        <f>'Allocators Data'!CO11/'Allocators Data'!$DF11</f>
        <v>1.5446081071449853E-2</v>
      </c>
      <c r="CM11" s="20">
        <f>'Allocators Data'!CP11/'Allocators Data'!$DF11</f>
        <v>2.8832249483757139E-2</v>
      </c>
      <c r="CN11" s="20">
        <f>'Allocators Data'!CQ11/'Allocators Data'!$DF11</f>
        <v>1.8451669037828619E-2</v>
      </c>
      <c r="CO11" s="22"/>
      <c r="CP11" s="20">
        <f>'Allocators Data'!CS11/'Allocators Data'!$DF11</f>
        <v>0</v>
      </c>
      <c r="CQ11" s="20">
        <f>'Allocators Data'!CT11/'Allocators Data'!$DF11</f>
        <v>0</v>
      </c>
      <c r="CR11" s="22"/>
      <c r="CS11" s="20">
        <f>'Allocators Data'!CV11/'Allocators Data'!$DF11</f>
        <v>0</v>
      </c>
      <c r="CT11" s="20">
        <f>'Allocators Data'!CW11/'Allocators Data'!$DF11</f>
        <v>0</v>
      </c>
      <c r="CU11" s="20">
        <f>'Allocators Data'!CX11/'Allocators Data'!$DF11</f>
        <v>0</v>
      </c>
      <c r="CV11" s="20">
        <f>'Allocators Data'!CY11/'Allocators Data'!$DF11</f>
        <v>0</v>
      </c>
      <c r="CW11" s="20">
        <f>'Allocators Data'!CZ11/'Allocators Data'!$DF11</f>
        <v>0</v>
      </c>
      <c r="CX11" s="20">
        <f>'Allocators Data'!DA11/'Allocators Data'!$DF11</f>
        <v>0</v>
      </c>
      <c r="CY11" s="20">
        <f>'Allocators Data'!DB11/'Allocators Data'!$DF11</f>
        <v>0</v>
      </c>
      <c r="CZ11" s="20">
        <f>'Allocators Data'!DC11/'Allocators Data'!$DF11</f>
        <v>0</v>
      </c>
      <c r="DA11" s="20">
        <f>'Allocators Data'!DD11/'Allocators Data'!$DF11</f>
        <v>0</v>
      </c>
      <c r="DB11" s="22"/>
      <c r="DC11" s="20">
        <f t="shared" si="1"/>
        <v>1</v>
      </c>
    </row>
    <row r="12" spans="1:107" x14ac:dyDescent="0.2">
      <c r="A12">
        <v>10</v>
      </c>
      <c r="B12" t="s">
        <v>241</v>
      </c>
      <c r="C12" s="20">
        <f>'Allocators Data'!F12/'Allocators Data'!$DF12</f>
        <v>0</v>
      </c>
      <c r="D12" s="20">
        <f>'Allocators Data'!G12/'Allocators Data'!$DF12</f>
        <v>0</v>
      </c>
      <c r="E12" s="20">
        <f>'Allocators Data'!H12/'Allocators Data'!$DF12</f>
        <v>0</v>
      </c>
      <c r="F12" s="20">
        <f>'Allocators Data'!I12/'Allocators Data'!$DF12</f>
        <v>0</v>
      </c>
      <c r="G12" s="31">
        <f>'Allocators Data'!J12/'Allocators Data'!$DF12</f>
        <v>0</v>
      </c>
      <c r="H12" s="20">
        <f>'Allocators Data'!K12/'Allocators Data'!$DF12</f>
        <v>0</v>
      </c>
      <c r="I12" s="20">
        <f>'Allocators Data'!L12/'Allocators Data'!$DF12</f>
        <v>0</v>
      </c>
      <c r="J12" s="20">
        <f>'Allocators Data'!M12/'Allocators Data'!$DF12</f>
        <v>0</v>
      </c>
      <c r="K12" s="21">
        <f>'Allocators Data'!N12/'Allocators Data'!$DF12</f>
        <v>0</v>
      </c>
      <c r="L12" s="20">
        <f>'Allocators Data'!O12/'Allocators Data'!$DF12</f>
        <v>0</v>
      </c>
      <c r="M12" s="20">
        <f>'Allocators Data'!P12/'Allocators Data'!$DF12</f>
        <v>0</v>
      </c>
      <c r="N12" s="20">
        <f>'Allocators Data'!Q12/'Allocators Data'!$DF12</f>
        <v>0</v>
      </c>
      <c r="O12" s="21">
        <f>'Allocators Data'!R12/'Allocators Data'!$DF12</f>
        <v>0</v>
      </c>
      <c r="P12" s="20">
        <f>'Allocators Data'!S12/'Allocators Data'!$DF12</f>
        <v>0</v>
      </c>
      <c r="Q12" s="20">
        <f>'Allocators Data'!T12/'Allocators Data'!$DF12</f>
        <v>0</v>
      </c>
      <c r="R12" s="20">
        <f>'Allocators Data'!U12/'Allocators Data'!$DF12</f>
        <v>0</v>
      </c>
      <c r="S12" s="21">
        <f>'Allocators Data'!V12/'Allocators Data'!$DF12</f>
        <v>0</v>
      </c>
      <c r="T12" s="20">
        <f>'Allocators Data'!W12/'Allocators Data'!$DF12</f>
        <v>0</v>
      </c>
      <c r="U12" s="20">
        <f>'Allocators Data'!X12/'Allocators Data'!$DF12</f>
        <v>0</v>
      </c>
      <c r="V12" s="20">
        <f>'Allocators Data'!Y12/'Allocators Data'!$DF12</f>
        <v>0</v>
      </c>
      <c r="W12" s="20">
        <f>'Allocators Data'!Z12/'Allocators Data'!$DF12</f>
        <v>0</v>
      </c>
      <c r="X12" s="22"/>
      <c r="Y12" s="20">
        <f>'Allocators Data'!AB12/'Allocators Data'!$DF12</f>
        <v>0</v>
      </c>
      <c r="Z12" s="20">
        <f>'Allocators Data'!AC12/'Allocators Data'!$DF12</f>
        <v>0</v>
      </c>
      <c r="AA12" s="20">
        <f>'Allocators Data'!AD12/'Allocators Data'!$DF12</f>
        <v>0</v>
      </c>
      <c r="AB12" s="20">
        <f>'Allocators Data'!AE12/'Allocators Data'!$DF12</f>
        <v>0</v>
      </c>
      <c r="AC12" s="20">
        <f>'Allocators Data'!AF12/'Allocators Data'!$DF12</f>
        <v>0</v>
      </c>
      <c r="AD12" s="20">
        <f>'Allocators Data'!AG12/'Allocators Data'!$DF12</f>
        <v>0</v>
      </c>
      <c r="AE12" s="20">
        <f>'Allocators Data'!AH12/'Allocators Data'!$DF12</f>
        <v>0</v>
      </c>
      <c r="AF12" s="22"/>
      <c r="AG12" s="20">
        <f>'Allocators Data'!AJ12/'Allocators Data'!$DF12</f>
        <v>0</v>
      </c>
      <c r="AH12" s="20">
        <f>'Allocators Data'!AK12/'Allocators Data'!$DF12</f>
        <v>0</v>
      </c>
      <c r="AI12" s="20">
        <f>'Allocators Data'!AL12/'Allocators Data'!$DF12</f>
        <v>0</v>
      </c>
      <c r="AJ12" s="20">
        <f>'Allocators Data'!AM12/'Allocators Data'!$DF12</f>
        <v>0</v>
      </c>
      <c r="AK12" s="20">
        <f>'Allocators Data'!AN12/'Allocators Data'!$DF12</f>
        <v>0</v>
      </c>
      <c r="AL12" s="21">
        <f>'Allocators Data'!AO12/'Allocators Data'!$DF12</f>
        <v>0</v>
      </c>
      <c r="AM12" s="20">
        <f>'Allocators Data'!AP12/'Allocators Data'!$DF12</f>
        <v>0</v>
      </c>
      <c r="AN12" s="20">
        <f>'Allocators Data'!AQ12/'Allocators Data'!$DF12</f>
        <v>0</v>
      </c>
      <c r="AO12" s="20">
        <f>'Allocators Data'!AR12/'Allocators Data'!$DF12</f>
        <v>0</v>
      </c>
      <c r="AP12" s="20">
        <f>'Allocators Data'!AS12/'Allocators Data'!$DF12</f>
        <v>0</v>
      </c>
      <c r="AQ12" s="20">
        <f>'Allocators Data'!AT12/'Allocators Data'!$DF12</f>
        <v>0</v>
      </c>
      <c r="AR12" s="21">
        <f>'Allocators Data'!AU12/'Allocators Data'!$DF12</f>
        <v>0</v>
      </c>
      <c r="AS12" s="20">
        <f>'Allocators Data'!AV12/'Allocators Data'!$DF12</f>
        <v>0</v>
      </c>
      <c r="AT12" s="20">
        <f>'Allocators Data'!AW12/'Allocators Data'!$DF12</f>
        <v>0</v>
      </c>
      <c r="AU12" s="20">
        <f>'Allocators Data'!AX12/'Allocators Data'!$DF12</f>
        <v>0</v>
      </c>
      <c r="AV12" s="20">
        <f>'Allocators Data'!AY12/'Allocators Data'!$DF12</f>
        <v>0</v>
      </c>
      <c r="AW12" s="20">
        <f>'Allocators Data'!AZ12/'Allocators Data'!$DF12</f>
        <v>0</v>
      </c>
      <c r="AX12" s="21">
        <f>'Allocators Data'!BA12/'Allocators Data'!$DF12</f>
        <v>0</v>
      </c>
      <c r="AY12" s="20">
        <f>'Allocators Data'!BB12/'Allocators Data'!$DF12</f>
        <v>0</v>
      </c>
      <c r="AZ12" s="20">
        <f>'Allocators Data'!BC12/'Allocators Data'!$DF12</f>
        <v>0</v>
      </c>
      <c r="BA12" s="20">
        <f>'Allocators Data'!BD12/'Allocators Data'!$DF12</f>
        <v>0</v>
      </c>
      <c r="BB12" s="20">
        <f>'Allocators Data'!BE12/'Allocators Data'!$DF12</f>
        <v>0</v>
      </c>
      <c r="BC12" s="20">
        <f>'Allocators Data'!BF12/'Allocators Data'!$DF12</f>
        <v>0</v>
      </c>
      <c r="BD12" s="21">
        <f>'Allocators Data'!BG12/'Allocators Data'!$DF12</f>
        <v>0</v>
      </c>
      <c r="BE12" s="20">
        <f>'Allocators Data'!BH12/'Allocators Data'!$DF12</f>
        <v>0</v>
      </c>
      <c r="BF12" s="20">
        <f>'Allocators Data'!BI12/'Allocators Data'!$DF12</f>
        <v>0</v>
      </c>
      <c r="BG12" s="20">
        <f>'Allocators Data'!BJ12/'Allocators Data'!$DF12</f>
        <v>0</v>
      </c>
      <c r="BH12" s="20">
        <f>'Allocators Data'!BK12/'Allocators Data'!$DF12</f>
        <v>0</v>
      </c>
      <c r="BI12" s="20">
        <f>'Allocators Data'!BL12/'Allocators Data'!$DF12</f>
        <v>0</v>
      </c>
      <c r="BJ12" s="21">
        <f>'Allocators Data'!BM12/'Allocators Data'!$DF12</f>
        <v>0</v>
      </c>
      <c r="BK12" s="20">
        <f>'Allocators Data'!BN12/'Allocators Data'!$DF12</f>
        <v>0</v>
      </c>
      <c r="BL12" s="20">
        <f>'Allocators Data'!BO12/'Allocators Data'!$DF12</f>
        <v>0</v>
      </c>
      <c r="BM12" s="20">
        <f>'Allocators Data'!BP12/'Allocators Data'!$DF12</f>
        <v>0</v>
      </c>
      <c r="BN12" s="20">
        <f>'Allocators Data'!BQ12/'Allocators Data'!$DF12</f>
        <v>0</v>
      </c>
      <c r="BO12" s="20">
        <f>'Allocators Data'!BR12/'Allocators Data'!$DF12</f>
        <v>0</v>
      </c>
      <c r="BP12" s="21">
        <f>'Allocators Data'!BS12/'Allocators Data'!$DF12</f>
        <v>0</v>
      </c>
      <c r="BQ12" s="20">
        <f>'Allocators Data'!BT12/'Allocators Data'!$DF12</f>
        <v>0</v>
      </c>
      <c r="BR12" s="20">
        <f>'Allocators Data'!BU12/'Allocators Data'!$DF12</f>
        <v>0</v>
      </c>
      <c r="BS12" s="20">
        <f>'Allocators Data'!BV12/'Allocators Data'!$DF12</f>
        <v>0</v>
      </c>
      <c r="BT12" s="20">
        <f>'Allocators Data'!BW12/'Allocators Data'!$DF12</f>
        <v>0</v>
      </c>
      <c r="BU12" s="20">
        <f>'Allocators Data'!BX12/'Allocators Data'!$DF12</f>
        <v>0</v>
      </c>
      <c r="BV12" s="21">
        <f>'Allocators Data'!BY12/'Allocators Data'!$DF12</f>
        <v>0</v>
      </c>
      <c r="BW12" s="22"/>
      <c r="BX12" s="20">
        <f>'Allocators Data'!CA12/'Allocators Data'!$DF12</f>
        <v>0</v>
      </c>
      <c r="BY12" s="20">
        <f>'Allocators Data'!CB12/'Allocators Data'!$DF12</f>
        <v>0</v>
      </c>
      <c r="BZ12" s="20">
        <f>'Allocators Data'!CC12/'Allocators Data'!$DF12</f>
        <v>0</v>
      </c>
      <c r="CA12" s="20">
        <f>'Allocators Data'!CD12/'Allocators Data'!$DF12</f>
        <v>0</v>
      </c>
      <c r="CB12" s="20">
        <f>'Allocators Data'!CE12/'Allocators Data'!$DF12</f>
        <v>0</v>
      </c>
      <c r="CC12" s="20">
        <f>'Allocators Data'!CF12/'Allocators Data'!$DF12</f>
        <v>0</v>
      </c>
      <c r="CD12" s="20">
        <f>'Allocators Data'!CG12/'Allocators Data'!$DF12</f>
        <v>0</v>
      </c>
      <c r="CE12" s="20">
        <f>'Allocators Data'!CH12/'Allocators Data'!$DF12</f>
        <v>0</v>
      </c>
      <c r="CF12" s="20">
        <f>'Allocators Data'!CI12/'Allocators Data'!$DF12</f>
        <v>0</v>
      </c>
      <c r="CG12" s="20">
        <f>'Allocators Data'!CJ12/'Allocators Data'!$DF12</f>
        <v>0</v>
      </c>
      <c r="CH12" s="22"/>
      <c r="CI12" s="20">
        <f>'Allocators Data'!CL12/'Allocators Data'!$DF12</f>
        <v>0.36814805195404088</v>
      </c>
      <c r="CJ12" s="20">
        <f>'Allocators Data'!CM12/'Allocators Data'!$DF12</f>
        <v>0.44033702785811829</v>
      </c>
      <c r="CK12" s="20">
        <f>'Allocators Data'!CN12/'Allocators Data'!$DF12</f>
        <v>0.12176591217139378</v>
      </c>
      <c r="CL12" s="29">
        <f>'Allocators Data'!CO12/'Allocators Data'!$DF12</f>
        <v>2.1299686522316015E-2</v>
      </c>
      <c r="CM12" s="20">
        <f>'Allocators Data'!CP12/'Allocators Data'!$DF12</f>
        <v>3.5000160144809764E-2</v>
      </c>
      <c r="CN12" s="20">
        <f>'Allocators Data'!CQ12/'Allocators Data'!$DF12</f>
        <v>1.3449161349321167E-2</v>
      </c>
      <c r="CO12" s="22"/>
      <c r="CP12" s="20">
        <f>'Allocators Data'!CS12/'Allocators Data'!$DF12</f>
        <v>0</v>
      </c>
      <c r="CQ12" s="20">
        <f>'Allocators Data'!CT12/'Allocators Data'!$DF12</f>
        <v>0</v>
      </c>
      <c r="CR12" s="22"/>
      <c r="CS12" s="20">
        <f>'Allocators Data'!CV12/'Allocators Data'!$DF12</f>
        <v>0</v>
      </c>
      <c r="CT12" s="20">
        <f>'Allocators Data'!CW12/'Allocators Data'!$DF12</f>
        <v>0</v>
      </c>
      <c r="CU12" s="20">
        <f>'Allocators Data'!CX12/'Allocators Data'!$DF12</f>
        <v>0</v>
      </c>
      <c r="CV12" s="20">
        <f>'Allocators Data'!CY12/'Allocators Data'!$DF12</f>
        <v>0</v>
      </c>
      <c r="CW12" s="20">
        <f>'Allocators Data'!CZ12/'Allocators Data'!$DF12</f>
        <v>0</v>
      </c>
      <c r="CX12" s="20">
        <f>'Allocators Data'!DA12/'Allocators Data'!$DF12</f>
        <v>0</v>
      </c>
      <c r="CY12" s="20">
        <f>'Allocators Data'!DB12/'Allocators Data'!$DF12</f>
        <v>0</v>
      </c>
      <c r="CZ12" s="20">
        <f>'Allocators Data'!DC12/'Allocators Data'!$DF12</f>
        <v>0</v>
      </c>
      <c r="DA12" s="20">
        <f>'Allocators Data'!DD12/'Allocators Data'!$DF12</f>
        <v>0</v>
      </c>
      <c r="DB12" s="22"/>
      <c r="DC12" s="20">
        <f t="shared" si="1"/>
        <v>1</v>
      </c>
    </row>
    <row r="13" spans="1:107" x14ac:dyDescent="0.2">
      <c r="A13">
        <v>11</v>
      </c>
      <c r="B13" t="s">
        <v>242</v>
      </c>
      <c r="C13" s="20">
        <f>'Allocators Data'!F13/'Allocators Data'!$DF13</f>
        <v>0</v>
      </c>
      <c r="D13" s="20">
        <f>'Allocators Data'!G13/'Allocators Data'!$DF13</f>
        <v>0</v>
      </c>
      <c r="E13" s="20">
        <f>'Allocators Data'!H13/'Allocators Data'!$DF13</f>
        <v>0</v>
      </c>
      <c r="F13" s="20">
        <f>'Allocators Data'!I13/'Allocators Data'!$DF13</f>
        <v>0</v>
      </c>
      <c r="G13" s="31">
        <f>'Allocators Data'!J13/'Allocators Data'!$DF13</f>
        <v>0</v>
      </c>
      <c r="H13" s="20">
        <f>'Allocators Data'!K13/'Allocators Data'!$DF13</f>
        <v>0</v>
      </c>
      <c r="I13" s="20">
        <f>'Allocators Data'!L13/'Allocators Data'!$DF13</f>
        <v>0</v>
      </c>
      <c r="J13" s="20">
        <f>'Allocators Data'!M13/'Allocators Data'!$DF13</f>
        <v>0</v>
      </c>
      <c r="K13" s="21">
        <f>'Allocators Data'!N13/'Allocators Data'!$DF13</f>
        <v>0</v>
      </c>
      <c r="L13" s="20">
        <f>'Allocators Data'!O13/'Allocators Data'!$DF13</f>
        <v>0</v>
      </c>
      <c r="M13" s="20">
        <f>'Allocators Data'!P13/'Allocators Data'!$DF13</f>
        <v>0</v>
      </c>
      <c r="N13" s="20">
        <f>'Allocators Data'!Q13/'Allocators Data'!$DF13</f>
        <v>0</v>
      </c>
      <c r="O13" s="21">
        <f>'Allocators Data'!R13/'Allocators Data'!$DF13</f>
        <v>0</v>
      </c>
      <c r="P13" s="20">
        <f>'Allocators Data'!S13/'Allocators Data'!$DF13</f>
        <v>0</v>
      </c>
      <c r="Q13" s="20">
        <f>'Allocators Data'!T13/'Allocators Data'!$DF13</f>
        <v>0</v>
      </c>
      <c r="R13" s="20">
        <f>'Allocators Data'!U13/'Allocators Data'!$DF13</f>
        <v>0</v>
      </c>
      <c r="S13" s="21">
        <f>'Allocators Data'!V13/'Allocators Data'!$DF13</f>
        <v>0</v>
      </c>
      <c r="T13" s="20">
        <f>'Allocators Data'!W13/'Allocators Data'!$DF13</f>
        <v>0</v>
      </c>
      <c r="U13" s="20">
        <f>'Allocators Data'!X13/'Allocators Data'!$DF13</f>
        <v>0</v>
      </c>
      <c r="V13" s="20">
        <f>'Allocators Data'!Y13/'Allocators Data'!$DF13</f>
        <v>0</v>
      </c>
      <c r="W13" s="20">
        <f>'Allocators Data'!Z13/'Allocators Data'!$DF13</f>
        <v>0</v>
      </c>
      <c r="X13" s="22"/>
      <c r="Y13" s="20">
        <f>'Allocators Data'!AB13/'Allocators Data'!$DF13</f>
        <v>0</v>
      </c>
      <c r="Z13" s="20">
        <f>'Allocators Data'!AC13/'Allocators Data'!$DF13</f>
        <v>0</v>
      </c>
      <c r="AA13" s="20">
        <f>'Allocators Data'!AD13/'Allocators Data'!$DF13</f>
        <v>0</v>
      </c>
      <c r="AB13" s="20">
        <f>'Allocators Data'!AE13/'Allocators Data'!$DF13</f>
        <v>0</v>
      </c>
      <c r="AC13" s="20">
        <f>'Allocators Data'!AF13/'Allocators Data'!$DF13</f>
        <v>0</v>
      </c>
      <c r="AD13" s="20">
        <f>'Allocators Data'!AG13/'Allocators Data'!$DF13</f>
        <v>0</v>
      </c>
      <c r="AE13" s="20">
        <f>'Allocators Data'!AH13/'Allocators Data'!$DF13</f>
        <v>0</v>
      </c>
      <c r="AF13" s="22"/>
      <c r="AG13" s="20">
        <f>'Allocators Data'!AJ13/'Allocators Data'!$DF13</f>
        <v>0</v>
      </c>
      <c r="AH13" s="20">
        <f>'Allocators Data'!AK13/'Allocators Data'!$DF13</f>
        <v>0</v>
      </c>
      <c r="AI13" s="20">
        <f>'Allocators Data'!AL13/'Allocators Data'!$DF13</f>
        <v>0</v>
      </c>
      <c r="AJ13" s="20">
        <f>'Allocators Data'!AM13/'Allocators Data'!$DF13</f>
        <v>0</v>
      </c>
      <c r="AK13" s="20">
        <f>'Allocators Data'!AN13/'Allocators Data'!$DF13</f>
        <v>0</v>
      </c>
      <c r="AL13" s="21">
        <f>'Allocators Data'!AO13/'Allocators Data'!$DF13</f>
        <v>0</v>
      </c>
      <c r="AM13" s="20">
        <f>'Allocators Data'!AP13/'Allocators Data'!$DF13</f>
        <v>0</v>
      </c>
      <c r="AN13" s="20">
        <f>'Allocators Data'!AQ13/'Allocators Data'!$DF13</f>
        <v>0</v>
      </c>
      <c r="AO13" s="20">
        <f>'Allocators Data'!AR13/'Allocators Data'!$DF13</f>
        <v>0</v>
      </c>
      <c r="AP13" s="20">
        <f>'Allocators Data'!AS13/'Allocators Data'!$DF13</f>
        <v>0</v>
      </c>
      <c r="AQ13" s="20">
        <f>'Allocators Data'!AT13/'Allocators Data'!$DF13</f>
        <v>0</v>
      </c>
      <c r="AR13" s="21">
        <f>'Allocators Data'!AU13/'Allocators Data'!$DF13</f>
        <v>0</v>
      </c>
      <c r="AS13" s="20">
        <f>'Allocators Data'!AV13/'Allocators Data'!$DF13</f>
        <v>0</v>
      </c>
      <c r="AT13" s="20">
        <f>'Allocators Data'!AW13/'Allocators Data'!$DF13</f>
        <v>0</v>
      </c>
      <c r="AU13" s="20">
        <f>'Allocators Data'!AX13/'Allocators Data'!$DF13</f>
        <v>0</v>
      </c>
      <c r="AV13" s="20">
        <f>'Allocators Data'!AY13/'Allocators Data'!$DF13</f>
        <v>0</v>
      </c>
      <c r="AW13" s="20">
        <f>'Allocators Data'!AZ13/'Allocators Data'!$DF13</f>
        <v>0</v>
      </c>
      <c r="AX13" s="21">
        <f>'Allocators Data'!BA13/'Allocators Data'!$DF13</f>
        <v>0</v>
      </c>
      <c r="AY13" s="20">
        <f>'Allocators Data'!BB13/'Allocators Data'!$DF13</f>
        <v>0</v>
      </c>
      <c r="AZ13" s="20">
        <f>'Allocators Data'!BC13/'Allocators Data'!$DF13</f>
        <v>0</v>
      </c>
      <c r="BA13" s="20">
        <f>'Allocators Data'!BD13/'Allocators Data'!$DF13</f>
        <v>0</v>
      </c>
      <c r="BB13" s="20">
        <f>'Allocators Data'!BE13/'Allocators Data'!$DF13</f>
        <v>0</v>
      </c>
      <c r="BC13" s="20">
        <f>'Allocators Data'!BF13/'Allocators Data'!$DF13</f>
        <v>0</v>
      </c>
      <c r="BD13" s="21">
        <f>'Allocators Data'!BG13/'Allocators Data'!$DF13</f>
        <v>0</v>
      </c>
      <c r="BE13" s="20">
        <f>'Allocators Data'!BH13/'Allocators Data'!$DF13</f>
        <v>0</v>
      </c>
      <c r="BF13" s="20">
        <f>'Allocators Data'!BI13/'Allocators Data'!$DF13</f>
        <v>0</v>
      </c>
      <c r="BG13" s="20">
        <f>'Allocators Data'!BJ13/'Allocators Data'!$DF13</f>
        <v>0</v>
      </c>
      <c r="BH13" s="20">
        <f>'Allocators Data'!BK13/'Allocators Data'!$DF13</f>
        <v>0</v>
      </c>
      <c r="BI13" s="20">
        <f>'Allocators Data'!BL13/'Allocators Data'!$DF13</f>
        <v>0</v>
      </c>
      <c r="BJ13" s="21">
        <f>'Allocators Data'!BM13/'Allocators Data'!$DF13</f>
        <v>0</v>
      </c>
      <c r="BK13" s="20">
        <f>'Allocators Data'!BN13/'Allocators Data'!$DF13</f>
        <v>0</v>
      </c>
      <c r="BL13" s="20">
        <f>'Allocators Data'!BO13/'Allocators Data'!$DF13</f>
        <v>0</v>
      </c>
      <c r="BM13" s="20">
        <f>'Allocators Data'!BP13/'Allocators Data'!$DF13</f>
        <v>0</v>
      </c>
      <c r="BN13" s="20">
        <f>'Allocators Data'!BQ13/'Allocators Data'!$DF13</f>
        <v>0</v>
      </c>
      <c r="BO13" s="20">
        <f>'Allocators Data'!BR13/'Allocators Data'!$DF13</f>
        <v>0</v>
      </c>
      <c r="BP13" s="21">
        <f>'Allocators Data'!BS13/'Allocators Data'!$DF13</f>
        <v>0</v>
      </c>
      <c r="BQ13" s="20">
        <f>'Allocators Data'!BT13/'Allocators Data'!$DF13</f>
        <v>0</v>
      </c>
      <c r="BR13" s="20">
        <f>'Allocators Data'!BU13/'Allocators Data'!$DF13</f>
        <v>0</v>
      </c>
      <c r="BS13" s="20">
        <f>'Allocators Data'!BV13/'Allocators Data'!$DF13</f>
        <v>0</v>
      </c>
      <c r="BT13" s="20">
        <f>'Allocators Data'!BW13/'Allocators Data'!$DF13</f>
        <v>0</v>
      </c>
      <c r="BU13" s="20">
        <f>'Allocators Data'!BX13/'Allocators Data'!$DF13</f>
        <v>0</v>
      </c>
      <c r="BV13" s="21">
        <f>'Allocators Data'!BY13/'Allocators Data'!$DF13</f>
        <v>0</v>
      </c>
      <c r="BW13" s="22"/>
      <c r="BX13" s="20">
        <f>'Allocators Data'!CA13/'Allocators Data'!$DF13</f>
        <v>0</v>
      </c>
      <c r="BY13" s="20">
        <f>'Allocators Data'!CB13/'Allocators Data'!$DF13</f>
        <v>0</v>
      </c>
      <c r="BZ13" s="20">
        <f>'Allocators Data'!CC13/'Allocators Data'!$DF13</f>
        <v>0</v>
      </c>
      <c r="CA13" s="20">
        <f>'Allocators Data'!CD13/'Allocators Data'!$DF13</f>
        <v>0</v>
      </c>
      <c r="CB13" s="20">
        <f>'Allocators Data'!CE13/'Allocators Data'!$DF13</f>
        <v>0</v>
      </c>
      <c r="CC13" s="20">
        <f>'Allocators Data'!CF13/'Allocators Data'!$DF13</f>
        <v>0</v>
      </c>
      <c r="CD13" s="20">
        <f>'Allocators Data'!CG13/'Allocators Data'!$DF13</f>
        <v>0</v>
      </c>
      <c r="CE13" s="20">
        <f>'Allocators Data'!CH13/'Allocators Data'!$DF13</f>
        <v>0</v>
      </c>
      <c r="CF13" s="20">
        <f>'Allocators Data'!CI13/'Allocators Data'!$DF13</f>
        <v>0</v>
      </c>
      <c r="CG13" s="20">
        <f>'Allocators Data'!CJ13/'Allocators Data'!$DF13</f>
        <v>0</v>
      </c>
      <c r="CH13" s="22"/>
      <c r="CI13" s="20">
        <f>'Allocators Data'!CL13/'Allocators Data'!$DF13</f>
        <v>0.34661442187756647</v>
      </c>
      <c r="CJ13" s="20">
        <f>'Allocators Data'!CM13/'Allocators Data'!$DF13</f>
        <v>0.42045993715924457</v>
      </c>
      <c r="CK13" s="20">
        <f>'Allocators Data'!CN13/'Allocators Data'!$DF13</f>
        <v>0.15408237709960354</v>
      </c>
      <c r="CL13" s="29">
        <f>'Allocators Data'!CO13/'Allocators Data'!$DF13</f>
        <v>2.0139225293825037E-2</v>
      </c>
      <c r="CM13" s="20">
        <f>'Allocators Data'!CP13/'Allocators Data'!$DF13</f>
        <v>3.7608601419562349E-2</v>
      </c>
      <c r="CN13" s="20">
        <f>'Allocators Data'!CQ13/'Allocators Data'!$DF13</f>
        <v>2.1095437150198067E-2</v>
      </c>
      <c r="CO13" s="22"/>
      <c r="CP13" s="20">
        <f>'Allocators Data'!CS13/'Allocators Data'!$DF13</f>
        <v>0</v>
      </c>
      <c r="CQ13" s="20">
        <f>'Allocators Data'!CT13/'Allocators Data'!$DF13</f>
        <v>0</v>
      </c>
      <c r="CR13" s="22"/>
      <c r="CS13" s="20">
        <f>'Allocators Data'!CV13/'Allocators Data'!$DF13</f>
        <v>0</v>
      </c>
      <c r="CT13" s="20">
        <f>'Allocators Data'!CW13/'Allocators Data'!$DF13</f>
        <v>0</v>
      </c>
      <c r="CU13" s="20">
        <f>'Allocators Data'!CX13/'Allocators Data'!$DF13</f>
        <v>0</v>
      </c>
      <c r="CV13" s="20">
        <f>'Allocators Data'!CY13/'Allocators Data'!$DF13</f>
        <v>0</v>
      </c>
      <c r="CW13" s="20">
        <f>'Allocators Data'!CZ13/'Allocators Data'!$DF13</f>
        <v>0</v>
      </c>
      <c r="CX13" s="20">
        <f>'Allocators Data'!DA13/'Allocators Data'!$DF13</f>
        <v>0</v>
      </c>
      <c r="CY13" s="20">
        <f>'Allocators Data'!DB13/'Allocators Data'!$DF13</f>
        <v>0</v>
      </c>
      <c r="CZ13" s="20">
        <f>'Allocators Data'!DC13/'Allocators Data'!$DF13</f>
        <v>0</v>
      </c>
      <c r="DA13" s="20">
        <f>'Allocators Data'!DD13/'Allocators Data'!$DF13</f>
        <v>0</v>
      </c>
      <c r="DB13" s="22"/>
      <c r="DC13" s="20">
        <f t="shared" si="1"/>
        <v>1</v>
      </c>
    </row>
    <row r="14" spans="1:107" x14ac:dyDescent="0.2">
      <c r="A14">
        <v>12</v>
      </c>
      <c r="B14" t="s">
        <v>243</v>
      </c>
      <c r="C14" s="20">
        <f>'Allocators Data'!F14/'Allocators Data'!$DF14</f>
        <v>0</v>
      </c>
      <c r="D14" s="20">
        <f>'Allocators Data'!G14/'Allocators Data'!$DF14</f>
        <v>0</v>
      </c>
      <c r="E14" s="20">
        <f>'Allocators Data'!H14/'Allocators Data'!$DF14</f>
        <v>0</v>
      </c>
      <c r="F14" s="20">
        <f>'Allocators Data'!I14/'Allocators Data'!$DF14</f>
        <v>0</v>
      </c>
      <c r="G14" s="31">
        <f>'Allocators Data'!J14/'Allocators Data'!$DF14</f>
        <v>0</v>
      </c>
      <c r="H14" s="20">
        <f>'Allocators Data'!K14/'Allocators Data'!$DF14</f>
        <v>0</v>
      </c>
      <c r="I14" s="20">
        <f>'Allocators Data'!L14/'Allocators Data'!$DF14</f>
        <v>0</v>
      </c>
      <c r="J14" s="20">
        <f>'Allocators Data'!M14/'Allocators Data'!$DF14</f>
        <v>0</v>
      </c>
      <c r="K14" s="21">
        <f>'Allocators Data'!N14/'Allocators Data'!$DF14</f>
        <v>0</v>
      </c>
      <c r="L14" s="20">
        <f>'Allocators Data'!O14/'Allocators Data'!$DF14</f>
        <v>0</v>
      </c>
      <c r="M14" s="20">
        <f>'Allocators Data'!P14/'Allocators Data'!$DF14</f>
        <v>0</v>
      </c>
      <c r="N14" s="20">
        <f>'Allocators Data'!Q14/'Allocators Data'!$DF14</f>
        <v>0</v>
      </c>
      <c r="O14" s="21">
        <f>'Allocators Data'!R14/'Allocators Data'!$DF14</f>
        <v>0</v>
      </c>
      <c r="P14" s="20">
        <f>'Allocators Data'!S14/'Allocators Data'!$DF14</f>
        <v>0</v>
      </c>
      <c r="Q14" s="20">
        <f>'Allocators Data'!T14/'Allocators Data'!$DF14</f>
        <v>0</v>
      </c>
      <c r="R14" s="20">
        <f>'Allocators Data'!U14/'Allocators Data'!$DF14</f>
        <v>0</v>
      </c>
      <c r="S14" s="21">
        <f>'Allocators Data'!V14/'Allocators Data'!$DF14</f>
        <v>0</v>
      </c>
      <c r="T14" s="20">
        <f>'Allocators Data'!W14/'Allocators Data'!$DF14</f>
        <v>0</v>
      </c>
      <c r="U14" s="20">
        <f>'Allocators Data'!X14/'Allocators Data'!$DF14</f>
        <v>0</v>
      </c>
      <c r="V14" s="20">
        <f>'Allocators Data'!Y14/'Allocators Data'!$DF14</f>
        <v>0</v>
      </c>
      <c r="W14" s="20">
        <f>'Allocators Data'!Z14/'Allocators Data'!$DF14</f>
        <v>0</v>
      </c>
      <c r="X14" s="22"/>
      <c r="Y14" s="20">
        <f>'Allocators Data'!AB14/'Allocators Data'!$DF14</f>
        <v>0</v>
      </c>
      <c r="Z14" s="20">
        <f>'Allocators Data'!AC14/'Allocators Data'!$DF14</f>
        <v>0</v>
      </c>
      <c r="AA14" s="20">
        <f>'Allocators Data'!AD14/'Allocators Data'!$DF14</f>
        <v>0</v>
      </c>
      <c r="AB14" s="20">
        <f>'Allocators Data'!AE14/'Allocators Data'!$DF14</f>
        <v>0</v>
      </c>
      <c r="AC14" s="20">
        <f>'Allocators Data'!AF14/'Allocators Data'!$DF14</f>
        <v>0</v>
      </c>
      <c r="AD14" s="20">
        <f>'Allocators Data'!AG14/'Allocators Data'!$DF14</f>
        <v>0</v>
      </c>
      <c r="AE14" s="20">
        <f>'Allocators Data'!AH14/'Allocators Data'!$DF14</f>
        <v>0</v>
      </c>
      <c r="AF14" s="22"/>
      <c r="AG14" s="20">
        <f>'Allocators Data'!AJ14/'Allocators Data'!$DF14</f>
        <v>0</v>
      </c>
      <c r="AH14" s="20">
        <f>'Allocators Data'!AK14/'Allocators Data'!$DF14</f>
        <v>0</v>
      </c>
      <c r="AI14" s="20">
        <f>'Allocators Data'!AL14/'Allocators Data'!$DF14</f>
        <v>0</v>
      </c>
      <c r="AJ14" s="20">
        <f>'Allocators Data'!AM14/'Allocators Data'!$DF14</f>
        <v>0</v>
      </c>
      <c r="AK14" s="20">
        <f>'Allocators Data'!AN14/'Allocators Data'!$DF14</f>
        <v>0</v>
      </c>
      <c r="AL14" s="21">
        <f>'Allocators Data'!AO14/'Allocators Data'!$DF14</f>
        <v>0</v>
      </c>
      <c r="AM14" s="20">
        <f>'Allocators Data'!AP14/'Allocators Data'!$DF14</f>
        <v>0</v>
      </c>
      <c r="AN14" s="20">
        <f>'Allocators Data'!AQ14/'Allocators Data'!$DF14</f>
        <v>0</v>
      </c>
      <c r="AO14" s="20">
        <f>'Allocators Data'!AR14/'Allocators Data'!$DF14</f>
        <v>0</v>
      </c>
      <c r="AP14" s="20">
        <f>'Allocators Data'!AS14/'Allocators Data'!$DF14</f>
        <v>0</v>
      </c>
      <c r="AQ14" s="20">
        <f>'Allocators Data'!AT14/'Allocators Data'!$DF14</f>
        <v>0</v>
      </c>
      <c r="AR14" s="21">
        <f>'Allocators Data'!AU14/'Allocators Data'!$DF14</f>
        <v>0</v>
      </c>
      <c r="AS14" s="20">
        <f>'Allocators Data'!AV14/'Allocators Data'!$DF14</f>
        <v>0</v>
      </c>
      <c r="AT14" s="20">
        <f>'Allocators Data'!AW14/'Allocators Data'!$DF14</f>
        <v>0</v>
      </c>
      <c r="AU14" s="20">
        <f>'Allocators Data'!AX14/'Allocators Data'!$DF14</f>
        <v>0</v>
      </c>
      <c r="AV14" s="20">
        <f>'Allocators Data'!AY14/'Allocators Data'!$DF14</f>
        <v>0</v>
      </c>
      <c r="AW14" s="20">
        <f>'Allocators Data'!AZ14/'Allocators Data'!$DF14</f>
        <v>0</v>
      </c>
      <c r="AX14" s="21">
        <f>'Allocators Data'!BA14/'Allocators Data'!$DF14</f>
        <v>0</v>
      </c>
      <c r="AY14" s="20">
        <f>'Allocators Data'!BB14/'Allocators Data'!$DF14</f>
        <v>0</v>
      </c>
      <c r="AZ14" s="20">
        <f>'Allocators Data'!BC14/'Allocators Data'!$DF14</f>
        <v>0</v>
      </c>
      <c r="BA14" s="20">
        <f>'Allocators Data'!BD14/'Allocators Data'!$DF14</f>
        <v>0</v>
      </c>
      <c r="BB14" s="20">
        <f>'Allocators Data'!BE14/'Allocators Data'!$DF14</f>
        <v>0</v>
      </c>
      <c r="BC14" s="20">
        <f>'Allocators Data'!BF14/'Allocators Data'!$DF14</f>
        <v>0</v>
      </c>
      <c r="BD14" s="21">
        <f>'Allocators Data'!BG14/'Allocators Data'!$DF14</f>
        <v>0</v>
      </c>
      <c r="BE14" s="20">
        <f>'Allocators Data'!BH14/'Allocators Data'!$DF14</f>
        <v>0</v>
      </c>
      <c r="BF14" s="20">
        <f>'Allocators Data'!BI14/'Allocators Data'!$DF14</f>
        <v>0</v>
      </c>
      <c r="BG14" s="20">
        <f>'Allocators Data'!BJ14/'Allocators Data'!$DF14</f>
        <v>0</v>
      </c>
      <c r="BH14" s="20">
        <f>'Allocators Data'!BK14/'Allocators Data'!$DF14</f>
        <v>0</v>
      </c>
      <c r="BI14" s="20">
        <f>'Allocators Data'!BL14/'Allocators Data'!$DF14</f>
        <v>0</v>
      </c>
      <c r="BJ14" s="21">
        <f>'Allocators Data'!BM14/'Allocators Data'!$DF14</f>
        <v>0</v>
      </c>
      <c r="BK14" s="20">
        <f>'Allocators Data'!BN14/'Allocators Data'!$DF14</f>
        <v>0</v>
      </c>
      <c r="BL14" s="20">
        <f>'Allocators Data'!BO14/'Allocators Data'!$DF14</f>
        <v>0</v>
      </c>
      <c r="BM14" s="20">
        <f>'Allocators Data'!BP14/'Allocators Data'!$DF14</f>
        <v>0</v>
      </c>
      <c r="BN14" s="20">
        <f>'Allocators Data'!BQ14/'Allocators Data'!$DF14</f>
        <v>0</v>
      </c>
      <c r="BO14" s="20">
        <f>'Allocators Data'!BR14/'Allocators Data'!$DF14</f>
        <v>0</v>
      </c>
      <c r="BP14" s="21">
        <f>'Allocators Data'!BS14/'Allocators Data'!$DF14</f>
        <v>0</v>
      </c>
      <c r="BQ14" s="20">
        <f>'Allocators Data'!BT14/'Allocators Data'!$DF14</f>
        <v>0</v>
      </c>
      <c r="BR14" s="20">
        <f>'Allocators Data'!BU14/'Allocators Data'!$DF14</f>
        <v>0</v>
      </c>
      <c r="BS14" s="20">
        <f>'Allocators Data'!BV14/'Allocators Data'!$DF14</f>
        <v>0</v>
      </c>
      <c r="BT14" s="20">
        <f>'Allocators Data'!BW14/'Allocators Data'!$DF14</f>
        <v>0</v>
      </c>
      <c r="BU14" s="20">
        <f>'Allocators Data'!BX14/'Allocators Data'!$DF14</f>
        <v>0</v>
      </c>
      <c r="BV14" s="21">
        <f>'Allocators Data'!BY14/'Allocators Data'!$DF14</f>
        <v>0</v>
      </c>
      <c r="BW14" s="22"/>
      <c r="BX14" s="20">
        <f>'Allocators Data'!CA14/'Allocators Data'!$DF14</f>
        <v>0</v>
      </c>
      <c r="BY14" s="20">
        <f>'Allocators Data'!CB14/'Allocators Data'!$DF14</f>
        <v>0</v>
      </c>
      <c r="BZ14" s="20">
        <f>'Allocators Data'!CC14/'Allocators Data'!$DF14</f>
        <v>0</v>
      </c>
      <c r="CA14" s="20">
        <f>'Allocators Data'!CD14/'Allocators Data'!$DF14</f>
        <v>0</v>
      </c>
      <c r="CB14" s="20">
        <f>'Allocators Data'!CE14/'Allocators Data'!$DF14</f>
        <v>0</v>
      </c>
      <c r="CC14" s="20">
        <f>'Allocators Data'!CF14/'Allocators Data'!$DF14</f>
        <v>0</v>
      </c>
      <c r="CD14" s="20">
        <f>'Allocators Data'!CG14/'Allocators Data'!$DF14</f>
        <v>0</v>
      </c>
      <c r="CE14" s="20">
        <f>'Allocators Data'!CH14/'Allocators Data'!$DF14</f>
        <v>0</v>
      </c>
      <c r="CF14" s="20">
        <f>'Allocators Data'!CI14/'Allocators Data'!$DF14</f>
        <v>0</v>
      </c>
      <c r="CG14" s="20">
        <f>'Allocators Data'!CJ14/'Allocators Data'!$DF14</f>
        <v>0</v>
      </c>
      <c r="CH14" s="22"/>
      <c r="CI14" s="20">
        <f>'Allocators Data'!CL14/'Allocators Data'!$DF14</f>
        <v>0.24774084986058456</v>
      </c>
      <c r="CJ14" s="20">
        <f>'Allocators Data'!CM14/'Allocators Data'!$DF14</f>
        <v>0.37505652906271997</v>
      </c>
      <c r="CK14" s="20">
        <f>'Allocators Data'!CN14/'Allocators Data'!$DF14</f>
        <v>0.28706008609549893</v>
      </c>
      <c r="CL14" s="29">
        <f>'Allocators Data'!CO14/'Allocators Data'!$DF14</f>
        <v>1.4050732744372978E-2</v>
      </c>
      <c r="CM14" s="20">
        <f>'Allocators Data'!CP14/'Allocators Data'!$DF14</f>
        <v>3.0681683013907932E-2</v>
      </c>
      <c r="CN14" s="20">
        <f>'Allocators Data'!CQ14/'Allocators Data'!$DF14</f>
        <v>4.5410119222915712E-2</v>
      </c>
      <c r="CO14" s="22"/>
      <c r="CP14" s="20">
        <f>'Allocators Data'!CS14/'Allocators Data'!$DF14</f>
        <v>0</v>
      </c>
      <c r="CQ14" s="20">
        <f>'Allocators Data'!CT14/'Allocators Data'!$DF14</f>
        <v>0</v>
      </c>
      <c r="CR14" s="22"/>
      <c r="CS14" s="20">
        <f>'Allocators Data'!CV14/'Allocators Data'!$DF14</f>
        <v>0</v>
      </c>
      <c r="CT14" s="20">
        <f>'Allocators Data'!CW14/'Allocators Data'!$DF14</f>
        <v>0</v>
      </c>
      <c r="CU14" s="20">
        <f>'Allocators Data'!CX14/'Allocators Data'!$DF14</f>
        <v>0</v>
      </c>
      <c r="CV14" s="20">
        <f>'Allocators Data'!CY14/'Allocators Data'!$DF14</f>
        <v>0</v>
      </c>
      <c r="CW14" s="20">
        <f>'Allocators Data'!CZ14/'Allocators Data'!$DF14</f>
        <v>0</v>
      </c>
      <c r="CX14" s="20">
        <f>'Allocators Data'!DA14/'Allocators Data'!$DF14</f>
        <v>0</v>
      </c>
      <c r="CY14" s="20">
        <f>'Allocators Data'!DB14/'Allocators Data'!$DF14</f>
        <v>0</v>
      </c>
      <c r="CZ14" s="20">
        <f>'Allocators Data'!DC14/'Allocators Data'!$DF14</f>
        <v>0</v>
      </c>
      <c r="DA14" s="20">
        <f>'Allocators Data'!DD14/'Allocators Data'!$DF14</f>
        <v>0</v>
      </c>
      <c r="DB14" s="22"/>
      <c r="DC14" s="20">
        <f t="shared" si="1"/>
        <v>1</v>
      </c>
    </row>
    <row r="15" spans="1:107" x14ac:dyDescent="0.2">
      <c r="B15" s="11"/>
      <c r="C15" s="11"/>
      <c r="D15" s="11"/>
      <c r="E15" s="11"/>
      <c r="F15" s="14"/>
      <c r="G15" s="16"/>
      <c r="H15" s="11"/>
      <c r="I15" s="11"/>
      <c r="J15" s="11"/>
      <c r="K15" s="14"/>
      <c r="L15" s="11"/>
      <c r="M15" s="11"/>
      <c r="N15" s="11"/>
      <c r="O15" s="14"/>
      <c r="P15" s="11"/>
      <c r="Q15" s="11"/>
      <c r="R15" s="11"/>
      <c r="S15" s="14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4"/>
      <c r="AM15" s="11"/>
      <c r="AN15" s="11"/>
      <c r="AO15" s="11"/>
      <c r="AP15" s="11"/>
      <c r="AQ15" s="11"/>
      <c r="AR15" s="14"/>
      <c r="AS15" s="11"/>
      <c r="AT15" s="11"/>
      <c r="AU15" s="11"/>
      <c r="AV15" s="11"/>
      <c r="AW15" s="11"/>
      <c r="AX15" s="14"/>
      <c r="AY15" s="11"/>
      <c r="AZ15" s="11"/>
      <c r="BA15" s="11"/>
      <c r="BB15" s="11"/>
      <c r="BC15" s="11"/>
      <c r="BD15" s="14"/>
      <c r="BE15" s="11"/>
      <c r="BF15" s="11"/>
      <c r="BG15" s="11"/>
      <c r="BH15" s="11"/>
      <c r="BI15" s="11"/>
      <c r="BJ15" s="14"/>
      <c r="BK15" s="11"/>
      <c r="BL15" s="11"/>
      <c r="BM15" s="11"/>
      <c r="BN15" s="11"/>
      <c r="BO15" s="11"/>
      <c r="BP15" s="14"/>
      <c r="BQ15" s="11"/>
      <c r="BR15" s="11"/>
      <c r="BS15" s="11"/>
      <c r="BT15" s="11"/>
      <c r="BU15" s="11"/>
      <c r="BV15" s="14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27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20"/>
    </row>
    <row r="16" spans="1:107" x14ac:dyDescent="0.2">
      <c r="B16" t="s">
        <v>27</v>
      </c>
      <c r="C16" s="344" t="str">
        <f>C1</f>
        <v>CSN0</v>
      </c>
      <c r="D16" s="344"/>
      <c r="E16" s="344"/>
      <c r="F16" s="345"/>
      <c r="G16" s="15" t="str">
        <f>G1</f>
        <v>CSN2</v>
      </c>
      <c r="H16" s="343" t="str">
        <f>H1</f>
        <v>CSN7</v>
      </c>
      <c r="I16" s="344"/>
      <c r="J16" s="344"/>
      <c r="K16" s="345"/>
      <c r="L16" s="343" t="str">
        <f>L1</f>
        <v>CSN8</v>
      </c>
      <c r="M16" s="344"/>
      <c r="N16" s="344"/>
      <c r="O16" s="345"/>
      <c r="P16" s="343" t="str">
        <f>P1</f>
        <v>CSN9</v>
      </c>
      <c r="Q16" s="344"/>
      <c r="R16" s="344"/>
      <c r="S16" s="345"/>
      <c r="T16" s="343" t="str">
        <f>T1</f>
        <v>SFOC</v>
      </c>
      <c r="U16" s="344"/>
      <c r="V16" s="344"/>
      <c r="W16" s="344"/>
      <c r="X16" s="11"/>
      <c r="Y16" t="str">
        <f t="shared" ref="Y16:AE16" si="2">Y1</f>
        <v>HBN0</v>
      </c>
      <c r="Z16" t="str">
        <f t="shared" si="2"/>
        <v>HCN0</v>
      </c>
      <c r="AA16" t="str">
        <f t="shared" si="2"/>
        <v>HCN3</v>
      </c>
      <c r="AB16" t="str">
        <f t="shared" si="2"/>
        <v>HSN3</v>
      </c>
      <c r="AC16" t="str">
        <f t="shared" si="2"/>
        <v>HDN0</v>
      </c>
      <c r="AD16" t="str">
        <f t="shared" si="2"/>
        <v>HPN0</v>
      </c>
      <c r="AE16" t="str">
        <f t="shared" si="2"/>
        <v>HSN0</v>
      </c>
      <c r="AF16" s="11"/>
      <c r="AG16" s="343" t="str">
        <f>AG1</f>
        <v>LBN0</v>
      </c>
      <c r="AH16" s="344"/>
      <c r="AI16" s="344"/>
      <c r="AJ16" s="344"/>
      <c r="AK16" s="344"/>
      <c r="AL16" s="345"/>
      <c r="AM16" s="343" t="str">
        <f>AM1</f>
        <v>LDN0</v>
      </c>
      <c r="AN16" s="344"/>
      <c r="AO16" s="344"/>
      <c r="AP16" s="344"/>
      <c r="AQ16" s="344"/>
      <c r="AR16" s="345"/>
      <c r="AS16" s="343" t="str">
        <f>AS1</f>
        <v>LPN0</v>
      </c>
      <c r="AT16" s="344"/>
      <c r="AU16" s="344"/>
      <c r="AV16" s="344"/>
      <c r="AW16" s="344"/>
      <c r="AX16" s="345"/>
      <c r="AY16" s="343" t="str">
        <f>AY1</f>
        <v>LSN0</v>
      </c>
      <c r="AZ16" s="344"/>
      <c r="BA16" s="344"/>
      <c r="BB16" s="344"/>
      <c r="BC16" s="344"/>
      <c r="BD16" s="345"/>
      <c r="BE16" s="343" t="str">
        <f>BE1</f>
        <v>LSN2</v>
      </c>
      <c r="BF16" s="344"/>
      <c r="BG16" s="344"/>
      <c r="BH16" s="344"/>
      <c r="BI16" s="344"/>
      <c r="BJ16" s="345"/>
      <c r="BK16" s="343" t="str">
        <f>BK1</f>
        <v>LSN3 Current</v>
      </c>
      <c r="BL16" s="344"/>
      <c r="BM16" s="344"/>
      <c r="BN16" s="344"/>
      <c r="BO16" s="344"/>
      <c r="BP16" s="344"/>
      <c r="BQ16" s="343" t="str">
        <f>BQ1</f>
        <v>LSN3 Grandfathered</v>
      </c>
      <c r="BR16" s="344"/>
      <c r="BS16" s="344"/>
      <c r="BT16" s="344"/>
      <c r="BU16" s="344"/>
      <c r="BV16" s="344"/>
      <c r="BW16" s="11"/>
      <c r="BX16" t="str">
        <f>BX1</f>
        <v>NUCF</v>
      </c>
      <c r="BY16" t="str">
        <f t="shared" ref="BY16:CG16" si="3">BY1</f>
        <v>NUIF</v>
      </c>
      <c r="BZ16" t="str">
        <f t="shared" si="3"/>
        <v>NUID</v>
      </c>
      <c r="CA16" t="str">
        <f t="shared" si="3"/>
        <v>NUCS</v>
      </c>
      <c r="CB16" t="str">
        <f t="shared" si="3"/>
        <v>SAES</v>
      </c>
      <c r="CC16" t="str">
        <f t="shared" si="3"/>
        <v>SASN</v>
      </c>
      <c r="CD16" t="str">
        <f t="shared" si="3"/>
        <v>SPUF</v>
      </c>
      <c r="CE16" t="str">
        <f t="shared" si="3"/>
        <v>SPUR</v>
      </c>
      <c r="CF16" t="str">
        <f t="shared" si="3"/>
        <v>SDEH</v>
      </c>
      <c r="CG16" t="str">
        <f t="shared" si="3"/>
        <v>SDED</v>
      </c>
      <c r="CH16" s="11"/>
      <c r="CI16" s="344" t="str">
        <f t="shared" ref="CI16:CQ17" si="4">CI1</f>
        <v>RSN0</v>
      </c>
      <c r="CJ16" s="344"/>
      <c r="CK16" s="345"/>
      <c r="CL16" s="343" t="str">
        <f t="shared" si="4"/>
        <v>RSN2</v>
      </c>
      <c r="CM16" s="344"/>
      <c r="CN16" s="345"/>
      <c r="CO16" s="11"/>
      <c r="CP16" s="344" t="str">
        <f>CP1</f>
        <v xml:space="preserve">SWP </v>
      </c>
      <c r="CQ16" s="344"/>
      <c r="CR16" s="11"/>
      <c r="CS16" t="str">
        <f>CS1</f>
        <v>MHLS</v>
      </c>
      <c r="CT16" t="str">
        <f>CT1</f>
        <v>FS</v>
      </c>
      <c r="CU16" t="str">
        <f t="shared" ref="CU16:DA16" si="5">CU1</f>
        <v>MOLS</v>
      </c>
      <c r="CV16" t="str">
        <f t="shared" si="5"/>
        <v>MS</v>
      </c>
      <c r="CW16" t="str">
        <f>CW1</f>
        <v>SL</v>
      </c>
      <c r="CX16" t="str">
        <f t="shared" si="5"/>
        <v>TS</v>
      </c>
      <c r="CY16" t="str">
        <f t="shared" si="5"/>
        <v>UOLS</v>
      </c>
      <c r="CZ16" t="str">
        <f t="shared" si="5"/>
        <v>WHTL</v>
      </c>
      <c r="DA16" t="str">
        <f t="shared" si="5"/>
        <v>XLED</v>
      </c>
      <c r="DB16" s="11"/>
      <c r="DC16" s="20"/>
    </row>
    <row r="17" spans="1:107" x14ac:dyDescent="0.2">
      <c r="C17" t="str">
        <f t="shared" ref="C17:W17" si="6">C2</f>
        <v>First 300</v>
      </c>
      <c r="D17" t="str">
        <f t="shared" si="6"/>
        <v>Next 700</v>
      </c>
      <c r="E17" t="str">
        <f t="shared" si="6"/>
        <v>Next 1500</v>
      </c>
      <c r="F17" s="13" t="str">
        <f t="shared" si="6"/>
        <v>Over 2500</v>
      </c>
      <c r="G17" s="15"/>
      <c r="H17" t="str">
        <f t="shared" si="6"/>
        <v>First 300</v>
      </c>
      <c r="I17" t="str">
        <f t="shared" si="6"/>
        <v>Next 700</v>
      </c>
      <c r="J17" t="str">
        <f t="shared" si="6"/>
        <v>Next 1500</v>
      </c>
      <c r="K17" s="13" t="str">
        <f t="shared" si="6"/>
        <v>Over 2500</v>
      </c>
      <c r="L17" t="str">
        <f t="shared" si="6"/>
        <v>First 300</v>
      </c>
      <c r="M17" t="str">
        <f t="shared" si="6"/>
        <v>Next 700</v>
      </c>
      <c r="N17" t="str">
        <f t="shared" si="6"/>
        <v>Next 1500</v>
      </c>
      <c r="O17" s="13" t="str">
        <f t="shared" si="6"/>
        <v>Over 2500</v>
      </c>
      <c r="P17" t="str">
        <f t="shared" si="6"/>
        <v>First 300</v>
      </c>
      <c r="Q17" t="str">
        <f t="shared" si="6"/>
        <v>Next 700</v>
      </c>
      <c r="R17" t="str">
        <f t="shared" si="6"/>
        <v>Next 1500</v>
      </c>
      <c r="S17" s="13" t="str">
        <f t="shared" si="6"/>
        <v>Over 2500</v>
      </c>
      <c r="T17" t="str">
        <f t="shared" si="6"/>
        <v>First 300</v>
      </c>
      <c r="U17" t="str">
        <f t="shared" si="6"/>
        <v>Next 700</v>
      </c>
      <c r="V17" t="str">
        <f t="shared" si="6"/>
        <v>Next 1500</v>
      </c>
      <c r="W17" t="str">
        <f t="shared" si="6"/>
        <v>Over 2500</v>
      </c>
      <c r="X17" s="11"/>
      <c r="AA17" t="str">
        <f>AA2</f>
        <v xml:space="preserve"> </v>
      </c>
      <c r="AB17" t="str">
        <f>AB2</f>
        <v xml:space="preserve"> </v>
      </c>
      <c r="AF17" s="11"/>
      <c r="AG17" t="str">
        <f>AG2</f>
        <v>First 300 kWh</v>
      </c>
      <c r="AH17" t="str">
        <f>AH2</f>
        <v>Next 700 kWh</v>
      </c>
      <c r="AI17" t="str">
        <f>AI2</f>
        <v>Next 1500 kWh</v>
      </c>
      <c r="AJ17" t="str">
        <f>AJ2</f>
        <v>Over 2500 kWh</v>
      </c>
      <c r="AK17" t="str">
        <f>AK2</f>
        <v>KWH_NEXT110</v>
      </c>
      <c r="AL17" s="13" t="str">
        <f>AL2</f>
        <v>KWH_300+</v>
      </c>
      <c r="AM17" t="str">
        <f>AM2</f>
        <v>First 300 kWh</v>
      </c>
      <c r="AN17" t="str">
        <f>AN2</f>
        <v>Next 700 kWh</v>
      </c>
      <c r="AO17" t="str">
        <f>AO2</f>
        <v>Next 1500 kWh</v>
      </c>
      <c r="AP17" t="str">
        <f>AP2</f>
        <v>Over 2500 kWh</v>
      </c>
      <c r="AQ17" t="str">
        <f>AQ2</f>
        <v>KWH_NEXT110</v>
      </c>
      <c r="AR17" s="13" t="str">
        <f>AR2</f>
        <v>KWH_300+</v>
      </c>
      <c r="AS17" t="str">
        <f>AS2</f>
        <v>First 300 kWh</v>
      </c>
      <c r="AT17" t="str">
        <f>AT2</f>
        <v>Next 700 kWh</v>
      </c>
      <c r="AU17" t="str">
        <f>AU2</f>
        <v>Next 1500 kWh</v>
      </c>
      <c r="AV17" t="str">
        <f>AV2</f>
        <v>Over 2500 kWh</v>
      </c>
      <c r="AW17" t="str">
        <f>AW2</f>
        <v>KWH_NEXT110</v>
      </c>
      <c r="AX17" s="13" t="str">
        <f>AX2</f>
        <v>KWH_300+</v>
      </c>
      <c r="AY17" t="str">
        <f>AY2</f>
        <v>First 300 kWh</v>
      </c>
      <c r="AZ17" t="str">
        <f>AZ2</f>
        <v>Next 700 kWh</v>
      </c>
      <c r="BA17" t="str">
        <f>BA2</f>
        <v>Next 1500 kWh</v>
      </c>
      <c r="BB17" t="str">
        <f>BB2</f>
        <v>Over 2500 kWh</v>
      </c>
      <c r="BC17" t="str">
        <f>BC2</f>
        <v>KWH_NEXT110</v>
      </c>
      <c r="BD17" s="13" t="str">
        <f>BD2</f>
        <v>KWH_300+</v>
      </c>
      <c r="BE17" t="str">
        <f>BE2</f>
        <v>First 300 kWh</v>
      </c>
      <c r="BF17" t="str">
        <f>BF2</f>
        <v>Next 700 kWh</v>
      </c>
      <c r="BG17" t="str">
        <f>BG2</f>
        <v>Next 1500 kWh</v>
      </c>
      <c r="BH17" t="str">
        <f>BH2</f>
        <v>Over 2500 kWh</v>
      </c>
      <c r="BI17" t="str">
        <f>BI2</f>
        <v>KWH_NEXT110</v>
      </c>
      <c r="BJ17" s="13" t="str">
        <f>BJ2</f>
        <v>KWH_300+</v>
      </c>
      <c r="BK17" t="str">
        <f>BK2</f>
        <v>First 300 kWh</v>
      </c>
      <c r="BL17" t="str">
        <f>BL2</f>
        <v>Next 700 kWh</v>
      </c>
      <c r="BM17" t="str">
        <f>BM2</f>
        <v>Next 1500 kWh</v>
      </c>
      <c r="BN17" t="str">
        <f>BN2</f>
        <v>Over 2500 kWh</v>
      </c>
      <c r="BO17" t="str">
        <f>BO2</f>
        <v>KWH_NEXT110</v>
      </c>
      <c r="BP17" s="13" t="str">
        <f>BP2</f>
        <v>KWH_300+</v>
      </c>
      <c r="BQ17" t="str">
        <f>BQ2</f>
        <v>First 300 kWh</v>
      </c>
      <c r="BR17" t="str">
        <f>BR2</f>
        <v>Next 700 kWh</v>
      </c>
      <c r="BS17" t="str">
        <f>BS2</f>
        <v>Next 1500 kWh</v>
      </c>
      <c r="BT17" t="str">
        <f>BT2</f>
        <v>Over 2500 kWh</v>
      </c>
      <c r="BU17" t="str">
        <f>BU2</f>
        <v>KWH_NEXT110</v>
      </c>
      <c r="BV17" s="13" t="str">
        <f>BV2</f>
        <v>KWH_300+</v>
      </c>
      <c r="BW17" s="11"/>
      <c r="CH17" s="11"/>
      <c r="CI17" t="str">
        <f t="shared" si="4"/>
        <v>First 300 kWh</v>
      </c>
      <c r="CJ17" t="str">
        <f t="shared" si="4"/>
        <v>Next 700 kWh</v>
      </c>
      <c r="CK17" s="13" t="str">
        <f t="shared" si="4"/>
        <v>Over 1000 kWh</v>
      </c>
      <c r="CL17" s="25" t="str">
        <f t="shared" si="4"/>
        <v>First 300 kWh</v>
      </c>
      <c r="CM17" t="str">
        <f t="shared" si="4"/>
        <v>Next 700 kWh</v>
      </c>
      <c r="CN17" s="13" t="str">
        <f t="shared" si="4"/>
        <v>Over 1000 kWh</v>
      </c>
      <c r="CO17" s="11"/>
      <c r="CP17" t="str">
        <f t="shared" si="4"/>
        <v>First 2000</v>
      </c>
      <c r="CQ17" t="str">
        <f t="shared" si="4"/>
        <v>Over 2000</v>
      </c>
      <c r="CR17" s="11"/>
      <c r="DB17" s="11"/>
      <c r="DC17" s="20"/>
    </row>
    <row r="18" spans="1:107" x14ac:dyDescent="0.2">
      <c r="A18">
        <v>1</v>
      </c>
      <c r="B18" t="s">
        <v>232</v>
      </c>
      <c r="C18" s="20">
        <f>'Allocators Data'!F18/'Allocators Data'!$DF18</f>
        <v>2.6873042823028912E-2</v>
      </c>
      <c r="D18" s="20">
        <f>'Allocators Data'!G18/'Allocators Data'!$DF18</f>
        <v>3.9048209475447244E-2</v>
      </c>
      <c r="E18" s="20">
        <f>'Allocators Data'!H18/'Allocators Data'!$DF18</f>
        <v>4.2696760498798746E-2</v>
      </c>
      <c r="F18" s="20">
        <f>'Allocators Data'!I18/'Allocators Data'!$DF18</f>
        <v>6.5253702703944691E-2</v>
      </c>
      <c r="G18" s="31">
        <f>'Allocators Data'!J18/'Allocators Data'!$DF18</f>
        <v>9.5010509244861476E-4</v>
      </c>
      <c r="H18" s="20">
        <f>'Allocators Data'!K18/'Allocators Data'!$DF18</f>
        <v>5.8576256462814524E-7</v>
      </c>
      <c r="I18" s="20">
        <f>'Allocators Data'!L18/'Allocators Data'!$DF18</f>
        <v>0</v>
      </c>
      <c r="J18" s="20">
        <f>'Allocators Data'!M18/'Allocators Data'!$DF18</f>
        <v>0</v>
      </c>
      <c r="K18" s="21">
        <f>'Allocators Data'!N18/'Allocators Data'!$DF18</f>
        <v>0</v>
      </c>
      <c r="L18" s="20">
        <f>'Allocators Data'!O18/'Allocators Data'!$DF18</f>
        <v>2.6223100848095922E-3</v>
      </c>
      <c r="M18" s="20">
        <f>'Allocators Data'!P18/'Allocators Data'!$DF18</f>
        <v>1.4079991046968925E-3</v>
      </c>
      <c r="N18" s="20">
        <f>'Allocators Data'!Q18/'Allocators Data'!$DF18</f>
        <v>1.7166557509046314E-4</v>
      </c>
      <c r="O18" s="21">
        <f>'Allocators Data'!R18/'Allocators Data'!$DF18</f>
        <v>1.3711038418090819E-4</v>
      </c>
      <c r="P18" s="20">
        <f>'Allocators Data'!S18/'Allocators Data'!$DF18</f>
        <v>0</v>
      </c>
      <c r="Q18" s="20">
        <f>'Allocators Data'!T18/'Allocators Data'!$DF18</f>
        <v>0</v>
      </c>
      <c r="R18" s="20">
        <f>'Allocators Data'!U18/'Allocators Data'!$DF18</f>
        <v>0</v>
      </c>
      <c r="S18" s="21">
        <f>'Allocators Data'!V18/'Allocators Data'!$DF18</f>
        <v>0</v>
      </c>
      <c r="T18" s="20">
        <f>'Allocators Data'!W18/'Allocators Data'!$DF18</f>
        <v>0</v>
      </c>
      <c r="U18" s="20">
        <f>'Allocators Data'!X18/'Allocators Data'!$DF18</f>
        <v>0</v>
      </c>
      <c r="V18" s="20">
        <f>'Allocators Data'!Y18/'Allocators Data'!$DF18</f>
        <v>0</v>
      </c>
      <c r="W18" s="20">
        <f>'Allocators Data'!Z18/'Allocators Data'!$DF18</f>
        <v>0</v>
      </c>
      <c r="X18" s="22"/>
      <c r="Y18" s="20">
        <f>'Allocators Data'!AB18/'Allocators Data'!$DF18</f>
        <v>0</v>
      </c>
      <c r="Z18" s="20">
        <f>'Allocators Data'!AC18/'Allocators Data'!$DF18</f>
        <v>3.1105356286357067E-5</v>
      </c>
      <c r="AA18" s="20">
        <f>'Allocators Data'!AD18/'Allocators Data'!$DF18</f>
        <v>0</v>
      </c>
      <c r="AB18" s="20">
        <f>'Allocators Data'!AE18/'Allocators Data'!$DF18</f>
        <v>1.067090885713341E-4</v>
      </c>
      <c r="AC18" s="20">
        <f>'Allocators Data'!AF18/'Allocators Data'!$DF18</f>
        <v>1.3219040206423609E-3</v>
      </c>
      <c r="AD18" s="20">
        <f>'Allocators Data'!AG18/'Allocators Data'!$DF18</f>
        <v>4.9041526337320979E-2</v>
      </c>
      <c r="AE18" s="20">
        <f>'Allocators Data'!AH18/'Allocators Data'!$DF18</f>
        <v>0.30507334634027899</v>
      </c>
      <c r="AF18" s="22"/>
      <c r="AG18" s="20">
        <f>'Allocators Data'!AJ18/'Allocators Data'!$DF18</f>
        <v>4.9328429671938673E-6</v>
      </c>
      <c r="AH18" s="20">
        <f>'Allocators Data'!AK18/'Allocators Data'!$DF18</f>
        <v>8.8085048674047466E-6</v>
      </c>
      <c r="AI18" s="20">
        <f>'Allocators Data'!AL18/'Allocators Data'!$DF18</f>
        <v>1.5691215001785451E-5</v>
      </c>
      <c r="AJ18" s="20">
        <f>'Allocators Data'!AM18/'Allocators Data'!$DF18</f>
        <v>3.0773666228100206E-5</v>
      </c>
      <c r="AK18" s="20">
        <f>'Allocators Data'!AN18/'Allocators Data'!$DF18</f>
        <v>0</v>
      </c>
      <c r="AL18" s="21">
        <f>'Allocators Data'!AO18/'Allocators Data'!$DF18</f>
        <v>0</v>
      </c>
      <c r="AM18" s="20">
        <f>'Allocators Data'!AP18/'Allocators Data'!$DF18</f>
        <v>1.3272536937851759E-6</v>
      </c>
      <c r="AN18" s="20">
        <f>'Allocators Data'!AQ18/'Allocators Data'!$DF18</f>
        <v>3.0969252854987441E-6</v>
      </c>
      <c r="AO18" s="20">
        <f>'Allocators Data'!AR18/'Allocators Data'!$DF18</f>
        <v>6.6362684689258797E-6</v>
      </c>
      <c r="AP18" s="20">
        <f>'Allocators Data'!AS18/'Allocators Data'!$DF18</f>
        <v>3.1924875514512765E-3</v>
      </c>
      <c r="AQ18" s="20">
        <f>'Allocators Data'!AT18/'Allocators Data'!$DF18</f>
        <v>5.1810112113273501E-4</v>
      </c>
      <c r="AR18" s="21">
        <f>'Allocators Data'!AU18/'Allocators Data'!$DF18</f>
        <v>2.4385591896106134E-4</v>
      </c>
      <c r="AS18" s="20">
        <f>'Allocators Data'!AV18/'Allocators Data'!$DF18</f>
        <v>6.5540799487100941E-6</v>
      </c>
      <c r="AT18" s="20">
        <f>'Allocators Data'!AW18/'Allocators Data'!$DF18</f>
        <v>1.4984519236581912E-5</v>
      </c>
      <c r="AU18" s="20">
        <f>'Allocators Data'!AX18/'Allocators Data'!$DF18</f>
        <v>3.0003225291527232E-5</v>
      </c>
      <c r="AV18" s="20">
        <f>'Allocators Data'!AY18/'Allocators Data'!$DF18</f>
        <v>3.3734077960343263E-3</v>
      </c>
      <c r="AW18" s="20">
        <f>'Allocators Data'!AZ18/'Allocators Data'!$DF18</f>
        <v>3.0918889853859947E-3</v>
      </c>
      <c r="AX18" s="21">
        <f>'Allocators Data'!BA18/'Allocators Data'!$DF18</f>
        <v>2.7131171102463125E-4</v>
      </c>
      <c r="AY18" s="20">
        <f>'Allocators Data'!BB18/'Allocators Data'!$DF18</f>
        <v>9.8537889866579676E-3</v>
      </c>
      <c r="AZ18" s="20">
        <f>'Allocators Data'!BC18/'Allocators Data'!$DF18</f>
        <v>1.9454851590623531E-2</v>
      </c>
      <c r="BA18" s="20">
        <f>'Allocators Data'!BD18/'Allocators Data'!$DF18</f>
        <v>2.9512054648551174E-2</v>
      </c>
      <c r="BB18" s="20">
        <f>'Allocators Data'!BE18/'Allocators Data'!$DF18</f>
        <v>0.18606946288536894</v>
      </c>
      <c r="BC18" s="20">
        <f>'Allocators Data'!BF18/'Allocators Data'!$DF18</f>
        <v>0.10259933561052795</v>
      </c>
      <c r="BD18" s="21">
        <f>'Allocators Data'!BG18/'Allocators Data'!$DF18</f>
        <v>7.5182061758698987E-2</v>
      </c>
      <c r="BE18" s="20">
        <f>'Allocators Data'!BH18/'Allocators Data'!$DF18</f>
        <v>1.3206624078183828E-4</v>
      </c>
      <c r="BF18" s="20">
        <f>'Allocators Data'!BI18/'Allocators Data'!$DF18</f>
        <v>3.0235482247476723E-4</v>
      </c>
      <c r="BG18" s="20">
        <f>'Allocators Data'!BJ18/'Allocators Data'!$DF18</f>
        <v>6.322829661185264E-4</v>
      </c>
      <c r="BH18" s="20">
        <f>'Allocators Data'!BK18/'Allocators Data'!$DF18</f>
        <v>1.2938170418505163E-2</v>
      </c>
      <c r="BI18" s="20">
        <f>'Allocators Data'!BL18/'Allocators Data'!$DF18</f>
        <v>7.3278808782195719E-3</v>
      </c>
      <c r="BJ18" s="21">
        <f>'Allocators Data'!BM18/'Allocators Data'!$DF18</f>
        <v>7.8132099998942505E-3</v>
      </c>
      <c r="BK18" s="20">
        <f>'Allocators Data'!BN18/'Allocators Data'!$DF18</f>
        <v>1.8054325622100367E-6</v>
      </c>
      <c r="BL18" s="20">
        <f>'Allocators Data'!BO18/'Allocators Data'!$DF18</f>
        <v>4.2126759784900859E-6</v>
      </c>
      <c r="BM18" s="20">
        <f>'Allocators Data'!BP18/'Allocators Data'!$DF18</f>
        <v>9.0271628110501829E-6</v>
      </c>
      <c r="BN18" s="20">
        <f>'Allocators Data'!BQ18/'Allocators Data'!$DF18</f>
        <v>2.1033289349746928E-5</v>
      </c>
      <c r="BO18" s="20">
        <f>'Allocators Data'!BR18/'Allocators Data'!$DF18</f>
        <v>0</v>
      </c>
      <c r="BP18" s="21">
        <f>'Allocators Data'!BS18/'Allocators Data'!$DF18</f>
        <v>0</v>
      </c>
      <c r="BQ18" s="20">
        <f>'Allocators Data'!BT18/'Allocators Data'!$DF18</f>
        <v>0</v>
      </c>
      <c r="BR18" s="20">
        <f>'Allocators Data'!BU18/'Allocators Data'!$DF18</f>
        <v>0</v>
      </c>
      <c r="BS18" s="20">
        <f>'Allocators Data'!BV18/'Allocators Data'!$DF18</f>
        <v>0</v>
      </c>
      <c r="BT18" s="20">
        <f>'Allocators Data'!BW18/'Allocators Data'!$DF18</f>
        <v>0</v>
      </c>
      <c r="BU18" s="20">
        <f>'Allocators Data'!BX18/'Allocators Data'!$DF18</f>
        <v>0</v>
      </c>
      <c r="BV18" s="21">
        <f>'Allocators Data'!BY18/'Allocators Data'!$DF18</f>
        <v>0</v>
      </c>
      <c r="BW18" s="22"/>
      <c r="BX18" s="20">
        <f>'Allocators Data'!CA18/'Allocators Data'!$DF18</f>
        <v>0</v>
      </c>
      <c r="BY18" s="20">
        <f>'Allocators Data'!CB18/'Allocators Data'!$DF18</f>
        <v>0</v>
      </c>
      <c r="BZ18" s="20">
        <f>'Allocators Data'!CC18/'Allocators Data'!$DF18</f>
        <v>0</v>
      </c>
      <c r="CA18" s="20">
        <f>'Allocators Data'!CD18/'Allocators Data'!$DF18</f>
        <v>0</v>
      </c>
      <c r="CB18" s="20">
        <f>'Allocators Data'!CE18/'Allocators Data'!$DF18</f>
        <v>0</v>
      </c>
      <c r="CC18" s="20">
        <f>'Allocators Data'!CF18/'Allocators Data'!$DF18</f>
        <v>0</v>
      </c>
      <c r="CD18" s="20">
        <f>'Allocators Data'!CG18/'Allocators Data'!$DF18</f>
        <v>0</v>
      </c>
      <c r="CE18" s="20">
        <f>'Allocators Data'!CH18/'Allocators Data'!$DF18</f>
        <v>0</v>
      </c>
      <c r="CF18" s="20">
        <f>'Allocators Data'!CI18/'Allocators Data'!$DF18</f>
        <v>0</v>
      </c>
      <c r="CG18" s="20">
        <f>'Allocators Data'!CJ18/'Allocators Data'!$DF18</f>
        <v>0</v>
      </c>
      <c r="CH18" s="22"/>
      <c r="CI18" s="20">
        <f>'Allocators Data'!CL18/'Allocators Data'!$DF18</f>
        <v>0</v>
      </c>
      <c r="CJ18" s="20">
        <f>'Allocators Data'!CM18/'Allocators Data'!$DF18</f>
        <v>0</v>
      </c>
      <c r="CK18" s="20">
        <f>'Allocators Data'!CN18/'Allocators Data'!$DF18</f>
        <v>0</v>
      </c>
      <c r="CL18" s="29">
        <f>'Allocators Data'!CO18/'Allocators Data'!$DF18</f>
        <v>0</v>
      </c>
      <c r="CM18" s="20">
        <f>'Allocators Data'!CP18/'Allocators Data'!$DF18</f>
        <v>0</v>
      </c>
      <c r="CN18" s="20">
        <f>'Allocators Data'!CQ18/'Allocators Data'!$DF18</f>
        <v>0</v>
      </c>
      <c r="CO18" s="22"/>
      <c r="CP18" s="20">
        <f>'Allocators Data'!CS18/'Allocators Data'!$DF18</f>
        <v>2.890989192207181E-4</v>
      </c>
      <c r="CQ18" s="20">
        <f>'Allocators Data'!CT18/'Allocators Data'!$DF18</f>
        <v>2.307357480564791E-3</v>
      </c>
      <c r="CR18" s="22"/>
      <c r="CS18" s="20">
        <f>'Allocators Data'!CV18/'Allocators Data'!$DF18</f>
        <v>0</v>
      </c>
      <c r="CT18" s="20">
        <f>'Allocators Data'!CW18/'Allocators Data'!$DF18</f>
        <v>0</v>
      </c>
      <c r="CU18" s="20">
        <f>'Allocators Data'!CX18/'Allocators Data'!$DF18</f>
        <v>0</v>
      </c>
      <c r="CV18" s="20">
        <f>'Allocators Data'!CY18/'Allocators Data'!$DF18</f>
        <v>0</v>
      </c>
      <c r="CW18" s="20">
        <f>'Allocators Data'!CZ18/'Allocators Data'!$DF18</f>
        <v>0</v>
      </c>
      <c r="CX18" s="20">
        <f>'Allocators Data'!DA18/'Allocators Data'!$DF18</f>
        <v>0</v>
      </c>
      <c r="CY18" s="20">
        <f>'Allocators Data'!DB18/'Allocators Data'!$DF18</f>
        <v>0</v>
      </c>
      <c r="CZ18" s="20">
        <f>'Allocators Data'!DC18/'Allocators Data'!$DF18</f>
        <v>0</v>
      </c>
      <c r="DA18" s="20">
        <f>'Allocators Data'!DD18/'Allocators Data'!$DF18</f>
        <v>0</v>
      </c>
      <c r="DB18" s="22"/>
      <c r="DC18" s="20">
        <f t="shared" ref="DC18:DC29" si="7">SUM(C18:DA18)</f>
        <v>1.0000000000000002</v>
      </c>
    </row>
    <row r="19" spans="1:107" x14ac:dyDescent="0.2">
      <c r="A19">
        <v>2</v>
      </c>
      <c r="B19" t="s">
        <v>233</v>
      </c>
      <c r="C19" s="20">
        <f>'Allocators Data'!F19/'Allocators Data'!$DF19</f>
        <v>2.7779923480410161E-2</v>
      </c>
      <c r="D19" s="20">
        <f>'Allocators Data'!G19/'Allocators Data'!$DF19</f>
        <v>3.9625728942563547E-2</v>
      </c>
      <c r="E19" s="20">
        <f>'Allocators Data'!H19/'Allocators Data'!$DF19</f>
        <v>4.2190541306489963E-2</v>
      </c>
      <c r="F19" s="20">
        <f>'Allocators Data'!I19/'Allocators Data'!$DF19</f>
        <v>6.2033964027499527E-2</v>
      </c>
      <c r="G19" s="31">
        <f>'Allocators Data'!J19/'Allocators Data'!$DF19</f>
        <v>9.3967649384137986E-4</v>
      </c>
      <c r="H19" s="20">
        <f>'Allocators Data'!K19/'Allocators Data'!$DF19</f>
        <v>6.2269601232366317E-7</v>
      </c>
      <c r="I19" s="20">
        <f>'Allocators Data'!L19/'Allocators Data'!$DF19</f>
        <v>0</v>
      </c>
      <c r="J19" s="20">
        <f>'Allocators Data'!M19/'Allocators Data'!$DF19</f>
        <v>0</v>
      </c>
      <c r="K19" s="21">
        <f>'Allocators Data'!N19/'Allocators Data'!$DF19</f>
        <v>0</v>
      </c>
      <c r="L19" s="20">
        <f>'Allocators Data'!O19/'Allocators Data'!$DF19</f>
        <v>2.576891467324162E-3</v>
      </c>
      <c r="M19" s="20">
        <f>'Allocators Data'!P19/'Allocators Data'!$DF19</f>
        <v>1.3836283260467901E-3</v>
      </c>
      <c r="N19" s="20">
        <f>'Allocators Data'!Q19/'Allocators Data'!$DF19</f>
        <v>1.6869424952753044E-4</v>
      </c>
      <c r="O19" s="21">
        <f>'Allocators Data'!R19/'Allocators Data'!$DF19</f>
        <v>1.3473716759834314E-4</v>
      </c>
      <c r="P19" s="20">
        <f>'Allocators Data'!S19/'Allocators Data'!$DF19</f>
        <v>0</v>
      </c>
      <c r="Q19" s="20">
        <f>'Allocators Data'!T19/'Allocators Data'!$DF19</f>
        <v>0</v>
      </c>
      <c r="R19" s="20">
        <f>'Allocators Data'!U19/'Allocators Data'!$DF19</f>
        <v>0</v>
      </c>
      <c r="S19" s="21">
        <f>'Allocators Data'!V19/'Allocators Data'!$DF19</f>
        <v>0</v>
      </c>
      <c r="T19" s="20">
        <f>'Allocators Data'!W19/'Allocators Data'!$DF19</f>
        <v>0</v>
      </c>
      <c r="U19" s="20">
        <f>'Allocators Data'!X19/'Allocators Data'!$DF19</f>
        <v>0</v>
      </c>
      <c r="V19" s="20">
        <f>'Allocators Data'!Y19/'Allocators Data'!$DF19</f>
        <v>0</v>
      </c>
      <c r="W19" s="20">
        <f>'Allocators Data'!Z19/'Allocators Data'!$DF19</f>
        <v>0</v>
      </c>
      <c r="X19" s="22"/>
      <c r="Y19" s="20">
        <f>'Allocators Data'!AB19/'Allocators Data'!$DF19</f>
        <v>0</v>
      </c>
      <c r="Z19" s="20">
        <f>'Allocators Data'!AC19/'Allocators Data'!$DF19</f>
        <v>3.1426387946971043E-5</v>
      </c>
      <c r="AA19" s="20">
        <f>'Allocators Data'!AD19/'Allocators Data'!$DF19</f>
        <v>0</v>
      </c>
      <c r="AB19" s="20">
        <f>'Allocators Data'!AE19/'Allocators Data'!$DF19</f>
        <v>1.0393987207761707E-4</v>
      </c>
      <c r="AC19" s="20">
        <f>'Allocators Data'!AF19/'Allocators Data'!$DF19</f>
        <v>1.3518184128097927E-3</v>
      </c>
      <c r="AD19" s="20">
        <f>'Allocators Data'!AG19/'Allocators Data'!$DF19</f>
        <v>5.0092617824514088E-2</v>
      </c>
      <c r="AE19" s="20">
        <f>'Allocators Data'!AH19/'Allocators Data'!$DF19</f>
        <v>0.30606078290279215</v>
      </c>
      <c r="AF19" s="22"/>
      <c r="AG19" s="20">
        <f>'Allocators Data'!AJ19/'Allocators Data'!$DF19</f>
        <v>4.654215225763911E-6</v>
      </c>
      <c r="AH19" s="20">
        <f>'Allocators Data'!AK19/'Allocators Data'!$DF19</f>
        <v>7.4689377763290642E-6</v>
      </c>
      <c r="AI19" s="20">
        <f>'Allocators Data'!AL19/'Allocators Data'!$DF19</f>
        <v>1.6004866663562281E-5</v>
      </c>
      <c r="AJ19" s="20">
        <f>'Allocators Data'!AM19/'Allocators Data'!$DF19</f>
        <v>3.5918194321762014E-5</v>
      </c>
      <c r="AK19" s="20">
        <f>'Allocators Data'!AN19/'Allocators Data'!$DF19</f>
        <v>0</v>
      </c>
      <c r="AL19" s="21">
        <f>'Allocators Data'!AO19/'Allocators Data'!$DF19</f>
        <v>0</v>
      </c>
      <c r="AM19" s="20">
        <f>'Allocators Data'!AP19/'Allocators Data'!$DF19</f>
        <v>1.480692270541588E-6</v>
      </c>
      <c r="AN19" s="20">
        <f>'Allocators Data'!AQ19/'Allocators Data'!$DF19</f>
        <v>3.4549486312637043E-6</v>
      </c>
      <c r="AO19" s="20">
        <f>'Allocators Data'!AR19/'Allocators Data'!$DF19</f>
        <v>7.4034613527079382E-6</v>
      </c>
      <c r="AP19" s="20">
        <f>'Allocators Data'!AS19/'Allocators Data'!$DF19</f>
        <v>3.561558474742699E-3</v>
      </c>
      <c r="AQ19" s="20">
        <f>'Allocators Data'!AT19/'Allocators Data'!$DF19</f>
        <v>5.7799675300383008E-4</v>
      </c>
      <c r="AR19" s="21">
        <f>'Allocators Data'!AU19/'Allocators Data'!$DF19</f>
        <v>2.7204714217197849E-4</v>
      </c>
      <c r="AS19" s="20">
        <f>'Allocators Data'!AV19/'Allocators Data'!$DF19</f>
        <v>6.7436488796355967E-6</v>
      </c>
      <c r="AT19" s="20">
        <f>'Allocators Data'!AW19/'Allocators Data'!$DF19</f>
        <v>1.5417928550221811E-5</v>
      </c>
      <c r="AU19" s="20">
        <f>'Allocators Data'!AX19/'Allocators Data'!$DF19</f>
        <v>3.0871032731677736E-5</v>
      </c>
      <c r="AV19" s="20">
        <f>'Allocators Data'!AY19/'Allocators Data'!$DF19</f>
        <v>3.4709795855874647E-3</v>
      </c>
      <c r="AW19" s="20">
        <f>'Allocators Data'!AZ19/'Allocators Data'!$DF19</f>
        <v>3.1813181797331462E-3</v>
      </c>
      <c r="AX19" s="21">
        <f>'Allocators Data'!BA19/'Allocators Data'!$DF19</f>
        <v>2.7915907807065434E-4</v>
      </c>
      <c r="AY19" s="20">
        <f>'Allocators Data'!BB19/'Allocators Data'!$DF19</f>
        <v>9.859814283179287E-3</v>
      </c>
      <c r="AZ19" s="20">
        <f>'Allocators Data'!BC19/'Allocators Data'!$DF19</f>
        <v>1.9466747649060593E-2</v>
      </c>
      <c r="BA19" s="20">
        <f>'Allocators Data'!BD19/'Allocators Data'!$DF19</f>
        <v>2.9530100385115211E-2</v>
      </c>
      <c r="BB19" s="20">
        <f>'Allocators Data'!BE19/'Allocators Data'!$DF19</f>
        <v>0.18618323878304288</v>
      </c>
      <c r="BC19" s="20">
        <f>'Allocators Data'!BF19/'Allocators Data'!$DF19</f>
        <v>0.10266207202804011</v>
      </c>
      <c r="BD19" s="21">
        <f>'Allocators Data'!BG19/'Allocators Data'!$DF19</f>
        <v>7.5228033335296929E-2</v>
      </c>
      <c r="BE19" s="20">
        <f>'Allocators Data'!BH19/'Allocators Data'!$DF19</f>
        <v>1.2859197807082607E-4</v>
      </c>
      <c r="BF19" s="20">
        <f>'Allocators Data'!BI19/'Allocators Data'!$DF19</f>
        <v>2.9440078305485176E-4</v>
      </c>
      <c r="BG19" s="20">
        <f>'Allocators Data'!BJ19/'Allocators Data'!$DF19</f>
        <v>6.1564951672987787E-4</v>
      </c>
      <c r="BH19" s="20">
        <f>'Allocators Data'!BK19/'Allocators Data'!$DF19</f>
        <v>1.2597806349931517E-2</v>
      </c>
      <c r="BI19" s="20">
        <f>'Allocators Data'!BL19/'Allocators Data'!$DF19</f>
        <v>7.1351065315340056E-3</v>
      </c>
      <c r="BJ19" s="21">
        <f>'Allocators Data'!BM19/'Allocators Data'!$DF19</f>
        <v>7.6076681142826074E-3</v>
      </c>
      <c r="BK19" s="20">
        <f>'Allocators Data'!BN19/'Allocators Data'!$DF19</f>
        <v>5.7148043900026385E-6</v>
      </c>
      <c r="BL19" s="20">
        <f>'Allocators Data'!BO19/'Allocators Data'!$DF19</f>
        <v>1.1950300442126504E-5</v>
      </c>
      <c r="BM19" s="20">
        <f>'Allocators Data'!BP19/'Allocators Data'!$DF19</f>
        <v>2.3341497542139232E-5</v>
      </c>
      <c r="BN19" s="20">
        <f>'Allocators Data'!BQ19/'Allocators Data'!$DF19</f>
        <v>3.9899065601149864E-5</v>
      </c>
      <c r="BO19" s="20">
        <f>'Allocators Data'!BR19/'Allocators Data'!$DF19</f>
        <v>0</v>
      </c>
      <c r="BP19" s="21">
        <f>'Allocators Data'!BS19/'Allocators Data'!$DF19</f>
        <v>0</v>
      </c>
      <c r="BQ19" s="20">
        <f>'Allocators Data'!BT19/'Allocators Data'!$DF19</f>
        <v>0</v>
      </c>
      <c r="BR19" s="20">
        <f>'Allocators Data'!BU19/'Allocators Data'!$DF19</f>
        <v>0</v>
      </c>
      <c r="BS19" s="20">
        <f>'Allocators Data'!BV19/'Allocators Data'!$DF19</f>
        <v>0</v>
      </c>
      <c r="BT19" s="20">
        <f>'Allocators Data'!BW19/'Allocators Data'!$DF19</f>
        <v>0</v>
      </c>
      <c r="BU19" s="20">
        <f>'Allocators Data'!BX19/'Allocators Data'!$DF19</f>
        <v>0</v>
      </c>
      <c r="BV19" s="21">
        <f>'Allocators Data'!BY19/'Allocators Data'!$DF19</f>
        <v>0</v>
      </c>
      <c r="BW19" s="22"/>
      <c r="BX19" s="20">
        <f>'Allocators Data'!CA19/'Allocators Data'!$DF19</f>
        <v>0</v>
      </c>
      <c r="BY19" s="20">
        <f>'Allocators Data'!CB19/'Allocators Data'!$DF19</f>
        <v>0</v>
      </c>
      <c r="BZ19" s="20">
        <f>'Allocators Data'!CC19/'Allocators Data'!$DF19</f>
        <v>0</v>
      </c>
      <c r="CA19" s="20">
        <f>'Allocators Data'!CD19/'Allocators Data'!$DF19</f>
        <v>0</v>
      </c>
      <c r="CB19" s="20">
        <f>'Allocators Data'!CE19/'Allocators Data'!$DF19</f>
        <v>0</v>
      </c>
      <c r="CC19" s="20">
        <f>'Allocators Data'!CF19/'Allocators Data'!$DF19</f>
        <v>0</v>
      </c>
      <c r="CD19" s="20">
        <f>'Allocators Data'!CG19/'Allocators Data'!$DF19</f>
        <v>0</v>
      </c>
      <c r="CE19" s="20">
        <f>'Allocators Data'!CH19/'Allocators Data'!$DF19</f>
        <v>0</v>
      </c>
      <c r="CF19" s="20">
        <f>'Allocators Data'!CI19/'Allocators Data'!$DF19</f>
        <v>0</v>
      </c>
      <c r="CG19" s="20">
        <f>'Allocators Data'!CJ19/'Allocators Data'!$DF19</f>
        <v>0</v>
      </c>
      <c r="CH19" s="22"/>
      <c r="CI19" s="20">
        <f>'Allocators Data'!CL19/'Allocators Data'!$DF19</f>
        <v>0</v>
      </c>
      <c r="CJ19" s="20">
        <f>'Allocators Data'!CM19/'Allocators Data'!$DF19</f>
        <v>0</v>
      </c>
      <c r="CK19" s="20">
        <f>'Allocators Data'!CN19/'Allocators Data'!$DF19</f>
        <v>0</v>
      </c>
      <c r="CL19" s="29">
        <f>'Allocators Data'!CO19/'Allocators Data'!$DF19</f>
        <v>0</v>
      </c>
      <c r="CM19" s="20">
        <f>'Allocators Data'!CP19/'Allocators Data'!$DF19</f>
        <v>0</v>
      </c>
      <c r="CN19" s="20">
        <f>'Allocators Data'!CQ19/'Allocators Data'!$DF19</f>
        <v>0</v>
      </c>
      <c r="CO19" s="22"/>
      <c r="CP19" s="20">
        <f>'Allocators Data'!CS19/'Allocators Data'!$DF19</f>
        <v>2.9644064054991099E-4</v>
      </c>
      <c r="CQ19" s="20">
        <f>'Allocators Data'!CT19/'Allocators Data'!$DF19</f>
        <v>2.3659532569682376E-3</v>
      </c>
      <c r="CR19" s="22"/>
      <c r="CS19" s="20">
        <f>'Allocators Data'!CV19/'Allocators Data'!$DF19</f>
        <v>0</v>
      </c>
      <c r="CT19" s="20">
        <f>'Allocators Data'!CW19/'Allocators Data'!$DF19</f>
        <v>0</v>
      </c>
      <c r="CU19" s="20">
        <f>'Allocators Data'!CX19/'Allocators Data'!$DF19</f>
        <v>0</v>
      </c>
      <c r="CV19" s="20">
        <f>'Allocators Data'!CY19/'Allocators Data'!$DF19</f>
        <v>0</v>
      </c>
      <c r="CW19" s="20">
        <f>'Allocators Data'!CZ19/'Allocators Data'!$DF19</f>
        <v>0</v>
      </c>
      <c r="CX19" s="20">
        <f>'Allocators Data'!DA19/'Allocators Data'!$DF19</f>
        <v>0</v>
      </c>
      <c r="CY19" s="20">
        <f>'Allocators Data'!DB19/'Allocators Data'!$DF19</f>
        <v>0</v>
      </c>
      <c r="CZ19" s="20">
        <f>'Allocators Data'!DC19/'Allocators Data'!$DF19</f>
        <v>0</v>
      </c>
      <c r="DA19" s="20">
        <f>'Allocators Data'!DD19/'Allocators Data'!$DF19</f>
        <v>0</v>
      </c>
      <c r="DB19" s="22"/>
      <c r="DC19" s="20">
        <f t="shared" si="7"/>
        <v>1.0000000000000002</v>
      </c>
    </row>
    <row r="20" spans="1:107" x14ac:dyDescent="0.2">
      <c r="A20">
        <v>3</v>
      </c>
      <c r="B20" t="s">
        <v>234</v>
      </c>
      <c r="C20" s="20">
        <f>'Allocators Data'!F20/'Allocators Data'!$DF20</f>
        <v>2.8603132388841355E-2</v>
      </c>
      <c r="D20" s="20">
        <f>'Allocators Data'!G20/'Allocators Data'!$DF20</f>
        <v>3.9270969349851553E-2</v>
      </c>
      <c r="E20" s="20">
        <f>'Allocators Data'!H20/'Allocators Data'!$DF20</f>
        <v>3.9636317450242722E-2</v>
      </c>
      <c r="F20" s="20">
        <f>'Allocators Data'!I20/'Allocators Data'!$DF20</f>
        <v>5.6048782808226824E-2</v>
      </c>
      <c r="G20" s="31">
        <f>'Allocators Data'!J20/'Allocators Data'!$DF20</f>
        <v>8.9177573683661227E-4</v>
      </c>
      <c r="H20" s="20">
        <f>'Allocators Data'!K20/'Allocators Data'!$DF20</f>
        <v>6.465425506378723E-7</v>
      </c>
      <c r="I20" s="20">
        <f>'Allocators Data'!L20/'Allocators Data'!$DF20</f>
        <v>0</v>
      </c>
      <c r="J20" s="20">
        <f>'Allocators Data'!M20/'Allocators Data'!$DF20</f>
        <v>0</v>
      </c>
      <c r="K20" s="21">
        <f>'Allocators Data'!N20/'Allocators Data'!$DF20</f>
        <v>0</v>
      </c>
      <c r="L20" s="20">
        <f>'Allocators Data'!O20/'Allocators Data'!$DF20</f>
        <v>2.7062254008459923E-3</v>
      </c>
      <c r="M20" s="20">
        <f>'Allocators Data'!P20/'Allocators Data'!$DF20</f>
        <v>1.4530724979139422E-3</v>
      </c>
      <c r="N20" s="20">
        <f>'Allocators Data'!Q20/'Allocators Data'!$DF20</f>
        <v>1.7716099759611107E-4</v>
      </c>
      <c r="O20" s="21">
        <f>'Allocators Data'!R20/'Allocators Data'!$DF20</f>
        <v>1.4149961300904531E-4</v>
      </c>
      <c r="P20" s="20">
        <f>'Allocators Data'!S20/'Allocators Data'!$DF20</f>
        <v>0</v>
      </c>
      <c r="Q20" s="20">
        <f>'Allocators Data'!T20/'Allocators Data'!$DF20</f>
        <v>0</v>
      </c>
      <c r="R20" s="20">
        <f>'Allocators Data'!U20/'Allocators Data'!$DF20</f>
        <v>0</v>
      </c>
      <c r="S20" s="21">
        <f>'Allocators Data'!V20/'Allocators Data'!$DF20</f>
        <v>0</v>
      </c>
      <c r="T20" s="20">
        <f>'Allocators Data'!W20/'Allocators Data'!$DF20</f>
        <v>0</v>
      </c>
      <c r="U20" s="20">
        <f>'Allocators Data'!X20/'Allocators Data'!$DF20</f>
        <v>0</v>
      </c>
      <c r="V20" s="20">
        <f>'Allocators Data'!Y20/'Allocators Data'!$DF20</f>
        <v>0</v>
      </c>
      <c r="W20" s="20">
        <f>'Allocators Data'!Z20/'Allocators Data'!$DF20</f>
        <v>0</v>
      </c>
      <c r="X20" s="22"/>
      <c r="Y20" s="20">
        <f>'Allocators Data'!AB20/'Allocators Data'!$DF20</f>
        <v>0</v>
      </c>
      <c r="Z20" s="20">
        <f>'Allocators Data'!AC20/'Allocators Data'!$DF20</f>
        <v>3.0874423083983351E-5</v>
      </c>
      <c r="AA20" s="20">
        <f>'Allocators Data'!AD20/'Allocators Data'!$DF20</f>
        <v>0</v>
      </c>
      <c r="AB20" s="20">
        <f>'Allocators Data'!AE20/'Allocators Data'!$DF20</f>
        <v>9.4149712343058491E-5</v>
      </c>
      <c r="AC20" s="20">
        <f>'Allocators Data'!AF20/'Allocators Data'!$DF20</f>
        <v>1.4423278609563665E-3</v>
      </c>
      <c r="AD20" s="20">
        <f>'Allocators Data'!AG20/'Allocators Data'!$DF20</f>
        <v>5.3429488723948433E-2</v>
      </c>
      <c r="AE20" s="20">
        <f>'Allocators Data'!AH20/'Allocators Data'!$DF20</f>
        <v>0.31430160204168828</v>
      </c>
      <c r="AF20" s="22"/>
      <c r="AG20" s="20">
        <f>'Allocators Data'!AJ20/'Allocators Data'!$DF20</f>
        <v>6.3812287383038797E-6</v>
      </c>
      <c r="AH20" s="20">
        <f>'Allocators Data'!AK20/'Allocators Data'!$DF20</f>
        <v>1.0792696244541041E-5</v>
      </c>
      <c r="AI20" s="20">
        <f>'Allocators Data'!AL20/'Allocators Data'!$DF20</f>
        <v>1.9941339807199625E-5</v>
      </c>
      <c r="AJ20" s="20">
        <f>'Allocators Data'!AM20/'Allocators Data'!$DF20</f>
        <v>5.7513965872835573E-5</v>
      </c>
      <c r="AK20" s="20">
        <f>'Allocators Data'!AN20/'Allocators Data'!$DF20</f>
        <v>0</v>
      </c>
      <c r="AL20" s="21">
        <f>'Allocators Data'!AO20/'Allocators Data'!$DF20</f>
        <v>0</v>
      </c>
      <c r="AM20" s="20">
        <f>'Allocators Data'!AP20/'Allocators Data'!$DF20</f>
        <v>1.5576187467032514E-6</v>
      </c>
      <c r="AN20" s="20">
        <f>'Allocators Data'!AQ20/'Allocators Data'!$DF20</f>
        <v>3.6344437423075864E-6</v>
      </c>
      <c r="AO20" s="20">
        <f>'Allocators Data'!AR20/'Allocators Data'!$DF20</f>
        <v>7.7880937335162565E-6</v>
      </c>
      <c r="AP20" s="20">
        <f>'Allocators Data'!AS20/'Allocators Data'!$DF20</f>
        <v>3.7465922920702209E-3</v>
      </c>
      <c r="AQ20" s="20">
        <f>'Allocators Data'!AT20/'Allocators Data'!$DF20</f>
        <v>6.080254458835498E-4</v>
      </c>
      <c r="AR20" s="21">
        <f>'Allocators Data'!AU20/'Allocators Data'!$DF20</f>
        <v>2.8618082032610758E-4</v>
      </c>
      <c r="AS20" s="20">
        <f>'Allocators Data'!AV20/'Allocators Data'!$DF20</f>
        <v>7.1558177509237932E-6</v>
      </c>
      <c r="AT20" s="20">
        <f>'Allocators Data'!AW20/'Allocators Data'!$DF20</f>
        <v>1.6360265602694561E-5</v>
      </c>
      <c r="AU20" s="20">
        <f>'Allocators Data'!AX20/'Allocators Data'!$DF20</f>
        <v>3.2757856755825937E-5</v>
      </c>
      <c r="AV20" s="20">
        <f>'Allocators Data'!AY20/'Allocators Data'!$DF20</f>
        <v>3.6831243403916709E-3</v>
      </c>
      <c r="AW20" s="20">
        <f>'Allocators Data'!AZ20/'Allocators Data'!$DF20</f>
        <v>3.3757589560477162E-3</v>
      </c>
      <c r="AX20" s="21">
        <f>'Allocators Data'!BA20/'Allocators Data'!$DF20</f>
        <v>2.9622115887763321E-4</v>
      </c>
      <c r="AY20" s="20">
        <f>'Allocators Data'!BB20/'Allocators Data'!$DF20</f>
        <v>9.779341217208911E-3</v>
      </c>
      <c r="AZ20" s="20">
        <f>'Allocators Data'!BC20/'Allocators Data'!$DF20</f>
        <v>1.9307865460938243E-2</v>
      </c>
      <c r="BA20" s="20">
        <f>'Allocators Data'!BD20/'Allocators Data'!$DF20</f>
        <v>2.9289083906695604E-2</v>
      </c>
      <c r="BB20" s="20">
        <f>'Allocators Data'!BE20/'Allocators Data'!$DF20</f>
        <v>0.18466366289379652</v>
      </c>
      <c r="BC20" s="20">
        <f>'Allocators Data'!BF20/'Allocators Data'!$DF20</f>
        <v>0.10182417270684681</v>
      </c>
      <c r="BD20" s="21">
        <f>'Allocators Data'!BG20/'Allocators Data'!$DF20</f>
        <v>7.4614043019095869E-2</v>
      </c>
      <c r="BE20" s="20">
        <f>'Allocators Data'!BH20/'Allocators Data'!$DF20</f>
        <v>1.2400126717412762E-4</v>
      </c>
      <c r="BF20" s="20">
        <f>'Allocators Data'!BI20/'Allocators Data'!$DF20</f>
        <v>2.8389072711635391E-4</v>
      </c>
      <c r="BG20" s="20">
        <f>'Allocators Data'!BJ20/'Allocators Data'!$DF20</f>
        <v>5.9367093775940466E-4</v>
      </c>
      <c r="BH20" s="20">
        <f>'Allocators Data'!BK20/'Allocators Data'!$DF20</f>
        <v>1.2148066889097696E-2</v>
      </c>
      <c r="BI20" s="20">
        <f>'Allocators Data'!BL20/'Allocators Data'!$DF20</f>
        <v>6.8803844890332165E-3</v>
      </c>
      <c r="BJ20" s="21">
        <f>'Allocators Data'!BM20/'Allocators Data'!$DF20</f>
        <v>7.3360757067728105E-3</v>
      </c>
      <c r="BK20" s="20">
        <f>'Allocators Data'!BN20/'Allocators Data'!$DF20</f>
        <v>4.200975586050054E-6</v>
      </c>
      <c r="BL20" s="20">
        <f>'Allocators Data'!BO20/'Allocators Data'!$DF20</f>
        <v>1.5509930961155262E-5</v>
      </c>
      <c r="BM20" s="20">
        <f>'Allocators Data'!BP20/'Allocators Data'!$DF20</f>
        <v>2.2052906122339764E-5</v>
      </c>
      <c r="BN20" s="20">
        <f>'Allocators Data'!BQ20/'Allocators Data'!$DF20</f>
        <v>4.2539309217602845E-5</v>
      </c>
      <c r="BO20" s="20">
        <f>'Allocators Data'!BR20/'Allocators Data'!$DF20</f>
        <v>0</v>
      </c>
      <c r="BP20" s="21">
        <f>'Allocators Data'!BS20/'Allocators Data'!$DF20</f>
        <v>0</v>
      </c>
      <c r="BQ20" s="20">
        <f>'Allocators Data'!BT20/'Allocators Data'!$DF20</f>
        <v>0</v>
      </c>
      <c r="BR20" s="20">
        <f>'Allocators Data'!BU20/'Allocators Data'!$DF20</f>
        <v>0</v>
      </c>
      <c r="BS20" s="20">
        <f>'Allocators Data'!BV20/'Allocators Data'!$DF20</f>
        <v>0</v>
      </c>
      <c r="BT20" s="20">
        <f>'Allocators Data'!BW20/'Allocators Data'!$DF20</f>
        <v>0</v>
      </c>
      <c r="BU20" s="20">
        <f>'Allocators Data'!BX20/'Allocators Data'!$DF20</f>
        <v>0</v>
      </c>
      <c r="BV20" s="21">
        <f>'Allocators Data'!BY20/'Allocators Data'!$DF20</f>
        <v>0</v>
      </c>
      <c r="BW20" s="22"/>
      <c r="BX20" s="20">
        <f>'Allocators Data'!CA20/'Allocators Data'!$DF20</f>
        <v>0</v>
      </c>
      <c r="BY20" s="20">
        <f>'Allocators Data'!CB20/'Allocators Data'!$DF20</f>
        <v>0</v>
      </c>
      <c r="BZ20" s="20">
        <f>'Allocators Data'!CC20/'Allocators Data'!$DF20</f>
        <v>0</v>
      </c>
      <c r="CA20" s="20">
        <f>'Allocators Data'!CD20/'Allocators Data'!$DF20</f>
        <v>0</v>
      </c>
      <c r="CB20" s="20">
        <f>'Allocators Data'!CE20/'Allocators Data'!$DF20</f>
        <v>0</v>
      </c>
      <c r="CC20" s="20">
        <f>'Allocators Data'!CF20/'Allocators Data'!$DF20</f>
        <v>0</v>
      </c>
      <c r="CD20" s="20">
        <f>'Allocators Data'!CG20/'Allocators Data'!$DF20</f>
        <v>0</v>
      </c>
      <c r="CE20" s="20">
        <f>'Allocators Data'!CH20/'Allocators Data'!$DF20</f>
        <v>0</v>
      </c>
      <c r="CF20" s="20">
        <f>'Allocators Data'!CI20/'Allocators Data'!$DF20</f>
        <v>0</v>
      </c>
      <c r="CG20" s="20">
        <f>'Allocators Data'!CJ20/'Allocators Data'!$DF20</f>
        <v>0</v>
      </c>
      <c r="CH20" s="22"/>
      <c r="CI20" s="20">
        <f>'Allocators Data'!CL20/'Allocators Data'!$DF20</f>
        <v>0</v>
      </c>
      <c r="CJ20" s="20">
        <f>'Allocators Data'!CM20/'Allocators Data'!$DF20</f>
        <v>0</v>
      </c>
      <c r="CK20" s="20">
        <f>'Allocators Data'!CN20/'Allocators Data'!$DF20</f>
        <v>0</v>
      </c>
      <c r="CL20" s="29">
        <f>'Allocators Data'!CO20/'Allocators Data'!$DF20</f>
        <v>0</v>
      </c>
      <c r="CM20" s="20">
        <f>'Allocators Data'!CP20/'Allocators Data'!$DF20</f>
        <v>0</v>
      </c>
      <c r="CN20" s="20">
        <f>'Allocators Data'!CQ20/'Allocators Data'!$DF20</f>
        <v>0</v>
      </c>
      <c r="CO20" s="22"/>
      <c r="CP20" s="20">
        <f>'Allocators Data'!CS20/'Allocators Data'!$DF20</f>
        <v>2.9880467440178448E-4</v>
      </c>
      <c r="CQ20" s="20">
        <f>'Allocators Data'!CT20/'Allocators Data'!$DF20</f>
        <v>2.3848210936489559E-3</v>
      </c>
      <c r="CR20" s="22"/>
      <c r="CS20" s="20">
        <f>'Allocators Data'!CV20/'Allocators Data'!$DF20</f>
        <v>0</v>
      </c>
      <c r="CT20" s="20">
        <f>'Allocators Data'!CW20/'Allocators Data'!$DF20</f>
        <v>0</v>
      </c>
      <c r="CU20" s="20">
        <f>'Allocators Data'!CX20/'Allocators Data'!$DF20</f>
        <v>0</v>
      </c>
      <c r="CV20" s="20">
        <f>'Allocators Data'!CY20/'Allocators Data'!$DF20</f>
        <v>0</v>
      </c>
      <c r="CW20" s="20">
        <f>'Allocators Data'!CZ20/'Allocators Data'!$DF20</f>
        <v>0</v>
      </c>
      <c r="CX20" s="20">
        <f>'Allocators Data'!DA20/'Allocators Data'!$DF20</f>
        <v>0</v>
      </c>
      <c r="CY20" s="20">
        <f>'Allocators Data'!DB20/'Allocators Data'!$DF20</f>
        <v>0</v>
      </c>
      <c r="CZ20" s="20">
        <f>'Allocators Data'!DC20/'Allocators Data'!$DF20</f>
        <v>0</v>
      </c>
      <c r="DA20" s="20">
        <f>'Allocators Data'!DD20/'Allocators Data'!$DF20</f>
        <v>0</v>
      </c>
      <c r="DB20" s="22"/>
      <c r="DC20" s="20">
        <f t="shared" si="7"/>
        <v>0.99999999999999967</v>
      </c>
    </row>
    <row r="21" spans="1:107" x14ac:dyDescent="0.2">
      <c r="A21">
        <v>4</v>
      </c>
      <c r="B21" t="s">
        <v>235</v>
      </c>
      <c r="C21" s="20">
        <f>'Allocators Data'!F21/'Allocators Data'!$DF21</f>
        <v>2.8900731911950937E-2</v>
      </c>
      <c r="D21" s="20">
        <f>'Allocators Data'!G21/'Allocators Data'!$DF21</f>
        <v>3.8587146315439545E-2</v>
      </c>
      <c r="E21" s="20">
        <f>'Allocators Data'!H21/'Allocators Data'!$DF21</f>
        <v>3.7651628567467933E-2</v>
      </c>
      <c r="F21" s="20">
        <f>'Allocators Data'!I21/'Allocators Data'!$DF21</f>
        <v>5.3234066996427978E-2</v>
      </c>
      <c r="G21" s="31">
        <f>'Allocators Data'!J21/'Allocators Data'!$DF21</f>
        <v>8.6262296894185509E-4</v>
      </c>
      <c r="H21" s="20">
        <f>'Allocators Data'!K21/'Allocators Data'!$DF21</f>
        <v>6.5738889703598049E-7</v>
      </c>
      <c r="I21" s="20">
        <f>'Allocators Data'!L21/'Allocators Data'!$DF21</f>
        <v>0</v>
      </c>
      <c r="J21" s="20">
        <f>'Allocators Data'!M21/'Allocators Data'!$DF21</f>
        <v>0</v>
      </c>
      <c r="K21" s="21">
        <f>'Allocators Data'!N21/'Allocators Data'!$DF21</f>
        <v>0</v>
      </c>
      <c r="L21" s="20">
        <f>'Allocators Data'!O21/'Allocators Data'!$DF21</f>
        <v>2.7975062794625971E-3</v>
      </c>
      <c r="M21" s="20">
        <f>'Allocators Data'!P21/'Allocators Data'!$DF21</f>
        <v>1.5015353954042744E-3</v>
      </c>
      <c r="N21" s="20">
        <f>'Allocators Data'!Q21/'Allocators Data'!$DF21</f>
        <v>1.8306967405796082E-4</v>
      </c>
      <c r="O21" s="21">
        <f>'Allocators Data'!R21/'Allocators Data'!$DF21</f>
        <v>1.4621891039442956E-4</v>
      </c>
      <c r="P21" s="20">
        <f>'Allocators Data'!S21/'Allocators Data'!$DF21</f>
        <v>0</v>
      </c>
      <c r="Q21" s="20">
        <f>'Allocators Data'!T21/'Allocators Data'!$DF21</f>
        <v>0</v>
      </c>
      <c r="R21" s="20">
        <f>'Allocators Data'!U21/'Allocators Data'!$DF21</f>
        <v>0</v>
      </c>
      <c r="S21" s="21">
        <f>'Allocators Data'!V21/'Allocators Data'!$DF21</f>
        <v>0</v>
      </c>
      <c r="T21" s="20">
        <f>'Allocators Data'!W21/'Allocators Data'!$DF21</f>
        <v>0</v>
      </c>
      <c r="U21" s="20">
        <f>'Allocators Data'!X21/'Allocators Data'!$DF21</f>
        <v>0</v>
      </c>
      <c r="V21" s="20">
        <f>'Allocators Data'!Y21/'Allocators Data'!$DF21</f>
        <v>0</v>
      </c>
      <c r="W21" s="20">
        <f>'Allocators Data'!Z21/'Allocators Data'!$DF21</f>
        <v>0</v>
      </c>
      <c r="X21" s="22"/>
      <c r="Y21" s="20">
        <f>'Allocators Data'!AB21/'Allocators Data'!$DF21</f>
        <v>0</v>
      </c>
      <c r="Z21" s="20">
        <f>'Allocators Data'!AC21/'Allocators Data'!$DF21</f>
        <v>3.0104446424416573E-5</v>
      </c>
      <c r="AA21" s="20">
        <f>'Allocators Data'!AD21/'Allocators Data'!$DF21</f>
        <v>0</v>
      </c>
      <c r="AB21" s="20">
        <f>'Allocators Data'!AE21/'Allocators Data'!$DF21</f>
        <v>1.3613221895920547E-4</v>
      </c>
      <c r="AC21" s="20">
        <f>'Allocators Data'!AF21/'Allocators Data'!$DF21</f>
        <v>1.6189330279837999E-3</v>
      </c>
      <c r="AD21" s="20">
        <f>'Allocators Data'!AG21/'Allocators Data'!$DF21</f>
        <v>5.4515227358259123E-2</v>
      </c>
      <c r="AE21" s="20">
        <f>'Allocators Data'!AH21/'Allocators Data'!$DF21</f>
        <v>0.31985796825758828</v>
      </c>
      <c r="AF21" s="22"/>
      <c r="AG21" s="20">
        <f>'Allocators Data'!AJ21/'Allocators Data'!$DF21</f>
        <v>1.9600011666254387E-5</v>
      </c>
      <c r="AH21" s="20">
        <f>'Allocators Data'!AK21/'Allocators Data'!$DF21</f>
        <v>3.5701308606337156E-5</v>
      </c>
      <c r="AI21" s="20">
        <f>'Allocators Data'!AL21/'Allocators Data'!$DF21</f>
        <v>6.6563441918523239E-5</v>
      </c>
      <c r="AJ21" s="20">
        <f>'Allocators Data'!AM21/'Allocators Data'!$DF21</f>
        <v>1.2691038643573391E-4</v>
      </c>
      <c r="AK21" s="20">
        <f>'Allocators Data'!AN21/'Allocators Data'!$DF21</f>
        <v>0</v>
      </c>
      <c r="AL21" s="21">
        <f>'Allocators Data'!AO21/'Allocators Data'!$DF21</f>
        <v>0</v>
      </c>
      <c r="AM21" s="20">
        <f>'Allocators Data'!AP21/'Allocators Data'!$DF21</f>
        <v>1.4996530240556787E-6</v>
      </c>
      <c r="AN21" s="20">
        <f>'Allocators Data'!AQ21/'Allocators Data'!$DF21</f>
        <v>3.4991903894632504E-6</v>
      </c>
      <c r="AO21" s="20">
        <f>'Allocators Data'!AR21/'Allocators Data'!$DF21</f>
        <v>7.498265120278393E-6</v>
      </c>
      <c r="AP21" s="20">
        <f>'Allocators Data'!AS21/'Allocators Data'!$DF21</f>
        <v>3.6071654071952596E-3</v>
      </c>
      <c r="AQ21" s="20">
        <f>'Allocators Data'!AT21/'Allocators Data'!$DF21</f>
        <v>5.8539819230603036E-4</v>
      </c>
      <c r="AR21" s="21">
        <f>'Allocators Data'!AU21/'Allocators Data'!$DF21</f>
        <v>2.7553079566943953E-4</v>
      </c>
      <c r="AS21" s="20">
        <f>'Allocators Data'!AV21/'Allocators Data'!$DF21</f>
        <v>7.3115594007185657E-6</v>
      </c>
      <c r="AT21" s="20">
        <f>'Allocators Data'!AW21/'Allocators Data'!$DF21</f>
        <v>1.6716335984128662E-5</v>
      </c>
      <c r="AU21" s="20">
        <f>'Allocators Data'!AX21/'Allocators Data'!$DF21</f>
        <v>3.3470809884660803E-5</v>
      </c>
      <c r="AV21" s="20">
        <f>'Allocators Data'!AY21/'Allocators Data'!$DF21</f>
        <v>3.7632851104305435E-3</v>
      </c>
      <c r="AW21" s="20">
        <f>'Allocators Data'!AZ21/'Allocators Data'!$DF21</f>
        <v>3.4492301213881809E-3</v>
      </c>
      <c r="AX21" s="21">
        <f>'Allocators Data'!BA21/'Allocators Data'!$DF21</f>
        <v>3.0266821686506814E-4</v>
      </c>
      <c r="AY21" s="20">
        <f>'Allocators Data'!BB21/'Allocators Data'!$DF21</f>
        <v>9.7172184088551751E-3</v>
      </c>
      <c r="AZ21" s="20">
        <f>'Allocators Data'!BC21/'Allocators Data'!$DF21</f>
        <v>1.9185213147340795E-2</v>
      </c>
      <c r="BA21" s="20">
        <f>'Allocators Data'!BD21/'Allocators Data'!$DF21</f>
        <v>2.9103026369078421E-2</v>
      </c>
      <c r="BB21" s="20">
        <f>'Allocators Data'!BE21/'Allocators Data'!$DF21</f>
        <v>0.1834905955996865</v>
      </c>
      <c r="BC21" s="20">
        <f>'Allocators Data'!BF21/'Allocators Data'!$DF21</f>
        <v>0.10117733940526268</v>
      </c>
      <c r="BD21" s="21">
        <f>'Allocators Data'!BG21/'Allocators Data'!$DF21</f>
        <v>7.414006079554733E-2</v>
      </c>
      <c r="BE21" s="20">
        <f>'Allocators Data'!BH21/'Allocators Data'!$DF21</f>
        <v>1.1861890149874979E-4</v>
      </c>
      <c r="BF21" s="20">
        <f>'Allocators Data'!BI21/'Allocators Data'!$DF21</f>
        <v>2.715682425159068E-4</v>
      </c>
      <c r="BG21" s="20">
        <f>'Allocators Data'!BJ21/'Allocators Data'!$DF21</f>
        <v>5.679022165948174E-4</v>
      </c>
      <c r="BH21" s="20">
        <f>'Allocators Data'!BK21/'Allocators Data'!$DF21</f>
        <v>1.1620771162722121E-2</v>
      </c>
      <c r="BI21" s="20">
        <f>'Allocators Data'!BL21/'Allocators Data'!$DF21</f>
        <v>6.5817363691299605E-3</v>
      </c>
      <c r="BJ21" s="21">
        <f>'Allocators Data'!BM21/'Allocators Data'!$DF21</f>
        <v>7.0176479763476036E-3</v>
      </c>
      <c r="BK21" s="20">
        <f>'Allocators Data'!BN21/'Allocators Data'!$DF21</f>
        <v>4.644301614940623E-5</v>
      </c>
      <c r="BL21" s="20">
        <f>'Allocators Data'!BO21/'Allocators Data'!$DF21</f>
        <v>1.0718502931556149E-4</v>
      </c>
      <c r="BM21" s="20">
        <f>'Allocators Data'!BP21/'Allocators Data'!$DF21</f>
        <v>2.2054744161834937E-4</v>
      </c>
      <c r="BN21" s="20">
        <f>'Allocators Data'!BQ21/'Allocators Data'!$DF21</f>
        <v>1.4630372386402984E-3</v>
      </c>
      <c r="BO21" s="20">
        <f>'Allocators Data'!BR21/'Allocators Data'!$DF21</f>
        <v>0</v>
      </c>
      <c r="BP21" s="21">
        <f>'Allocators Data'!BS21/'Allocators Data'!$DF21</f>
        <v>0</v>
      </c>
      <c r="BQ21" s="20">
        <f>'Allocators Data'!BT21/'Allocators Data'!$DF21</f>
        <v>0</v>
      </c>
      <c r="BR21" s="20">
        <f>'Allocators Data'!BU21/'Allocators Data'!$DF21</f>
        <v>0</v>
      </c>
      <c r="BS21" s="20">
        <f>'Allocators Data'!BV21/'Allocators Data'!$DF21</f>
        <v>0</v>
      </c>
      <c r="BT21" s="20">
        <f>'Allocators Data'!BW21/'Allocators Data'!$DF21</f>
        <v>0</v>
      </c>
      <c r="BU21" s="20">
        <f>'Allocators Data'!BX21/'Allocators Data'!$DF21</f>
        <v>0</v>
      </c>
      <c r="BV21" s="21">
        <f>'Allocators Data'!BY21/'Allocators Data'!$DF21</f>
        <v>0</v>
      </c>
      <c r="BW21" s="22"/>
      <c r="BX21" s="20">
        <f>'Allocators Data'!CA21/'Allocators Data'!$DF21</f>
        <v>0</v>
      </c>
      <c r="BY21" s="20">
        <f>'Allocators Data'!CB21/'Allocators Data'!$DF21</f>
        <v>0</v>
      </c>
      <c r="BZ21" s="20">
        <f>'Allocators Data'!CC21/'Allocators Data'!$DF21</f>
        <v>0</v>
      </c>
      <c r="CA21" s="20">
        <f>'Allocators Data'!CD21/'Allocators Data'!$DF21</f>
        <v>0</v>
      </c>
      <c r="CB21" s="20">
        <f>'Allocators Data'!CE21/'Allocators Data'!$DF21</f>
        <v>0</v>
      </c>
      <c r="CC21" s="20">
        <f>'Allocators Data'!CF21/'Allocators Data'!$DF21</f>
        <v>0</v>
      </c>
      <c r="CD21" s="20">
        <f>'Allocators Data'!CG21/'Allocators Data'!$DF21</f>
        <v>0</v>
      </c>
      <c r="CE21" s="20">
        <f>'Allocators Data'!CH21/'Allocators Data'!$DF21</f>
        <v>0</v>
      </c>
      <c r="CF21" s="20">
        <f>'Allocators Data'!CI21/'Allocators Data'!$DF21</f>
        <v>0</v>
      </c>
      <c r="CG21" s="20">
        <f>'Allocators Data'!CJ21/'Allocators Data'!$DF21</f>
        <v>0</v>
      </c>
      <c r="CH21" s="22"/>
      <c r="CI21" s="20">
        <f>'Allocators Data'!CL21/'Allocators Data'!$DF21</f>
        <v>0</v>
      </c>
      <c r="CJ21" s="20">
        <f>'Allocators Data'!CM21/'Allocators Data'!$DF21</f>
        <v>0</v>
      </c>
      <c r="CK21" s="20">
        <f>'Allocators Data'!CN21/'Allocators Data'!$DF21</f>
        <v>0</v>
      </c>
      <c r="CL21" s="29">
        <f>'Allocators Data'!CO21/'Allocators Data'!$DF21</f>
        <v>0</v>
      </c>
      <c r="CM21" s="20">
        <f>'Allocators Data'!CP21/'Allocators Data'!$DF21</f>
        <v>0</v>
      </c>
      <c r="CN21" s="20">
        <f>'Allocators Data'!CQ21/'Allocators Data'!$DF21</f>
        <v>0</v>
      </c>
      <c r="CO21" s="22"/>
      <c r="CP21" s="20">
        <f>'Allocators Data'!CS21/'Allocators Data'!$DF21</f>
        <v>3.1682724529829312E-4</v>
      </c>
      <c r="CQ21" s="20">
        <f>'Allocators Data'!CT21/'Allocators Data'!$DF21</f>
        <v>2.5286629104539506E-3</v>
      </c>
      <c r="CR21" s="22"/>
      <c r="CS21" s="20">
        <f>'Allocators Data'!CV21/'Allocators Data'!$DF21</f>
        <v>0</v>
      </c>
      <c r="CT21" s="20">
        <f>'Allocators Data'!CW21/'Allocators Data'!$DF21</f>
        <v>0</v>
      </c>
      <c r="CU21" s="20">
        <f>'Allocators Data'!CX21/'Allocators Data'!$DF21</f>
        <v>0</v>
      </c>
      <c r="CV21" s="20">
        <f>'Allocators Data'!CY21/'Allocators Data'!$DF21</f>
        <v>0</v>
      </c>
      <c r="CW21" s="20">
        <f>'Allocators Data'!CZ21/'Allocators Data'!$DF21</f>
        <v>0</v>
      </c>
      <c r="CX21" s="20">
        <f>'Allocators Data'!DA21/'Allocators Data'!$DF21</f>
        <v>0</v>
      </c>
      <c r="CY21" s="20">
        <f>'Allocators Data'!DB21/'Allocators Data'!$DF21</f>
        <v>0</v>
      </c>
      <c r="CZ21" s="20">
        <f>'Allocators Data'!DC21/'Allocators Data'!$DF21</f>
        <v>0</v>
      </c>
      <c r="DA21" s="20">
        <f>'Allocators Data'!DD21/'Allocators Data'!$DF21</f>
        <v>0</v>
      </c>
      <c r="DB21" s="22"/>
      <c r="DC21" s="20">
        <f t="shared" si="7"/>
        <v>1.0000000000000002</v>
      </c>
    </row>
    <row r="22" spans="1:107" x14ac:dyDescent="0.2">
      <c r="A22">
        <v>5</v>
      </c>
      <c r="B22" t="s">
        <v>236</v>
      </c>
      <c r="C22" s="20">
        <f>'Allocators Data'!F22/'Allocators Data'!$DF22</f>
        <v>2.8790576795700028E-2</v>
      </c>
      <c r="D22" s="20">
        <f>'Allocators Data'!G22/'Allocators Data'!$DF22</f>
        <v>3.6303130276015463E-2</v>
      </c>
      <c r="E22" s="20">
        <f>'Allocators Data'!H22/'Allocators Data'!$DF22</f>
        <v>3.4410016824984249E-2</v>
      </c>
      <c r="F22" s="20">
        <f>'Allocators Data'!I22/'Allocators Data'!$DF22</f>
        <v>4.8535051594084215E-2</v>
      </c>
      <c r="G22" s="31">
        <f>'Allocators Data'!J22/'Allocators Data'!$DF22</f>
        <v>8.4349206211383355E-4</v>
      </c>
      <c r="H22" s="20">
        <f>'Allocators Data'!K22/'Allocators Data'!$DF22</f>
        <v>6.7770369355824812E-7</v>
      </c>
      <c r="I22" s="20">
        <f>'Allocators Data'!L22/'Allocators Data'!$DF22</f>
        <v>0</v>
      </c>
      <c r="J22" s="20">
        <f>'Allocators Data'!M22/'Allocators Data'!$DF22</f>
        <v>0</v>
      </c>
      <c r="K22" s="21">
        <f>'Allocators Data'!N22/'Allocators Data'!$DF22</f>
        <v>0</v>
      </c>
      <c r="L22" s="20">
        <f>'Allocators Data'!O22/'Allocators Data'!$DF22</f>
        <v>2.7729440986519528E-3</v>
      </c>
      <c r="M22" s="20">
        <f>'Allocators Data'!P22/'Allocators Data'!$DF22</f>
        <v>1.4883101286983708E-3</v>
      </c>
      <c r="N22" s="20">
        <f>'Allocators Data'!Q22/'Allocators Data'!$DF22</f>
        <v>1.8145722770964977E-4</v>
      </c>
      <c r="O22" s="21">
        <f>'Allocators Data'!R22/'Allocators Data'!$DF22</f>
        <v>1.4493103926376447E-4</v>
      </c>
      <c r="P22" s="20">
        <f>'Allocators Data'!S22/'Allocators Data'!$DF22</f>
        <v>0</v>
      </c>
      <c r="Q22" s="20">
        <f>'Allocators Data'!T22/'Allocators Data'!$DF22</f>
        <v>0</v>
      </c>
      <c r="R22" s="20">
        <f>'Allocators Data'!U22/'Allocators Data'!$DF22</f>
        <v>0</v>
      </c>
      <c r="S22" s="21">
        <f>'Allocators Data'!V22/'Allocators Data'!$DF22</f>
        <v>0</v>
      </c>
      <c r="T22" s="20">
        <f>'Allocators Data'!W22/'Allocators Data'!$DF22</f>
        <v>0</v>
      </c>
      <c r="U22" s="20">
        <f>'Allocators Data'!X22/'Allocators Data'!$DF22</f>
        <v>0</v>
      </c>
      <c r="V22" s="20">
        <f>'Allocators Data'!Y22/'Allocators Data'!$DF22</f>
        <v>0</v>
      </c>
      <c r="W22" s="20">
        <f>'Allocators Data'!Z22/'Allocators Data'!$DF22</f>
        <v>0</v>
      </c>
      <c r="X22" s="22"/>
      <c r="Y22" s="20">
        <f>'Allocators Data'!AB22/'Allocators Data'!$DF22</f>
        <v>0</v>
      </c>
      <c r="Z22" s="20">
        <f>'Allocators Data'!AC22/'Allocators Data'!$DF22</f>
        <v>3.801532186889425E-5</v>
      </c>
      <c r="AA22" s="20">
        <f>'Allocators Data'!AD22/'Allocators Data'!$DF22</f>
        <v>0</v>
      </c>
      <c r="AB22" s="20">
        <f>'Allocators Data'!AE22/'Allocators Data'!$DF22</f>
        <v>1.2027498690301917E-4</v>
      </c>
      <c r="AC22" s="20">
        <f>'Allocators Data'!AF22/'Allocators Data'!$DF22</f>
        <v>2.0034022043647413E-3</v>
      </c>
      <c r="AD22" s="20">
        <f>'Allocators Data'!AG22/'Allocators Data'!$DF22</f>
        <v>5.8751565940995489E-2</v>
      </c>
      <c r="AE22" s="20">
        <f>'Allocators Data'!AH22/'Allocators Data'!$DF22</f>
        <v>0.3248941583584683</v>
      </c>
      <c r="AF22" s="22"/>
      <c r="AG22" s="20">
        <f>'Allocators Data'!AJ22/'Allocators Data'!$DF22</f>
        <v>1.6004304839992761E-5</v>
      </c>
      <c r="AH22" s="20">
        <f>'Allocators Data'!AK22/'Allocators Data'!$DF22</f>
        <v>3.0791622923904228E-5</v>
      </c>
      <c r="AI22" s="20">
        <f>'Allocators Data'!AL22/'Allocators Data'!$DF22</f>
        <v>6.3980059459021996E-5</v>
      </c>
      <c r="AJ22" s="20">
        <f>'Allocators Data'!AM22/'Allocators Data'!$DF22</f>
        <v>1.2186591374235076E-4</v>
      </c>
      <c r="AK22" s="20">
        <f>'Allocators Data'!AN22/'Allocators Data'!$DF22</f>
        <v>0</v>
      </c>
      <c r="AL22" s="21">
        <f>'Allocators Data'!AO22/'Allocators Data'!$DF22</f>
        <v>0</v>
      </c>
      <c r="AM22" s="20">
        <f>'Allocators Data'!AP22/'Allocators Data'!$DF22</f>
        <v>1.5148897130240222E-6</v>
      </c>
      <c r="AN22" s="20">
        <f>'Allocators Data'!AQ22/'Allocators Data'!$DF22</f>
        <v>3.5347426637227182E-6</v>
      </c>
      <c r="AO22" s="20">
        <f>'Allocators Data'!AR22/'Allocators Data'!$DF22</f>
        <v>7.5744485651201115E-6</v>
      </c>
      <c r="AP22" s="20">
        <f>'Allocators Data'!AS22/'Allocators Data'!$DF22</f>
        <v>3.6438147230604483E-3</v>
      </c>
      <c r="AQ22" s="20">
        <f>'Allocators Data'!AT22/'Allocators Data'!$DF22</f>
        <v>5.9134592157121426E-4</v>
      </c>
      <c r="AR22" s="21">
        <f>'Allocators Data'!AU22/'Allocators Data'!$DF22</f>
        <v>2.7833022791641483E-4</v>
      </c>
      <c r="AS22" s="20">
        <f>'Allocators Data'!AV22/'Allocators Data'!$DF22</f>
        <v>8.0267849042788731E-6</v>
      </c>
      <c r="AT22" s="20">
        <f>'Allocators Data'!AW22/'Allocators Data'!$DF22</f>
        <v>1.8351548004803307E-5</v>
      </c>
      <c r="AU22" s="20">
        <f>'Allocators Data'!AX22/'Allocators Data'!$DF22</f>
        <v>3.6744964622701383E-5</v>
      </c>
      <c r="AV22" s="20">
        <f>'Allocators Data'!AY22/'Allocators Data'!$DF22</f>
        <v>4.1314141702702501E-3</v>
      </c>
      <c r="AW22" s="20">
        <f>'Allocators Data'!AZ22/'Allocators Data'!$DF22</f>
        <v>3.7866379458015051E-3</v>
      </c>
      <c r="AX22" s="21">
        <f>'Allocators Data'!BA22/'Allocators Data'!$DF22</f>
        <v>3.3227558458989904E-4</v>
      </c>
      <c r="AY22" s="20">
        <f>'Allocators Data'!BB22/'Allocators Data'!$DF22</f>
        <v>9.7447261406901631E-3</v>
      </c>
      <c r="AZ22" s="20">
        <f>'Allocators Data'!BC22/'Allocators Data'!$DF22</f>
        <v>1.9239523102746674E-2</v>
      </c>
      <c r="BA22" s="20">
        <f>'Allocators Data'!BD22/'Allocators Data'!$DF22</f>
        <v>2.918541190486278E-2</v>
      </c>
      <c r="BB22" s="20">
        <f>'Allocators Data'!BE22/'Allocators Data'!$DF22</f>
        <v>0.18401002512011372</v>
      </c>
      <c r="BC22" s="20">
        <f>'Allocators Data'!BF22/'Allocators Data'!$DF22</f>
        <v>0.10146375461206725</v>
      </c>
      <c r="BD22" s="21">
        <f>'Allocators Data'!BG22/'Allocators Data'!$DF22</f>
        <v>7.4349938234211779E-2</v>
      </c>
      <c r="BE22" s="20">
        <f>'Allocators Data'!BH22/'Allocators Data'!$DF22</f>
        <v>1.127772174249972E-4</v>
      </c>
      <c r="BF22" s="20">
        <f>'Allocators Data'!BI22/'Allocators Data'!$DF22</f>
        <v>2.581941861286212E-4</v>
      </c>
      <c r="BG22" s="20">
        <f>'Allocators Data'!BJ22/'Allocators Data'!$DF22</f>
        <v>5.3993445351309887E-4</v>
      </c>
      <c r="BH22" s="20">
        <f>'Allocators Data'!BK22/'Allocators Data'!$DF22</f>
        <v>1.104847726210197E-2</v>
      </c>
      <c r="BI22" s="20">
        <f>'Allocators Data'!BL22/'Allocators Data'!$DF22</f>
        <v>6.2576023227057503E-3</v>
      </c>
      <c r="BJ22" s="21">
        <f>'Allocators Data'!BM22/'Allocators Data'!$DF22</f>
        <v>6.6720463740678531E-3</v>
      </c>
      <c r="BK22" s="20">
        <f>'Allocators Data'!BN22/'Allocators Data'!$DF22</f>
        <v>2.8761763334562522E-5</v>
      </c>
      <c r="BL22" s="20">
        <f>'Allocators Data'!BO22/'Allocators Data'!$DF22</f>
        <v>1.3035228754163891E-4</v>
      </c>
      <c r="BM22" s="20">
        <f>'Allocators Data'!BP22/'Allocators Data'!$DF22</f>
        <v>2.7368499298354186E-4</v>
      </c>
      <c r="BN22" s="20">
        <f>'Allocators Data'!BQ22/'Allocators Data'!$DF22</f>
        <v>1.8513387801948613E-3</v>
      </c>
      <c r="BO22" s="20">
        <f>'Allocators Data'!BR22/'Allocators Data'!$DF22</f>
        <v>0</v>
      </c>
      <c r="BP22" s="21">
        <f>'Allocators Data'!BS22/'Allocators Data'!$DF22</f>
        <v>0</v>
      </c>
      <c r="BQ22" s="20">
        <f>'Allocators Data'!BT22/'Allocators Data'!$DF22</f>
        <v>0</v>
      </c>
      <c r="BR22" s="20">
        <f>'Allocators Data'!BU22/'Allocators Data'!$DF22</f>
        <v>0</v>
      </c>
      <c r="BS22" s="20">
        <f>'Allocators Data'!BV22/'Allocators Data'!$DF22</f>
        <v>0</v>
      </c>
      <c r="BT22" s="20">
        <f>'Allocators Data'!BW22/'Allocators Data'!$DF22</f>
        <v>0</v>
      </c>
      <c r="BU22" s="20">
        <f>'Allocators Data'!BX22/'Allocators Data'!$DF22</f>
        <v>0</v>
      </c>
      <c r="BV22" s="21">
        <f>'Allocators Data'!BY22/'Allocators Data'!$DF22</f>
        <v>0</v>
      </c>
      <c r="BW22" s="22"/>
      <c r="BX22" s="20">
        <f>'Allocators Data'!CA22/'Allocators Data'!$DF22</f>
        <v>0</v>
      </c>
      <c r="BY22" s="20">
        <f>'Allocators Data'!CB22/'Allocators Data'!$DF22</f>
        <v>0</v>
      </c>
      <c r="BZ22" s="20">
        <f>'Allocators Data'!CC22/'Allocators Data'!$DF22</f>
        <v>0</v>
      </c>
      <c r="CA22" s="20">
        <f>'Allocators Data'!CD22/'Allocators Data'!$DF22</f>
        <v>0</v>
      </c>
      <c r="CB22" s="20">
        <f>'Allocators Data'!CE22/'Allocators Data'!$DF22</f>
        <v>0</v>
      </c>
      <c r="CC22" s="20">
        <f>'Allocators Data'!CF22/'Allocators Data'!$DF22</f>
        <v>0</v>
      </c>
      <c r="CD22" s="20">
        <f>'Allocators Data'!CG22/'Allocators Data'!$DF22</f>
        <v>0</v>
      </c>
      <c r="CE22" s="20">
        <f>'Allocators Data'!CH22/'Allocators Data'!$DF22</f>
        <v>0</v>
      </c>
      <c r="CF22" s="20">
        <f>'Allocators Data'!CI22/'Allocators Data'!$DF22</f>
        <v>0</v>
      </c>
      <c r="CG22" s="20">
        <f>'Allocators Data'!CJ22/'Allocators Data'!$DF22</f>
        <v>0</v>
      </c>
      <c r="CH22" s="22"/>
      <c r="CI22" s="20">
        <f>'Allocators Data'!CL22/'Allocators Data'!$DF22</f>
        <v>0</v>
      </c>
      <c r="CJ22" s="20">
        <f>'Allocators Data'!CM22/'Allocators Data'!$DF22</f>
        <v>0</v>
      </c>
      <c r="CK22" s="20">
        <f>'Allocators Data'!CN22/'Allocators Data'!$DF22</f>
        <v>0</v>
      </c>
      <c r="CL22" s="29">
        <f>'Allocators Data'!CO22/'Allocators Data'!$DF22</f>
        <v>0</v>
      </c>
      <c r="CM22" s="20">
        <f>'Allocators Data'!CP22/'Allocators Data'!$DF22</f>
        <v>0</v>
      </c>
      <c r="CN22" s="20">
        <f>'Allocators Data'!CQ22/'Allocators Data'!$DF22</f>
        <v>0</v>
      </c>
      <c r="CO22" s="22"/>
      <c r="CP22" s="20">
        <f>'Allocators Data'!CS22/'Allocators Data'!$DF22</f>
        <v>2.764928622458487E-4</v>
      </c>
      <c r="CQ22" s="20">
        <f>'Allocators Data'!CT22/'Allocators Data'!$DF22</f>
        <v>2.2067459669009018E-3</v>
      </c>
      <c r="CR22" s="22"/>
      <c r="CS22" s="20">
        <f>'Allocators Data'!CV22/'Allocators Data'!$DF22</f>
        <v>0</v>
      </c>
      <c r="CT22" s="20">
        <f>'Allocators Data'!CW22/'Allocators Data'!$DF22</f>
        <v>0</v>
      </c>
      <c r="CU22" s="20">
        <f>'Allocators Data'!CX22/'Allocators Data'!$DF22</f>
        <v>0</v>
      </c>
      <c r="CV22" s="20">
        <f>'Allocators Data'!CY22/'Allocators Data'!$DF22</f>
        <v>0</v>
      </c>
      <c r="CW22" s="20">
        <f>'Allocators Data'!CZ22/'Allocators Data'!$DF22</f>
        <v>0</v>
      </c>
      <c r="CX22" s="20">
        <f>'Allocators Data'!DA22/'Allocators Data'!$DF22</f>
        <v>0</v>
      </c>
      <c r="CY22" s="20">
        <f>'Allocators Data'!DB22/'Allocators Data'!$DF22</f>
        <v>0</v>
      </c>
      <c r="CZ22" s="20">
        <f>'Allocators Data'!DC22/'Allocators Data'!$DF22</f>
        <v>0</v>
      </c>
      <c r="DA22" s="20">
        <f>'Allocators Data'!DD22/'Allocators Data'!$DF22</f>
        <v>0</v>
      </c>
      <c r="DB22" s="22"/>
      <c r="DC22" s="20">
        <f t="shared" si="7"/>
        <v>0.99999999999999978</v>
      </c>
    </row>
    <row r="23" spans="1:107" x14ac:dyDescent="0.2">
      <c r="A23">
        <v>6</v>
      </c>
      <c r="B23" t="s">
        <v>237</v>
      </c>
      <c r="C23" s="20">
        <f>'Allocators Data'!F23/'Allocators Data'!$DF23</f>
        <v>2.4714954566034356E-2</v>
      </c>
      <c r="D23" s="20">
        <f>'Allocators Data'!G23/'Allocators Data'!$DF23</f>
        <v>3.3826638044238612E-2</v>
      </c>
      <c r="E23" s="20">
        <f>'Allocators Data'!H23/'Allocators Data'!$DF23</f>
        <v>3.6055708595869533E-2</v>
      </c>
      <c r="F23" s="20">
        <f>'Allocators Data'!I23/'Allocators Data'!$DF23</f>
        <v>5.8904722005829427E-2</v>
      </c>
      <c r="G23" s="31">
        <f>'Allocators Data'!J23/'Allocators Data'!$DF23</f>
        <v>8.2843283110185459E-4</v>
      </c>
      <c r="H23" s="20">
        <f>'Allocators Data'!K23/'Allocators Data'!$DF23</f>
        <v>5.6124584933078511E-7</v>
      </c>
      <c r="I23" s="20">
        <f>'Allocators Data'!L23/'Allocators Data'!$DF23</f>
        <v>0</v>
      </c>
      <c r="J23" s="20">
        <f>'Allocators Data'!M23/'Allocators Data'!$DF23</f>
        <v>0</v>
      </c>
      <c r="K23" s="21">
        <f>'Allocators Data'!N23/'Allocators Data'!$DF23</f>
        <v>0</v>
      </c>
      <c r="L23" s="20">
        <f>'Allocators Data'!O23/'Allocators Data'!$DF23</f>
        <v>2.5813821447149606E-3</v>
      </c>
      <c r="M23" s="20">
        <f>'Allocators Data'!P23/'Allocators Data'!$DF23</f>
        <v>1.385583065547695E-3</v>
      </c>
      <c r="N23" s="20">
        <f>'Allocators Data'!Q23/'Allocators Data'!$DF23</f>
        <v>1.6893257459425491E-4</v>
      </c>
      <c r="O23" s="21">
        <f>'Allocators Data'!R23/'Allocators Data'!$DF23</f>
        <v>1.3492751934150022E-4</v>
      </c>
      <c r="P23" s="20">
        <f>'Allocators Data'!S23/'Allocators Data'!$DF23</f>
        <v>0</v>
      </c>
      <c r="Q23" s="20">
        <f>'Allocators Data'!T23/'Allocators Data'!$DF23</f>
        <v>0</v>
      </c>
      <c r="R23" s="20">
        <f>'Allocators Data'!U23/'Allocators Data'!$DF23</f>
        <v>0</v>
      </c>
      <c r="S23" s="21">
        <f>'Allocators Data'!V23/'Allocators Data'!$DF23</f>
        <v>0</v>
      </c>
      <c r="T23" s="20">
        <f>'Allocators Data'!W23/'Allocators Data'!$DF23</f>
        <v>0</v>
      </c>
      <c r="U23" s="20">
        <f>'Allocators Data'!X23/'Allocators Data'!$DF23</f>
        <v>0</v>
      </c>
      <c r="V23" s="20">
        <f>'Allocators Data'!Y23/'Allocators Data'!$DF23</f>
        <v>0</v>
      </c>
      <c r="W23" s="20">
        <f>'Allocators Data'!Z23/'Allocators Data'!$DF23</f>
        <v>0</v>
      </c>
      <c r="X23" s="22"/>
      <c r="Y23" s="20">
        <f>'Allocators Data'!AB23/'Allocators Data'!$DF23</f>
        <v>0</v>
      </c>
      <c r="Z23" s="20">
        <f>'Allocators Data'!AC23/'Allocators Data'!$DF23</f>
        <v>4.5243031925292597E-5</v>
      </c>
      <c r="AA23" s="20">
        <f>'Allocators Data'!AD23/'Allocators Data'!$DF23</f>
        <v>0</v>
      </c>
      <c r="AB23" s="20">
        <f>'Allocators Data'!AE23/'Allocators Data'!$DF23</f>
        <v>1.3488941966901058E-4</v>
      </c>
      <c r="AC23" s="20">
        <f>'Allocators Data'!AF23/'Allocators Data'!$DF23</f>
        <v>1.6112125822913771E-3</v>
      </c>
      <c r="AD23" s="20">
        <f>'Allocators Data'!AG23/'Allocators Data'!$DF23</f>
        <v>5.7449192821671324E-2</v>
      </c>
      <c r="AE23" s="20">
        <f>'Allocators Data'!AH23/'Allocators Data'!$DF23</f>
        <v>0.32352616048179672</v>
      </c>
      <c r="AF23" s="22"/>
      <c r="AG23" s="20">
        <f>'Allocators Data'!AJ23/'Allocators Data'!$DF23</f>
        <v>1.2028894933909288E-5</v>
      </c>
      <c r="AH23" s="20">
        <f>'Allocators Data'!AK23/'Allocators Data'!$DF23</f>
        <v>3.2262981071537313E-5</v>
      </c>
      <c r="AI23" s="20">
        <f>'Allocators Data'!AL23/'Allocators Data'!$DF23</f>
        <v>4.4372658478619641E-5</v>
      </c>
      <c r="AJ23" s="20">
        <f>'Allocators Data'!AM23/'Allocators Data'!$DF23</f>
        <v>1.5738156827104692E-4</v>
      </c>
      <c r="AK23" s="20">
        <f>'Allocators Data'!AN23/'Allocators Data'!$DF23</f>
        <v>0</v>
      </c>
      <c r="AL23" s="21">
        <f>'Allocators Data'!AO23/'Allocators Data'!$DF23</f>
        <v>0</v>
      </c>
      <c r="AM23" s="20">
        <f>'Allocators Data'!AP23/'Allocators Data'!$DF23</f>
        <v>1.5488972066424088E-6</v>
      </c>
      <c r="AN23" s="20">
        <f>'Allocators Data'!AQ23/'Allocators Data'!$DF23</f>
        <v>3.6140934821656196E-6</v>
      </c>
      <c r="AO23" s="20">
        <f>'Allocators Data'!AR23/'Allocators Data'!$DF23</f>
        <v>7.7444860332120418E-6</v>
      </c>
      <c r="AP23" s="20">
        <f>'Allocators Data'!AS23/'Allocators Data'!$DF23</f>
        <v>3.7256140810438734E-3</v>
      </c>
      <c r="AQ23" s="20">
        <f>'Allocators Data'!AT23/'Allocators Data'!$DF23</f>
        <v>6.0462094250587212E-4</v>
      </c>
      <c r="AR23" s="21">
        <f>'Allocators Data'!AU23/'Allocators Data'!$DF23</f>
        <v>2.8457841441361986E-4</v>
      </c>
      <c r="AS23" s="20">
        <f>'Allocators Data'!AV23/'Allocators Data'!$DF23</f>
        <v>7.4764960190553676E-6</v>
      </c>
      <c r="AT23" s="20">
        <f>'Allocators Data'!AW23/'Allocators Data'!$DF23</f>
        <v>1.7093428718673498E-5</v>
      </c>
      <c r="AU23" s="20">
        <f>'Allocators Data'!AX23/'Allocators Data'!$DF23</f>
        <v>3.4225855681707516E-5</v>
      </c>
      <c r="AV23" s="20">
        <f>'Allocators Data'!AY23/'Allocators Data'!$DF23</f>
        <v>3.8481785628301304E-3</v>
      </c>
      <c r="AW23" s="20">
        <f>'Allocators Data'!AZ23/'Allocators Data'!$DF23</f>
        <v>3.5270390156209612E-3</v>
      </c>
      <c r="AX23" s="21">
        <f>'Allocators Data'!BA23/'Allocators Data'!$DF23</f>
        <v>3.0949590839183714E-4</v>
      </c>
      <c r="AY23" s="20">
        <f>'Allocators Data'!BB23/'Allocators Data'!$DF23</f>
        <v>9.7279781624551552E-3</v>
      </c>
      <c r="AZ23" s="20">
        <f>'Allocators Data'!BC23/'Allocators Data'!$DF23</f>
        <v>1.9206456692308391E-2</v>
      </c>
      <c r="BA23" s="20">
        <f>'Allocators Data'!BD23/'Allocators Data'!$DF23</f>
        <v>2.9135251783756724E-2</v>
      </c>
      <c r="BB23" s="20">
        <f>'Allocators Data'!BE23/'Allocators Data'!$DF23</f>
        <v>0.18369377242596499</v>
      </c>
      <c r="BC23" s="20">
        <f>'Allocators Data'!BF23/'Allocators Data'!$DF23</f>
        <v>0.10128937179931795</v>
      </c>
      <c r="BD23" s="21">
        <f>'Allocators Data'!BG23/'Allocators Data'!$DF23</f>
        <v>7.4222155151409563E-2</v>
      </c>
      <c r="BE23" s="20">
        <f>'Allocators Data'!BH23/'Allocators Data'!$DF23</f>
        <v>1.0462991292848885E-4</v>
      </c>
      <c r="BF23" s="20">
        <f>'Allocators Data'!BI23/'Allocators Data'!$DF23</f>
        <v>2.3954160095540546E-4</v>
      </c>
      <c r="BG23" s="20">
        <f>'Allocators Data'!BJ23/'Allocators Data'!$DF23</f>
        <v>5.0092825615011976E-4</v>
      </c>
      <c r="BH23" s="20">
        <f>'Allocators Data'!BK23/'Allocators Data'!$DF23</f>
        <v>1.0250307999440753E-2</v>
      </c>
      <c r="BI23" s="20">
        <f>'Allocators Data'!BL23/'Allocators Data'!$DF23</f>
        <v>5.8055376885073774E-3</v>
      </c>
      <c r="BJ23" s="21">
        <f>'Allocators Data'!BM23/'Allocators Data'!$DF23</f>
        <v>6.1900412788410001E-3</v>
      </c>
      <c r="BK23" s="20">
        <f>'Allocators Data'!BN23/'Allocators Data'!$DF23</f>
        <v>4.3766789929821845E-5</v>
      </c>
      <c r="BL23" s="20">
        <f>'Allocators Data'!BO23/'Allocators Data'!$DF23</f>
        <v>1.6728319141139948E-4</v>
      </c>
      <c r="BM23" s="20">
        <f>'Allocators Data'!BP23/'Allocators Data'!$DF23</f>
        <v>3.5659499390019951E-4</v>
      </c>
      <c r="BN23" s="20">
        <f>'Allocators Data'!BQ23/'Allocators Data'!$DF23</f>
        <v>2.7209748865730924E-3</v>
      </c>
      <c r="BO23" s="20">
        <f>'Allocators Data'!BR23/'Allocators Data'!$DF23</f>
        <v>0</v>
      </c>
      <c r="BP23" s="21">
        <f>'Allocators Data'!BS23/'Allocators Data'!$DF23</f>
        <v>0</v>
      </c>
      <c r="BQ23" s="20">
        <f>'Allocators Data'!BT23/'Allocators Data'!$DF23</f>
        <v>0</v>
      </c>
      <c r="BR23" s="20">
        <f>'Allocators Data'!BU23/'Allocators Data'!$DF23</f>
        <v>0</v>
      </c>
      <c r="BS23" s="20">
        <f>'Allocators Data'!BV23/'Allocators Data'!$DF23</f>
        <v>0</v>
      </c>
      <c r="BT23" s="20">
        <f>'Allocators Data'!BW23/'Allocators Data'!$DF23</f>
        <v>0</v>
      </c>
      <c r="BU23" s="20">
        <f>'Allocators Data'!BX23/'Allocators Data'!$DF23</f>
        <v>0</v>
      </c>
      <c r="BV23" s="21">
        <f>'Allocators Data'!BY23/'Allocators Data'!$DF23</f>
        <v>0</v>
      </c>
      <c r="BW23" s="22"/>
      <c r="BX23" s="20">
        <f>'Allocators Data'!CA23/'Allocators Data'!$DF23</f>
        <v>0</v>
      </c>
      <c r="BY23" s="20">
        <f>'Allocators Data'!CB23/'Allocators Data'!$DF23</f>
        <v>0</v>
      </c>
      <c r="BZ23" s="20">
        <f>'Allocators Data'!CC23/'Allocators Data'!$DF23</f>
        <v>0</v>
      </c>
      <c r="CA23" s="20">
        <f>'Allocators Data'!CD23/'Allocators Data'!$DF23</f>
        <v>0</v>
      </c>
      <c r="CB23" s="20">
        <f>'Allocators Data'!CE23/'Allocators Data'!$DF23</f>
        <v>0</v>
      </c>
      <c r="CC23" s="20">
        <f>'Allocators Data'!CF23/'Allocators Data'!$DF23</f>
        <v>0</v>
      </c>
      <c r="CD23" s="20">
        <f>'Allocators Data'!CG23/'Allocators Data'!$DF23</f>
        <v>0</v>
      </c>
      <c r="CE23" s="20">
        <f>'Allocators Data'!CH23/'Allocators Data'!$DF23</f>
        <v>0</v>
      </c>
      <c r="CF23" s="20">
        <f>'Allocators Data'!CI23/'Allocators Data'!$DF23</f>
        <v>0</v>
      </c>
      <c r="CG23" s="20">
        <f>'Allocators Data'!CJ23/'Allocators Data'!$DF23</f>
        <v>0</v>
      </c>
      <c r="CH23" s="22"/>
      <c r="CI23" s="20">
        <f>'Allocators Data'!CL23/'Allocators Data'!$DF23</f>
        <v>0</v>
      </c>
      <c r="CJ23" s="20">
        <f>'Allocators Data'!CM23/'Allocators Data'!$DF23</f>
        <v>0</v>
      </c>
      <c r="CK23" s="20">
        <f>'Allocators Data'!CN23/'Allocators Data'!$DF23</f>
        <v>0</v>
      </c>
      <c r="CL23" s="29">
        <f>'Allocators Data'!CO23/'Allocators Data'!$DF23</f>
        <v>0</v>
      </c>
      <c r="CM23" s="20">
        <f>'Allocators Data'!CP23/'Allocators Data'!$DF23</f>
        <v>0</v>
      </c>
      <c r="CN23" s="20">
        <f>'Allocators Data'!CQ23/'Allocators Data'!$DF23</f>
        <v>0</v>
      </c>
      <c r="CO23" s="22"/>
      <c r="CP23" s="20">
        <f>'Allocators Data'!CS23/'Allocators Data'!$DF23</f>
        <v>2.6272536996498416E-4</v>
      </c>
      <c r="CQ23" s="20">
        <f>'Allocators Data'!CT23/'Allocators Data'!$DF23</f>
        <v>2.0968648010061992E-3</v>
      </c>
      <c r="CR23" s="22"/>
      <c r="CS23" s="20">
        <f>'Allocators Data'!CV23/'Allocators Data'!$DF23</f>
        <v>0</v>
      </c>
      <c r="CT23" s="20">
        <f>'Allocators Data'!CW23/'Allocators Data'!$DF23</f>
        <v>0</v>
      </c>
      <c r="CU23" s="20">
        <f>'Allocators Data'!CX23/'Allocators Data'!$DF23</f>
        <v>0</v>
      </c>
      <c r="CV23" s="20">
        <f>'Allocators Data'!CY23/'Allocators Data'!$DF23</f>
        <v>0</v>
      </c>
      <c r="CW23" s="20">
        <f>'Allocators Data'!CZ23/'Allocators Data'!$DF23</f>
        <v>0</v>
      </c>
      <c r="CX23" s="20">
        <f>'Allocators Data'!DA23/'Allocators Data'!$DF23</f>
        <v>0</v>
      </c>
      <c r="CY23" s="20">
        <f>'Allocators Data'!DB23/'Allocators Data'!$DF23</f>
        <v>0</v>
      </c>
      <c r="CZ23" s="20">
        <f>'Allocators Data'!DC23/'Allocators Data'!$DF23</f>
        <v>0</v>
      </c>
      <c r="DA23" s="20">
        <f>'Allocators Data'!DD23/'Allocators Data'!$DF23</f>
        <v>0</v>
      </c>
      <c r="DB23" s="22"/>
      <c r="DC23" s="20">
        <f t="shared" si="7"/>
        <v>0.99999999999999956</v>
      </c>
    </row>
    <row r="24" spans="1:107" x14ac:dyDescent="0.2">
      <c r="A24">
        <v>7</v>
      </c>
      <c r="B24" t="s">
        <v>238</v>
      </c>
      <c r="C24" s="20">
        <f>'Allocators Data'!F24/'Allocators Data'!$DF24</f>
        <v>2.3692088066298248E-2</v>
      </c>
      <c r="D24" s="20">
        <f>'Allocators Data'!G24/'Allocators Data'!$DF24</f>
        <v>3.3971240295131697E-2</v>
      </c>
      <c r="E24" s="20">
        <f>'Allocators Data'!H24/'Allocators Data'!$DF24</f>
        <v>3.7639558200659798E-2</v>
      </c>
      <c r="F24" s="20">
        <f>'Allocators Data'!I24/'Allocators Data'!$DF24</f>
        <v>6.1088834026511427E-2</v>
      </c>
      <c r="G24" s="31">
        <f>'Allocators Data'!J24/'Allocators Data'!$DF24</f>
        <v>8.0753194186220477E-4</v>
      </c>
      <c r="H24" s="20">
        <f>'Allocators Data'!K24/'Allocators Data'!$DF24</f>
        <v>5.3518126953114599E-7</v>
      </c>
      <c r="I24" s="20">
        <f>'Allocators Data'!L24/'Allocators Data'!$DF24</f>
        <v>0</v>
      </c>
      <c r="J24" s="20">
        <f>'Allocators Data'!M24/'Allocators Data'!$DF24</f>
        <v>0</v>
      </c>
      <c r="K24" s="21">
        <f>'Allocators Data'!N24/'Allocators Data'!$DF24</f>
        <v>0</v>
      </c>
      <c r="L24" s="20">
        <f>'Allocators Data'!O24/'Allocators Data'!$DF24</f>
        <v>2.2991113062600195E-3</v>
      </c>
      <c r="M24" s="20">
        <f>'Allocators Data'!P24/'Allocators Data'!$DF24</f>
        <v>1.2339973125275233E-3</v>
      </c>
      <c r="N24" s="20">
        <f>'Allocators Data'!Q24/'Allocators Data'!$DF24</f>
        <v>1.5045098935679088E-4</v>
      </c>
      <c r="O24" s="21">
        <f>'Allocators Data'!R24/'Allocators Data'!$DF24</f>
        <v>1.2016615993181347E-4</v>
      </c>
      <c r="P24" s="20">
        <f>'Allocators Data'!S24/'Allocators Data'!$DF24</f>
        <v>0</v>
      </c>
      <c r="Q24" s="20">
        <f>'Allocators Data'!T24/'Allocators Data'!$DF24</f>
        <v>0</v>
      </c>
      <c r="R24" s="20">
        <f>'Allocators Data'!U24/'Allocators Data'!$DF24</f>
        <v>0</v>
      </c>
      <c r="S24" s="21">
        <f>'Allocators Data'!V24/'Allocators Data'!$DF24</f>
        <v>0</v>
      </c>
      <c r="T24" s="20">
        <f>'Allocators Data'!W24/'Allocators Data'!$DF24</f>
        <v>0</v>
      </c>
      <c r="U24" s="20">
        <f>'Allocators Data'!X24/'Allocators Data'!$DF24</f>
        <v>0</v>
      </c>
      <c r="V24" s="20">
        <f>'Allocators Data'!Y24/'Allocators Data'!$DF24</f>
        <v>0</v>
      </c>
      <c r="W24" s="20">
        <f>'Allocators Data'!Z24/'Allocators Data'!$DF24</f>
        <v>0</v>
      </c>
      <c r="X24" s="22"/>
      <c r="Y24" s="20">
        <f>'Allocators Data'!AB24/'Allocators Data'!$DF24</f>
        <v>0</v>
      </c>
      <c r="Z24" s="20">
        <f>'Allocators Data'!AC24/'Allocators Data'!$DF24</f>
        <v>4.6240439332653052E-5</v>
      </c>
      <c r="AA24" s="20">
        <f>'Allocators Data'!AD24/'Allocators Data'!$DF24</f>
        <v>0</v>
      </c>
      <c r="AB24" s="20">
        <f>'Allocators Data'!AE24/'Allocators Data'!$DF24</f>
        <v>1.364106994607557E-4</v>
      </c>
      <c r="AC24" s="20">
        <f>'Allocators Data'!AF24/'Allocators Data'!$DF24</f>
        <v>1.1291723212547859E-3</v>
      </c>
      <c r="AD24" s="20">
        <f>'Allocators Data'!AG24/'Allocators Data'!$DF24</f>
        <v>5.5840726031073547E-2</v>
      </c>
      <c r="AE24" s="20">
        <f>'Allocators Data'!AH24/'Allocators Data'!$DF24</f>
        <v>0.31832715325727079</v>
      </c>
      <c r="AF24" s="22"/>
      <c r="AG24" s="20">
        <f>'Allocators Data'!AJ24/'Allocators Data'!$DF24</f>
        <v>2.1588823590305411E-5</v>
      </c>
      <c r="AH24" s="20">
        <f>'Allocators Data'!AK24/'Allocators Data'!$DF24</f>
        <v>5.7309147118025081E-5</v>
      </c>
      <c r="AI24" s="20">
        <f>'Allocators Data'!AL24/'Allocators Data'!$DF24</f>
        <v>5.9722781630372536E-5</v>
      </c>
      <c r="AJ24" s="20">
        <f>'Allocators Data'!AM24/'Allocators Data'!$DF24</f>
        <v>2.4387185208087211E-4</v>
      </c>
      <c r="AK24" s="20">
        <f>'Allocators Data'!AN24/'Allocators Data'!$DF24</f>
        <v>0</v>
      </c>
      <c r="AL24" s="21">
        <f>'Allocators Data'!AO24/'Allocators Data'!$DF24</f>
        <v>0</v>
      </c>
      <c r="AM24" s="20">
        <f>'Allocators Data'!AP24/'Allocators Data'!$DF24</f>
        <v>1.4344223469321258E-6</v>
      </c>
      <c r="AN24" s="20">
        <f>'Allocators Data'!AQ24/'Allocators Data'!$DF24</f>
        <v>3.3469854761749599E-6</v>
      </c>
      <c r="AO24" s="20">
        <f>'Allocators Data'!AR24/'Allocators Data'!$DF24</f>
        <v>7.1721117346606289E-6</v>
      </c>
      <c r="AP24" s="20">
        <f>'Allocators Data'!AS24/'Allocators Data'!$DF24</f>
        <v>3.4502638851540732E-3</v>
      </c>
      <c r="AQ24" s="20">
        <f>'Allocators Data'!AT24/'Allocators Data'!$DF24</f>
        <v>5.5993502192028624E-4</v>
      </c>
      <c r="AR24" s="21">
        <f>'Allocators Data'!AU24/'Allocators Data'!$DF24</f>
        <v>2.6354598312840097E-4</v>
      </c>
      <c r="AS24" s="20">
        <f>'Allocators Data'!AV24/'Allocators Data'!$DF24</f>
        <v>7.6012233226294995E-6</v>
      </c>
      <c r="AT24" s="20">
        <f>'Allocators Data'!AW24/'Allocators Data'!$DF24</f>
        <v>1.7378591349334021E-5</v>
      </c>
      <c r="AU24" s="20">
        <f>'Allocators Data'!AX24/'Allocators Data'!$DF24</f>
        <v>3.4796831534676155E-5</v>
      </c>
      <c r="AV24" s="20">
        <f>'Allocators Data'!AY24/'Allocators Data'!$DF24</f>
        <v>3.9123761407583836E-3</v>
      </c>
      <c r="AW24" s="20">
        <f>'Allocators Data'!AZ24/'Allocators Data'!$DF24</f>
        <v>3.5858791547580576E-3</v>
      </c>
      <c r="AX24" s="21">
        <f>'Allocators Data'!BA24/'Allocators Data'!$DF24</f>
        <v>3.1465910115253064E-4</v>
      </c>
      <c r="AY24" s="20">
        <f>'Allocators Data'!BB24/'Allocators Data'!$DF24</f>
        <v>9.8679922487770275E-3</v>
      </c>
      <c r="AZ24" s="20">
        <f>'Allocators Data'!BC24/'Allocators Data'!$DF24</f>
        <v>1.9482893834779882E-2</v>
      </c>
      <c r="BA24" s="20">
        <f>'Allocators Data'!BD24/'Allocators Data'!$DF24</f>
        <v>2.9554593356089249E-2</v>
      </c>
      <c r="BB24" s="20">
        <f>'Allocators Data'!BE24/'Allocators Data'!$DF24</f>
        <v>0.1863376636107236</v>
      </c>
      <c r="BC24" s="20">
        <f>'Allocators Data'!BF24/'Allocators Data'!$DF24</f>
        <v>0.10274722240401327</v>
      </c>
      <c r="BD24" s="21">
        <f>'Allocators Data'!BG24/'Allocators Data'!$DF24</f>
        <v>7.5290429263955683E-2</v>
      </c>
      <c r="BE24" s="20">
        <f>'Allocators Data'!BH24/'Allocators Data'!$DF24</f>
        <v>9.9304427143828022E-5</v>
      </c>
      <c r="BF24" s="20">
        <f>'Allocators Data'!BI24/'Allocators Data'!$DF24</f>
        <v>2.273493381978632E-4</v>
      </c>
      <c r="BG24" s="20">
        <f>'Allocators Data'!BJ24/'Allocators Data'!$DF24</f>
        <v>4.7543185428380381E-4</v>
      </c>
      <c r="BH24" s="20">
        <f>'Allocators Data'!BK24/'Allocators Data'!$DF24</f>
        <v>9.7285846412580312E-3</v>
      </c>
      <c r="BI24" s="20">
        <f>'Allocators Data'!BL24/'Allocators Data'!$DF24</f>
        <v>5.5100456292375812E-3</v>
      </c>
      <c r="BJ24" s="21">
        <f>'Allocators Data'!BM24/'Allocators Data'!$DF24</f>
        <v>5.8749786364830549E-3</v>
      </c>
      <c r="BK24" s="20">
        <f>'Allocators Data'!BN24/'Allocators Data'!$DF24</f>
        <v>9.5738390231411309E-5</v>
      </c>
      <c r="BL24" s="20">
        <f>'Allocators Data'!BO24/'Allocators Data'!$DF24</f>
        <v>2.2338957720662638E-4</v>
      </c>
      <c r="BM24" s="20">
        <f>'Allocators Data'!BP24/'Allocators Data'!$DF24</f>
        <v>4.3467430047594791E-4</v>
      </c>
      <c r="BN24" s="20">
        <f>'Allocators Data'!BQ24/'Allocators Data'!$DF24</f>
        <v>2.7959920009201296E-3</v>
      </c>
      <c r="BO24" s="20">
        <f>'Allocators Data'!BR24/'Allocators Data'!$DF24</f>
        <v>0</v>
      </c>
      <c r="BP24" s="21">
        <f>'Allocators Data'!BS24/'Allocators Data'!$DF24</f>
        <v>0</v>
      </c>
      <c r="BQ24" s="20">
        <f>'Allocators Data'!BT24/'Allocators Data'!$DF24</f>
        <v>0</v>
      </c>
      <c r="BR24" s="20">
        <f>'Allocators Data'!BU24/'Allocators Data'!$DF24</f>
        <v>0</v>
      </c>
      <c r="BS24" s="20">
        <f>'Allocators Data'!BV24/'Allocators Data'!$DF24</f>
        <v>0</v>
      </c>
      <c r="BT24" s="20">
        <f>'Allocators Data'!BW24/'Allocators Data'!$DF24</f>
        <v>0</v>
      </c>
      <c r="BU24" s="20">
        <f>'Allocators Data'!BX24/'Allocators Data'!$DF24</f>
        <v>0</v>
      </c>
      <c r="BV24" s="21">
        <f>'Allocators Data'!BY24/'Allocators Data'!$DF24</f>
        <v>0</v>
      </c>
      <c r="BW24" s="22"/>
      <c r="BX24" s="20">
        <f>'Allocators Data'!CA24/'Allocators Data'!$DF24</f>
        <v>0</v>
      </c>
      <c r="BY24" s="20">
        <f>'Allocators Data'!CB24/'Allocators Data'!$DF24</f>
        <v>0</v>
      </c>
      <c r="BZ24" s="20">
        <f>'Allocators Data'!CC24/'Allocators Data'!$DF24</f>
        <v>0</v>
      </c>
      <c r="CA24" s="20">
        <f>'Allocators Data'!CD24/'Allocators Data'!$DF24</f>
        <v>0</v>
      </c>
      <c r="CB24" s="20">
        <f>'Allocators Data'!CE24/'Allocators Data'!$DF24</f>
        <v>0</v>
      </c>
      <c r="CC24" s="20">
        <f>'Allocators Data'!CF24/'Allocators Data'!$DF24</f>
        <v>0</v>
      </c>
      <c r="CD24" s="20">
        <f>'Allocators Data'!CG24/'Allocators Data'!$DF24</f>
        <v>0</v>
      </c>
      <c r="CE24" s="20">
        <f>'Allocators Data'!CH24/'Allocators Data'!$DF24</f>
        <v>0</v>
      </c>
      <c r="CF24" s="20">
        <f>'Allocators Data'!CI24/'Allocators Data'!$DF24</f>
        <v>0</v>
      </c>
      <c r="CG24" s="20">
        <f>'Allocators Data'!CJ24/'Allocators Data'!$DF24</f>
        <v>0</v>
      </c>
      <c r="CH24" s="22"/>
      <c r="CI24" s="20">
        <f>'Allocators Data'!CL24/'Allocators Data'!$DF24</f>
        <v>0</v>
      </c>
      <c r="CJ24" s="20">
        <f>'Allocators Data'!CM24/'Allocators Data'!$DF24</f>
        <v>0</v>
      </c>
      <c r="CK24" s="20">
        <f>'Allocators Data'!CN24/'Allocators Data'!$DF24</f>
        <v>0</v>
      </c>
      <c r="CL24" s="29">
        <f>'Allocators Data'!CO24/'Allocators Data'!$DF24</f>
        <v>0</v>
      </c>
      <c r="CM24" s="20">
        <f>'Allocators Data'!CP24/'Allocators Data'!$DF24</f>
        <v>0</v>
      </c>
      <c r="CN24" s="20">
        <f>'Allocators Data'!CQ24/'Allocators Data'!$DF24</f>
        <v>0</v>
      </c>
      <c r="CO24" s="22"/>
      <c r="CP24" s="20">
        <f>'Allocators Data'!CS24/'Allocators Data'!$DF24</f>
        <v>2.4825381709749127E-4</v>
      </c>
      <c r="CQ24" s="20">
        <f>'Allocators Data'!CT24/'Allocators Data'!$DF24</f>
        <v>1.9813643838679897E-3</v>
      </c>
      <c r="CR24" s="22"/>
      <c r="CS24" s="20">
        <f>'Allocators Data'!CV24/'Allocators Data'!$DF24</f>
        <v>0</v>
      </c>
      <c r="CT24" s="20">
        <f>'Allocators Data'!CW24/'Allocators Data'!$DF24</f>
        <v>0</v>
      </c>
      <c r="CU24" s="20">
        <f>'Allocators Data'!CX24/'Allocators Data'!$DF24</f>
        <v>0</v>
      </c>
      <c r="CV24" s="20">
        <f>'Allocators Data'!CY24/'Allocators Data'!$DF24</f>
        <v>0</v>
      </c>
      <c r="CW24" s="20">
        <f>'Allocators Data'!CZ24/'Allocators Data'!$DF24</f>
        <v>0</v>
      </c>
      <c r="CX24" s="20">
        <f>'Allocators Data'!DA24/'Allocators Data'!$DF24</f>
        <v>0</v>
      </c>
      <c r="CY24" s="20">
        <f>'Allocators Data'!DB24/'Allocators Data'!$DF24</f>
        <v>0</v>
      </c>
      <c r="CZ24" s="20">
        <f>'Allocators Data'!DC24/'Allocators Data'!$DF24</f>
        <v>0</v>
      </c>
      <c r="DA24" s="20">
        <f>'Allocators Data'!DD24/'Allocators Data'!$DF24</f>
        <v>0</v>
      </c>
      <c r="DB24" s="22"/>
      <c r="DC24" s="20">
        <f t="shared" si="7"/>
        <v>0.99999999999999944</v>
      </c>
    </row>
    <row r="25" spans="1:107" x14ac:dyDescent="0.2">
      <c r="A25">
        <v>8</v>
      </c>
      <c r="B25" t="s">
        <v>239</v>
      </c>
      <c r="C25" s="20">
        <f>'Allocators Data'!F25/'Allocators Data'!$DF25</f>
        <v>2.2382777578142568E-2</v>
      </c>
      <c r="D25" s="20">
        <f>'Allocators Data'!G25/'Allocators Data'!$DF25</f>
        <v>3.3503921737232045E-2</v>
      </c>
      <c r="E25" s="20">
        <f>'Allocators Data'!H25/'Allocators Data'!$DF25</f>
        <v>3.9020012279198456E-2</v>
      </c>
      <c r="F25" s="20">
        <f>'Allocators Data'!I25/'Allocators Data'!$DF25</f>
        <v>6.8450383951288413E-2</v>
      </c>
      <c r="G25" s="31">
        <f>'Allocators Data'!J25/'Allocators Data'!$DF25</f>
        <v>7.8092363968323302E-4</v>
      </c>
      <c r="H25" s="20">
        <f>'Allocators Data'!K25/'Allocators Data'!$DF25</f>
        <v>4.9744391094779337E-7</v>
      </c>
      <c r="I25" s="20">
        <f>'Allocators Data'!L25/'Allocators Data'!$DF25</f>
        <v>0</v>
      </c>
      <c r="J25" s="20">
        <f>'Allocators Data'!M25/'Allocators Data'!$DF25</f>
        <v>0</v>
      </c>
      <c r="K25" s="21">
        <f>'Allocators Data'!N25/'Allocators Data'!$DF25</f>
        <v>0</v>
      </c>
      <c r="L25" s="20">
        <f>'Allocators Data'!O25/'Allocators Data'!$DF25</f>
        <v>2.1782923454228688E-3</v>
      </c>
      <c r="M25" s="20">
        <f>'Allocators Data'!P25/'Allocators Data'!$DF25</f>
        <v>1.1696057167155959E-3</v>
      </c>
      <c r="N25" s="20">
        <f>'Allocators Data'!Q25/'Allocators Data'!$DF25</f>
        <v>1.4260025970137195E-4</v>
      </c>
      <c r="O25" s="21">
        <f>'Allocators Data'!R25/'Allocators Data'!$DF25</f>
        <v>1.1389573233683587E-4</v>
      </c>
      <c r="P25" s="20">
        <f>'Allocators Data'!S25/'Allocators Data'!$DF25</f>
        <v>0</v>
      </c>
      <c r="Q25" s="20">
        <f>'Allocators Data'!T25/'Allocators Data'!$DF25</f>
        <v>0</v>
      </c>
      <c r="R25" s="20">
        <f>'Allocators Data'!U25/'Allocators Data'!$DF25</f>
        <v>0</v>
      </c>
      <c r="S25" s="21">
        <f>'Allocators Data'!V25/'Allocators Data'!$DF25</f>
        <v>0</v>
      </c>
      <c r="T25" s="20">
        <f>'Allocators Data'!W25/'Allocators Data'!$DF25</f>
        <v>0</v>
      </c>
      <c r="U25" s="20">
        <f>'Allocators Data'!X25/'Allocators Data'!$DF25</f>
        <v>0</v>
      </c>
      <c r="V25" s="20">
        <f>'Allocators Data'!Y25/'Allocators Data'!$DF25</f>
        <v>0</v>
      </c>
      <c r="W25" s="20">
        <f>'Allocators Data'!Z25/'Allocators Data'!$DF25</f>
        <v>0</v>
      </c>
      <c r="X25" s="22"/>
      <c r="Y25" s="20">
        <f>'Allocators Data'!AB25/'Allocators Data'!$DF25</f>
        <v>0</v>
      </c>
      <c r="Z25" s="20">
        <f>'Allocators Data'!AC25/'Allocators Data'!$DF25</f>
        <v>6.1430947611566946E-5</v>
      </c>
      <c r="AA25" s="20">
        <f>'Allocators Data'!AD25/'Allocators Data'!$DF25</f>
        <v>0</v>
      </c>
      <c r="AB25" s="20">
        <f>'Allocators Data'!AE25/'Allocators Data'!$DF25</f>
        <v>1.3433978271346655E-4</v>
      </c>
      <c r="AC25" s="20">
        <f>'Allocators Data'!AF25/'Allocators Data'!$DF25</f>
        <v>1.5700874326370861E-3</v>
      </c>
      <c r="AD25" s="20">
        <f>'Allocators Data'!AG25/'Allocators Data'!$DF25</f>
        <v>5.6238333876537185E-2</v>
      </c>
      <c r="AE25" s="20">
        <f>'Allocators Data'!AH25/'Allocators Data'!$DF25</f>
        <v>0.31172266955085576</v>
      </c>
      <c r="AF25" s="22"/>
      <c r="AG25" s="20">
        <f>'Allocators Data'!AJ25/'Allocators Data'!$DF25</f>
        <v>7.3823643474278289E-6</v>
      </c>
      <c r="AH25" s="20">
        <f>'Allocators Data'!AK25/'Allocators Data'!$DF25</f>
        <v>1.5404380341005754E-5</v>
      </c>
      <c r="AI25" s="20">
        <f>'Allocators Data'!AL25/'Allocators Data'!$DF25</f>
        <v>3.086339477610128E-5</v>
      </c>
      <c r="AJ25" s="20">
        <f>'Allocators Data'!AM25/'Allocators Data'!$DF25</f>
        <v>8.4268077482392498E-3</v>
      </c>
      <c r="AK25" s="20">
        <f>'Allocators Data'!AN25/'Allocators Data'!$DF25</f>
        <v>3.4248117966407285E-3</v>
      </c>
      <c r="AL25" s="21">
        <f>'Allocators Data'!AO25/'Allocators Data'!$DF25</f>
        <v>3.4753106375011783E-3</v>
      </c>
      <c r="AM25" s="20">
        <f>'Allocators Data'!AP25/'Allocators Data'!$DF25</f>
        <v>1.4113792898790121E-6</v>
      </c>
      <c r="AN25" s="20">
        <f>'Allocators Data'!AQ25/'Allocators Data'!$DF25</f>
        <v>3.2932183430510285E-6</v>
      </c>
      <c r="AO25" s="20">
        <f>'Allocators Data'!AR25/'Allocators Data'!$DF25</f>
        <v>7.0568964493950607E-6</v>
      </c>
      <c r="AP25" s="20">
        <f>'Allocators Data'!AS25/'Allocators Data'!$DF25</f>
        <v>3.3948376519223173E-3</v>
      </c>
      <c r="AQ25" s="20">
        <f>'Allocators Data'!AT25/'Allocators Data'!$DF25</f>
        <v>5.5094003192745664E-4</v>
      </c>
      <c r="AR25" s="21">
        <f>'Allocators Data'!AU25/'Allocators Data'!$DF25</f>
        <v>2.5931228923877701E-4</v>
      </c>
      <c r="AS25" s="20">
        <f>'Allocators Data'!AV25/'Allocators Data'!$DF25</f>
        <v>7.9767612565029805E-6</v>
      </c>
      <c r="AT25" s="20">
        <f>'Allocators Data'!AW25/'Allocators Data'!$DF25</f>
        <v>1.8237179501787198E-5</v>
      </c>
      <c r="AU25" s="20">
        <f>'Allocators Data'!AX25/'Allocators Data'!$DF25</f>
        <v>3.6515966687694572E-5</v>
      </c>
      <c r="AV25" s="20">
        <f>'Allocators Data'!AY25/'Allocators Data'!$DF25</f>
        <v>4.1056668243858773E-3</v>
      </c>
      <c r="AW25" s="20">
        <f>'Allocators Data'!AZ25/'Allocators Data'!$DF25</f>
        <v>3.7630392764569924E-3</v>
      </c>
      <c r="AX25" s="21">
        <f>'Allocators Data'!BA25/'Allocators Data'!$DF25</f>
        <v>3.3020481316568991E-4</v>
      </c>
      <c r="AY25" s="20">
        <f>'Allocators Data'!BB25/'Allocators Data'!$DF25</f>
        <v>9.5205136928528909E-3</v>
      </c>
      <c r="AZ25" s="20">
        <f>'Allocators Data'!BC25/'Allocators Data'!$DF25</f>
        <v>1.8796848726082966E-2</v>
      </c>
      <c r="BA25" s="20">
        <f>'Allocators Data'!BD25/'Allocators Data'!$DF25</f>
        <v>2.8513896610348317E-2</v>
      </c>
      <c r="BB25" s="20">
        <f>'Allocators Data'!BE25/'Allocators Data'!$DF25</f>
        <v>0.17977621315217096</v>
      </c>
      <c r="BC25" s="20">
        <f>'Allocators Data'!BF25/'Allocators Data'!$DF25</f>
        <v>9.9129216272057952E-2</v>
      </c>
      <c r="BD25" s="21">
        <f>'Allocators Data'!BG25/'Allocators Data'!$DF25</f>
        <v>7.2639250688213489E-2</v>
      </c>
      <c r="BE25" s="20">
        <f>'Allocators Data'!BH25/'Allocators Data'!$DF25</f>
        <v>9.7926482869184413E-5</v>
      </c>
      <c r="BF25" s="20">
        <f>'Allocators Data'!BI25/'Allocators Data'!$DF25</f>
        <v>2.241946478388923E-4</v>
      </c>
      <c r="BG25" s="20">
        <f>'Allocators Data'!BJ25/'Allocators Data'!$DF25</f>
        <v>4.6883478081552113E-4</v>
      </c>
      <c r="BH25" s="20">
        <f>'Allocators Data'!BK25/'Allocators Data'!$DF25</f>
        <v>9.5935911883740892E-3</v>
      </c>
      <c r="BI25" s="20">
        <f>'Allocators Data'!BL25/'Allocators Data'!$DF25</f>
        <v>5.433588455612922E-3</v>
      </c>
      <c r="BJ25" s="21">
        <f>'Allocators Data'!BM25/'Allocators Data'!$DF25</f>
        <v>5.793457666989214E-3</v>
      </c>
      <c r="BK25" s="20">
        <f>'Allocators Data'!BN25/'Allocators Data'!$DF25</f>
        <v>5.2676548486246793E-5</v>
      </c>
      <c r="BL25" s="20">
        <f>'Allocators Data'!BO25/'Allocators Data'!$DF25</f>
        <v>1.2285398521714761E-4</v>
      </c>
      <c r="BM25" s="20">
        <f>'Allocators Data'!BP25/'Allocators Data'!$DF25</f>
        <v>2.5644955399454898E-4</v>
      </c>
      <c r="BN25" s="20">
        <f>'Allocators Data'!BQ25/'Allocators Data'!$DF25</f>
        <v>2.0585620105037965E-3</v>
      </c>
      <c r="BO25" s="20">
        <f>'Allocators Data'!BR25/'Allocators Data'!$DF25</f>
        <v>0</v>
      </c>
      <c r="BP25" s="21">
        <f>'Allocators Data'!BS25/'Allocators Data'!$DF25</f>
        <v>0</v>
      </c>
      <c r="BQ25" s="20">
        <f>'Allocators Data'!BT25/'Allocators Data'!$DF25</f>
        <v>0</v>
      </c>
      <c r="BR25" s="20">
        <f>'Allocators Data'!BU25/'Allocators Data'!$DF25</f>
        <v>0</v>
      </c>
      <c r="BS25" s="20">
        <f>'Allocators Data'!BV25/'Allocators Data'!$DF25</f>
        <v>0</v>
      </c>
      <c r="BT25" s="20">
        <f>'Allocators Data'!BW25/'Allocators Data'!$DF25</f>
        <v>0</v>
      </c>
      <c r="BU25" s="20">
        <f>'Allocators Data'!BX25/'Allocators Data'!$DF25</f>
        <v>0</v>
      </c>
      <c r="BV25" s="21">
        <f>'Allocators Data'!BY25/'Allocators Data'!$DF25</f>
        <v>0</v>
      </c>
      <c r="BW25" s="22"/>
      <c r="BX25" s="20">
        <f>'Allocators Data'!CA25/'Allocators Data'!$DF25</f>
        <v>0</v>
      </c>
      <c r="BY25" s="20">
        <f>'Allocators Data'!CB25/'Allocators Data'!$DF25</f>
        <v>0</v>
      </c>
      <c r="BZ25" s="20">
        <f>'Allocators Data'!CC25/'Allocators Data'!$DF25</f>
        <v>0</v>
      </c>
      <c r="CA25" s="20">
        <f>'Allocators Data'!CD25/'Allocators Data'!$DF25</f>
        <v>0</v>
      </c>
      <c r="CB25" s="20">
        <f>'Allocators Data'!CE25/'Allocators Data'!$DF25</f>
        <v>0</v>
      </c>
      <c r="CC25" s="20">
        <f>'Allocators Data'!CF25/'Allocators Data'!$DF25</f>
        <v>0</v>
      </c>
      <c r="CD25" s="20">
        <f>'Allocators Data'!CG25/'Allocators Data'!$DF25</f>
        <v>0</v>
      </c>
      <c r="CE25" s="20">
        <f>'Allocators Data'!CH25/'Allocators Data'!$DF25</f>
        <v>0</v>
      </c>
      <c r="CF25" s="20">
        <f>'Allocators Data'!CI25/'Allocators Data'!$DF25</f>
        <v>0</v>
      </c>
      <c r="CG25" s="20">
        <f>'Allocators Data'!CJ25/'Allocators Data'!$DF25</f>
        <v>0</v>
      </c>
      <c r="CH25" s="22"/>
      <c r="CI25" s="20">
        <f>'Allocators Data'!CL25/'Allocators Data'!$DF25</f>
        <v>0</v>
      </c>
      <c r="CJ25" s="20">
        <f>'Allocators Data'!CM25/'Allocators Data'!$DF25</f>
        <v>0</v>
      </c>
      <c r="CK25" s="20">
        <f>'Allocators Data'!CN25/'Allocators Data'!$DF25</f>
        <v>0</v>
      </c>
      <c r="CL25" s="29">
        <f>'Allocators Data'!CO25/'Allocators Data'!$DF25</f>
        <v>0</v>
      </c>
      <c r="CM25" s="20">
        <f>'Allocators Data'!CP25/'Allocators Data'!$DF25</f>
        <v>0</v>
      </c>
      <c r="CN25" s="20">
        <f>'Allocators Data'!CQ25/'Allocators Data'!$DF25</f>
        <v>0</v>
      </c>
      <c r="CO25" s="22"/>
      <c r="CP25" s="20">
        <f>'Allocators Data'!CS25/'Allocators Data'!$DF25</f>
        <v>2.4418559334611818E-4</v>
      </c>
      <c r="CQ25" s="20">
        <f>'Allocators Data'!CT25/'Allocators Data'!$DF25</f>
        <v>1.9488950597672812E-3</v>
      </c>
      <c r="CR25" s="22"/>
      <c r="CS25" s="20">
        <f>'Allocators Data'!CV25/'Allocators Data'!$DF25</f>
        <v>0</v>
      </c>
      <c r="CT25" s="20">
        <f>'Allocators Data'!CW25/'Allocators Data'!$DF25</f>
        <v>0</v>
      </c>
      <c r="CU25" s="20">
        <f>'Allocators Data'!CX25/'Allocators Data'!$DF25</f>
        <v>0</v>
      </c>
      <c r="CV25" s="20">
        <f>'Allocators Data'!CY25/'Allocators Data'!$DF25</f>
        <v>0</v>
      </c>
      <c r="CW25" s="20">
        <f>'Allocators Data'!CZ25/'Allocators Data'!$DF25</f>
        <v>0</v>
      </c>
      <c r="CX25" s="20">
        <f>'Allocators Data'!DA25/'Allocators Data'!$DF25</f>
        <v>0</v>
      </c>
      <c r="CY25" s="20">
        <f>'Allocators Data'!DB25/'Allocators Data'!$DF25</f>
        <v>0</v>
      </c>
      <c r="CZ25" s="20">
        <f>'Allocators Data'!DC25/'Allocators Data'!$DF25</f>
        <v>0</v>
      </c>
      <c r="DA25" s="20">
        <f>'Allocators Data'!DD25/'Allocators Data'!$DF25</f>
        <v>0</v>
      </c>
      <c r="DB25" s="22"/>
      <c r="DC25" s="20">
        <f t="shared" si="7"/>
        <v>1.0000000000000002</v>
      </c>
    </row>
    <row r="26" spans="1:107" x14ac:dyDescent="0.2">
      <c r="A26">
        <v>9</v>
      </c>
      <c r="B26" t="s">
        <v>240</v>
      </c>
      <c r="C26" s="20">
        <f>'Allocators Data'!F26/'Allocators Data'!$DF26</f>
        <v>2.3350878821527771E-2</v>
      </c>
      <c r="D26" s="20">
        <f>'Allocators Data'!G26/'Allocators Data'!$DF26</f>
        <v>3.3878081665496031E-2</v>
      </c>
      <c r="E26" s="20">
        <f>'Allocators Data'!H26/'Allocators Data'!$DF26</f>
        <v>3.7846378883701723E-2</v>
      </c>
      <c r="F26" s="20">
        <f>'Allocators Data'!I26/'Allocators Data'!$DF26</f>
        <v>6.05711694394774E-2</v>
      </c>
      <c r="G26" s="31">
        <f>'Allocators Data'!J26/'Allocators Data'!$DF26</f>
        <v>8.1483887772985052E-4</v>
      </c>
      <c r="H26" s="20">
        <f>'Allocators Data'!K26/'Allocators Data'!$DF26</f>
        <v>5.1708884697517673E-7</v>
      </c>
      <c r="I26" s="20">
        <f>'Allocators Data'!L26/'Allocators Data'!$DF26</f>
        <v>0</v>
      </c>
      <c r="J26" s="20">
        <f>'Allocators Data'!M26/'Allocators Data'!$DF26</f>
        <v>0</v>
      </c>
      <c r="K26" s="21">
        <f>'Allocators Data'!N26/'Allocators Data'!$DF26</f>
        <v>0</v>
      </c>
      <c r="L26" s="20">
        <f>'Allocators Data'!O26/'Allocators Data'!$DF26</f>
        <v>2.3383394365820739E-3</v>
      </c>
      <c r="M26" s="20">
        <f>'Allocators Data'!P26/'Allocators Data'!$DF26</f>
        <v>1.2555409187360433E-3</v>
      </c>
      <c r="N26" s="20">
        <f>'Allocators Data'!Q26/'Allocators Data'!$DF26</f>
        <v>1.5307762138870839E-4</v>
      </c>
      <c r="O26" s="21">
        <f>'Allocators Data'!R26/'Allocators Data'!$DF26</f>
        <v>1.2226406760379899E-4</v>
      </c>
      <c r="P26" s="20">
        <f>'Allocators Data'!S26/'Allocators Data'!$DF26</f>
        <v>0</v>
      </c>
      <c r="Q26" s="20">
        <f>'Allocators Data'!T26/'Allocators Data'!$DF26</f>
        <v>0</v>
      </c>
      <c r="R26" s="20">
        <f>'Allocators Data'!U26/'Allocators Data'!$DF26</f>
        <v>0</v>
      </c>
      <c r="S26" s="21">
        <f>'Allocators Data'!V26/'Allocators Data'!$DF26</f>
        <v>0</v>
      </c>
      <c r="T26" s="20">
        <f>'Allocators Data'!W26/'Allocators Data'!$DF26</f>
        <v>0</v>
      </c>
      <c r="U26" s="20">
        <f>'Allocators Data'!X26/'Allocators Data'!$DF26</f>
        <v>0</v>
      </c>
      <c r="V26" s="20">
        <f>'Allocators Data'!Y26/'Allocators Data'!$DF26</f>
        <v>0</v>
      </c>
      <c r="W26" s="20">
        <f>'Allocators Data'!Z26/'Allocators Data'!$DF26</f>
        <v>0</v>
      </c>
      <c r="X26" s="22"/>
      <c r="Y26" s="20">
        <f>'Allocators Data'!AB26/'Allocators Data'!$DF26</f>
        <v>0</v>
      </c>
      <c r="Z26" s="20">
        <f>'Allocators Data'!AC26/'Allocators Data'!$DF26</f>
        <v>1.0975184196058734E-5</v>
      </c>
      <c r="AA26" s="20">
        <f>'Allocators Data'!AD26/'Allocators Data'!$DF26</f>
        <v>0</v>
      </c>
      <c r="AB26" s="20">
        <f>'Allocators Data'!AE26/'Allocators Data'!$DF26</f>
        <v>6.5935030220193208E-5</v>
      </c>
      <c r="AC26" s="20">
        <f>'Allocators Data'!AF26/'Allocators Data'!$DF26</f>
        <v>1.5759992655219406E-3</v>
      </c>
      <c r="AD26" s="20">
        <f>'Allocators Data'!AG26/'Allocators Data'!$DF26</f>
        <v>5.7372603760308866E-2</v>
      </c>
      <c r="AE26" s="20">
        <f>'Allocators Data'!AH26/'Allocators Data'!$DF26</f>
        <v>0.32411976882876081</v>
      </c>
      <c r="AF26" s="22"/>
      <c r="AG26" s="20">
        <f>'Allocators Data'!AJ26/'Allocators Data'!$DF26</f>
        <v>3.3155354101801086E-6</v>
      </c>
      <c r="AH26" s="20">
        <f>'Allocators Data'!AK26/'Allocators Data'!$DF26</f>
        <v>6.2022308581669591E-6</v>
      </c>
      <c r="AI26" s="20">
        <f>'Allocators Data'!AL26/'Allocators Data'!$DF26</f>
        <v>8.6228729588115486E-6</v>
      </c>
      <c r="AJ26" s="20">
        <f>'Allocators Data'!AM26/'Allocators Data'!$DF26</f>
        <v>6.1120911790062788E-6</v>
      </c>
      <c r="AK26" s="20">
        <f>'Allocators Data'!AN26/'Allocators Data'!$DF26</f>
        <v>0</v>
      </c>
      <c r="AL26" s="21">
        <f>'Allocators Data'!AO26/'Allocators Data'!$DF26</f>
        <v>0</v>
      </c>
      <c r="AM26" s="20">
        <f>'Allocators Data'!AP26/'Allocators Data'!$DF26</f>
        <v>1.5957038876081689E-6</v>
      </c>
      <c r="AN26" s="20">
        <f>'Allocators Data'!AQ26/'Allocators Data'!$DF26</f>
        <v>3.7233090710857269E-6</v>
      </c>
      <c r="AO26" s="20">
        <f>'Allocators Data'!AR26/'Allocators Data'!$DF26</f>
        <v>7.9785194380408443E-6</v>
      </c>
      <c r="AP26" s="20">
        <f>'Allocators Data'!AS26/'Allocators Data'!$DF26</f>
        <v>3.8381997509935157E-3</v>
      </c>
      <c r="AQ26" s="20">
        <f>'Allocators Data'!AT26/'Allocators Data'!$DF26</f>
        <v>6.2289219991386834E-4</v>
      </c>
      <c r="AR26" s="21">
        <f>'Allocators Data'!AU26/'Allocators Data'!$DF26</f>
        <v>2.9317819172361626E-4</v>
      </c>
      <c r="AS26" s="20">
        <f>'Allocators Data'!AV26/'Allocators Data'!$DF26</f>
        <v>8.1676913498855531E-6</v>
      </c>
      <c r="AT26" s="20">
        <f>'Allocators Data'!AW26/'Allocators Data'!$DF26</f>
        <v>1.8673700825836138E-5</v>
      </c>
      <c r="AU26" s="20">
        <f>'Allocators Data'!AX26/'Allocators Data'!$DF26</f>
        <v>3.7390005248639664E-5</v>
      </c>
      <c r="AV26" s="20">
        <f>'Allocators Data'!AY26/'Allocators Data'!$DF26</f>
        <v>4.2039392090004553E-3</v>
      </c>
      <c r="AW26" s="20">
        <f>'Allocators Data'!AZ26/'Allocators Data'!$DF26</f>
        <v>3.8531105995607759E-3</v>
      </c>
      <c r="AX26" s="21">
        <f>'Allocators Data'!BA26/'Allocators Data'!$DF26</f>
        <v>3.381085266887319E-4</v>
      </c>
      <c r="AY26" s="20">
        <f>'Allocators Data'!BB26/'Allocators Data'!$DF26</f>
        <v>9.7828084856687852E-3</v>
      </c>
      <c r="AZ26" s="20">
        <f>'Allocators Data'!BC26/'Allocators Data'!$DF26</f>
        <v>1.9314711070622298E-2</v>
      </c>
      <c r="BA26" s="20">
        <f>'Allocators Data'!BD26/'Allocators Data'!$DF26</f>
        <v>2.929946836047349E-2</v>
      </c>
      <c r="BB26" s="20">
        <f>'Allocators Data'!BE26/'Allocators Data'!$DF26</f>
        <v>0.18472913545271594</v>
      </c>
      <c r="BC26" s="20">
        <f>'Allocators Data'!BF26/'Allocators Data'!$DF26</f>
        <v>0.10186027449884258</v>
      </c>
      <c r="BD26" s="21">
        <f>'Allocators Data'!BG26/'Allocators Data'!$DF26</f>
        <v>7.4640497451176485E-2</v>
      </c>
      <c r="BE26" s="20">
        <f>'Allocators Data'!BH26/'Allocators Data'!$DF26</f>
        <v>9.7841506186217481E-5</v>
      </c>
      <c r="BF26" s="20">
        <f>'Allocators Data'!BI26/'Allocators Data'!$DF26</f>
        <v>2.240001006954221E-4</v>
      </c>
      <c r="BG26" s="20">
        <f>'Allocators Data'!BJ26/'Allocators Data'!$DF26</f>
        <v>4.6842794475477495E-4</v>
      </c>
      <c r="BH26" s="20">
        <f>'Allocators Data'!BK26/'Allocators Data'!$DF26</f>
        <v>9.5852662538615553E-3</v>
      </c>
      <c r="BI26" s="20">
        <f>'Allocators Data'!BL26/'Allocators Data'!$DF26</f>
        <v>5.4288734049949784E-3</v>
      </c>
      <c r="BJ26" s="21">
        <f>'Allocators Data'!BM26/'Allocators Data'!$DF26</f>
        <v>5.7884303362710507E-3</v>
      </c>
      <c r="BK26" s="20">
        <f>'Allocators Data'!BN26/'Allocators Data'!$DF26</f>
        <v>0</v>
      </c>
      <c r="BL26" s="20">
        <f>'Allocators Data'!BO26/'Allocators Data'!$DF26</f>
        <v>0</v>
      </c>
      <c r="BM26" s="20">
        <f>'Allocators Data'!BP26/'Allocators Data'!$DF26</f>
        <v>0</v>
      </c>
      <c r="BN26" s="20">
        <f>'Allocators Data'!BQ26/'Allocators Data'!$DF26</f>
        <v>0</v>
      </c>
      <c r="BO26" s="20">
        <f>'Allocators Data'!BR26/'Allocators Data'!$DF26</f>
        <v>0</v>
      </c>
      <c r="BP26" s="21">
        <f>'Allocators Data'!BS26/'Allocators Data'!$DF26</f>
        <v>0</v>
      </c>
      <c r="BQ26" s="20">
        <f>'Allocators Data'!BT26/'Allocators Data'!$DF26</f>
        <v>0</v>
      </c>
      <c r="BR26" s="20">
        <f>'Allocators Data'!BU26/'Allocators Data'!$DF26</f>
        <v>0</v>
      </c>
      <c r="BS26" s="20">
        <f>'Allocators Data'!BV26/'Allocators Data'!$DF26</f>
        <v>0</v>
      </c>
      <c r="BT26" s="20">
        <f>'Allocators Data'!BW26/'Allocators Data'!$DF26</f>
        <v>0</v>
      </c>
      <c r="BU26" s="20">
        <f>'Allocators Data'!BX26/'Allocators Data'!$DF26</f>
        <v>0</v>
      </c>
      <c r="BV26" s="21">
        <f>'Allocators Data'!BY26/'Allocators Data'!$DF26</f>
        <v>0</v>
      </c>
      <c r="BW26" s="22"/>
      <c r="BX26" s="20">
        <f>'Allocators Data'!CA26/'Allocators Data'!$DF26</f>
        <v>0</v>
      </c>
      <c r="BY26" s="20">
        <f>'Allocators Data'!CB26/'Allocators Data'!$DF26</f>
        <v>0</v>
      </c>
      <c r="BZ26" s="20">
        <f>'Allocators Data'!CC26/'Allocators Data'!$DF26</f>
        <v>0</v>
      </c>
      <c r="CA26" s="20">
        <f>'Allocators Data'!CD26/'Allocators Data'!$DF26</f>
        <v>0</v>
      </c>
      <c r="CB26" s="20">
        <f>'Allocators Data'!CE26/'Allocators Data'!$DF26</f>
        <v>0</v>
      </c>
      <c r="CC26" s="20">
        <f>'Allocators Data'!CF26/'Allocators Data'!$DF26</f>
        <v>0</v>
      </c>
      <c r="CD26" s="20">
        <f>'Allocators Data'!CG26/'Allocators Data'!$DF26</f>
        <v>0</v>
      </c>
      <c r="CE26" s="20">
        <f>'Allocators Data'!CH26/'Allocators Data'!$DF26</f>
        <v>0</v>
      </c>
      <c r="CF26" s="20">
        <f>'Allocators Data'!CI26/'Allocators Data'!$DF26</f>
        <v>0</v>
      </c>
      <c r="CG26" s="20">
        <f>'Allocators Data'!CJ26/'Allocators Data'!$DF26</f>
        <v>0</v>
      </c>
      <c r="CH26" s="22"/>
      <c r="CI26" s="20">
        <f>'Allocators Data'!CL26/'Allocators Data'!$DF26</f>
        <v>0</v>
      </c>
      <c r="CJ26" s="20">
        <f>'Allocators Data'!CM26/'Allocators Data'!$DF26</f>
        <v>0</v>
      </c>
      <c r="CK26" s="20">
        <f>'Allocators Data'!CN26/'Allocators Data'!$DF26</f>
        <v>0</v>
      </c>
      <c r="CL26" s="29">
        <f>'Allocators Data'!CO26/'Allocators Data'!$DF26</f>
        <v>0</v>
      </c>
      <c r="CM26" s="20">
        <f>'Allocators Data'!CP26/'Allocators Data'!$DF26</f>
        <v>0</v>
      </c>
      <c r="CN26" s="20">
        <f>'Allocators Data'!CQ26/'Allocators Data'!$DF26</f>
        <v>0</v>
      </c>
      <c r="CO26" s="22"/>
      <c r="CP26" s="20">
        <f>'Allocators Data'!CS26/'Allocators Data'!$DF26</f>
        <v>2.2855355270248246E-4</v>
      </c>
      <c r="CQ26" s="20">
        <f>'Allocators Data'!CT26/'Allocators Data'!$DF26</f>
        <v>1.8241325528274043E-3</v>
      </c>
      <c r="CR26" s="22"/>
      <c r="CS26" s="20">
        <f>'Allocators Data'!CV26/'Allocators Data'!$DF26</f>
        <v>0</v>
      </c>
      <c r="CT26" s="20">
        <f>'Allocators Data'!CW26/'Allocators Data'!$DF26</f>
        <v>0</v>
      </c>
      <c r="CU26" s="20">
        <f>'Allocators Data'!CX26/'Allocators Data'!$DF26</f>
        <v>0</v>
      </c>
      <c r="CV26" s="20">
        <f>'Allocators Data'!CY26/'Allocators Data'!$DF26</f>
        <v>0</v>
      </c>
      <c r="CW26" s="20">
        <f>'Allocators Data'!CZ26/'Allocators Data'!$DF26</f>
        <v>0</v>
      </c>
      <c r="CX26" s="20">
        <f>'Allocators Data'!DA26/'Allocators Data'!$DF26</f>
        <v>0</v>
      </c>
      <c r="CY26" s="20">
        <f>'Allocators Data'!DB26/'Allocators Data'!$DF26</f>
        <v>0</v>
      </c>
      <c r="CZ26" s="20">
        <f>'Allocators Data'!DC26/'Allocators Data'!$DF26</f>
        <v>0</v>
      </c>
      <c r="DA26" s="20">
        <f>'Allocators Data'!DD26/'Allocators Data'!$DF26</f>
        <v>0</v>
      </c>
      <c r="DB26" s="22"/>
      <c r="DC26" s="20">
        <f t="shared" si="7"/>
        <v>0.99999999999999978</v>
      </c>
    </row>
    <row r="27" spans="1:107" x14ac:dyDescent="0.2">
      <c r="A27">
        <v>10</v>
      </c>
      <c r="B27" t="s">
        <v>241</v>
      </c>
      <c r="C27" s="20">
        <f>'Allocators Data'!F27/'Allocators Data'!$DF27</f>
        <v>2.7938708087699177E-2</v>
      </c>
      <c r="D27" s="20">
        <f>'Allocators Data'!G27/'Allocators Data'!$DF27</f>
        <v>3.5726840591361435E-2</v>
      </c>
      <c r="E27" s="20">
        <f>'Allocators Data'!H27/'Allocators Data'!$DF27</f>
        <v>3.4646842035057503E-2</v>
      </c>
      <c r="F27" s="20">
        <f>'Allocators Data'!I27/'Allocators Data'!$DF27</f>
        <v>4.8101882995988991E-2</v>
      </c>
      <c r="G27" s="31">
        <f>'Allocators Data'!J27/'Allocators Data'!$DF27</f>
        <v>7.9237295750651283E-4</v>
      </c>
      <c r="H27" s="20">
        <f>'Allocators Data'!K27/'Allocators Data'!$DF27</f>
        <v>6.3553317923281915E-7</v>
      </c>
      <c r="I27" s="20">
        <f>'Allocators Data'!L27/'Allocators Data'!$DF27</f>
        <v>0</v>
      </c>
      <c r="J27" s="20">
        <f>'Allocators Data'!M27/'Allocators Data'!$DF27</f>
        <v>0</v>
      </c>
      <c r="K27" s="21">
        <f>'Allocators Data'!N27/'Allocators Data'!$DF27</f>
        <v>0</v>
      </c>
      <c r="L27" s="20">
        <f>'Allocators Data'!O27/'Allocators Data'!$DF27</f>
        <v>2.6777555272147965E-3</v>
      </c>
      <c r="M27" s="20">
        <f>'Allocators Data'!P27/'Allocators Data'!$DF27</f>
        <v>1.4377859699035097E-3</v>
      </c>
      <c r="N27" s="20">
        <f>'Allocators Data'!Q27/'Allocators Data'!$DF27</f>
        <v>1.7529723886693753E-4</v>
      </c>
      <c r="O27" s="21">
        <f>'Allocators Data'!R27/'Allocators Data'!$DF27</f>
        <v>1.4001101708500612E-4</v>
      </c>
      <c r="P27" s="20">
        <f>'Allocators Data'!S27/'Allocators Data'!$DF27</f>
        <v>0</v>
      </c>
      <c r="Q27" s="20">
        <f>'Allocators Data'!T27/'Allocators Data'!$DF27</f>
        <v>0</v>
      </c>
      <c r="R27" s="20">
        <f>'Allocators Data'!U27/'Allocators Data'!$DF27</f>
        <v>0</v>
      </c>
      <c r="S27" s="21">
        <f>'Allocators Data'!V27/'Allocators Data'!$DF27</f>
        <v>0</v>
      </c>
      <c r="T27" s="20">
        <f>'Allocators Data'!W27/'Allocators Data'!$DF27</f>
        <v>0</v>
      </c>
      <c r="U27" s="20">
        <f>'Allocators Data'!X27/'Allocators Data'!$DF27</f>
        <v>0</v>
      </c>
      <c r="V27" s="20">
        <f>'Allocators Data'!Y27/'Allocators Data'!$DF27</f>
        <v>0</v>
      </c>
      <c r="W27" s="20">
        <f>'Allocators Data'!Z27/'Allocators Data'!$DF27</f>
        <v>0</v>
      </c>
      <c r="X27" s="22"/>
      <c r="Y27" s="20">
        <f>'Allocators Data'!AB27/'Allocators Data'!$DF27</f>
        <v>0</v>
      </c>
      <c r="Z27" s="20">
        <f>'Allocators Data'!AC27/'Allocators Data'!$DF27</f>
        <v>3.2267351726967512E-5</v>
      </c>
      <c r="AA27" s="20">
        <f>'Allocators Data'!AD27/'Allocators Data'!$DF27</f>
        <v>0</v>
      </c>
      <c r="AB27" s="20">
        <f>'Allocators Data'!AE27/'Allocators Data'!$DF27</f>
        <v>8.6524238813903183E-5</v>
      </c>
      <c r="AC27" s="20">
        <f>'Allocators Data'!AF27/'Allocators Data'!$DF27</f>
        <v>1.6492658199349231E-3</v>
      </c>
      <c r="AD27" s="20">
        <f>'Allocators Data'!AG27/'Allocators Data'!$DF27</f>
        <v>6.0065337511740285E-2</v>
      </c>
      <c r="AE27" s="20">
        <f>'Allocators Data'!AH27/'Allocators Data'!$DF27</f>
        <v>0.32533906845306376</v>
      </c>
      <c r="AF27" s="22"/>
      <c r="AG27" s="20">
        <f>'Allocators Data'!AJ27/'Allocators Data'!$DF27</f>
        <v>4.957595590579036E-6</v>
      </c>
      <c r="AH27" s="20">
        <f>'Allocators Data'!AK27/'Allocators Data'!$DF27</f>
        <v>7.1328225545511584E-6</v>
      </c>
      <c r="AI27" s="20">
        <f>'Allocators Data'!AL27/'Allocators Data'!$DF27</f>
        <v>5.7918693859980629E-6</v>
      </c>
      <c r="AJ27" s="20">
        <f>'Allocators Data'!AM27/'Allocators Data'!$DF27</f>
        <v>4.620271613952214E-6</v>
      </c>
      <c r="AK27" s="20">
        <f>'Allocators Data'!AN27/'Allocators Data'!$DF27</f>
        <v>0</v>
      </c>
      <c r="AL27" s="21">
        <f>'Allocators Data'!AO27/'Allocators Data'!$DF27</f>
        <v>0</v>
      </c>
      <c r="AM27" s="20">
        <f>'Allocators Data'!AP27/'Allocators Data'!$DF27</f>
        <v>1.6927958138975827E-6</v>
      </c>
      <c r="AN27" s="20">
        <f>'Allocators Data'!AQ27/'Allocators Data'!$DF27</f>
        <v>3.9498568990943592E-6</v>
      </c>
      <c r="AO27" s="20">
        <f>'Allocators Data'!AR27/'Allocators Data'!$DF27</f>
        <v>8.463979069487913E-6</v>
      </c>
      <c r="AP27" s="20">
        <f>'Allocators Data'!AS27/'Allocators Data'!$DF27</f>
        <v>4.0717381976949855E-3</v>
      </c>
      <c r="AQ27" s="20">
        <f>'Allocators Data'!AT27/'Allocators Data'!$DF27</f>
        <v>6.6079259235506203E-4</v>
      </c>
      <c r="AR27" s="21">
        <f>'Allocators Data'!AU27/'Allocators Data'!$DF27</f>
        <v>3.110168619189744E-4</v>
      </c>
      <c r="AS27" s="20">
        <f>'Allocators Data'!AV27/'Allocators Data'!$DF27</f>
        <v>9.2182578439531831E-6</v>
      </c>
      <c r="AT27" s="20">
        <f>'Allocators Data'!AW27/'Allocators Data'!$DF27</f>
        <v>2.1075599179664283E-5</v>
      </c>
      <c r="AU27" s="20">
        <f>'Allocators Data'!AX27/'Allocators Data'!$DF27</f>
        <v>4.2199281829320461E-5</v>
      </c>
      <c r="AV27" s="20">
        <f>'Allocators Data'!AY27/'Allocators Data'!$DF27</f>
        <v>4.744669445597231E-3</v>
      </c>
      <c r="AW27" s="20">
        <f>'Allocators Data'!AZ27/'Allocators Data'!$DF27</f>
        <v>4.348715626786996E-3</v>
      </c>
      <c r="AX27" s="21">
        <f>'Allocators Data'!BA27/'Allocators Data'!$DF27</f>
        <v>3.8159761978512205E-4</v>
      </c>
      <c r="AY27" s="20">
        <f>'Allocators Data'!BB27/'Allocators Data'!$DF27</f>
        <v>9.8230694282399889E-3</v>
      </c>
      <c r="AZ27" s="20">
        <f>'Allocators Data'!BC27/'Allocators Data'!$DF27</f>
        <v>1.939420035780735E-2</v>
      </c>
      <c r="BA27" s="20">
        <f>'Allocators Data'!BD27/'Allocators Data'!$DF27</f>
        <v>2.9420049706285981E-2</v>
      </c>
      <c r="BB27" s="20">
        <f>'Allocators Data'!BE27/'Allocators Data'!$DF27</f>
        <v>0.18548938432445708</v>
      </c>
      <c r="BC27" s="20">
        <f>'Allocators Data'!BF27/'Allocators Data'!$DF27</f>
        <v>0.10227947831622206</v>
      </c>
      <c r="BD27" s="21">
        <f>'Allocators Data'!BG27/'Allocators Data'!$DF27</f>
        <v>7.4947678848601373E-2</v>
      </c>
      <c r="BE27" s="20">
        <f>'Allocators Data'!BH27/'Allocators Data'!$DF27</f>
        <v>1.0470868518716157E-4</v>
      </c>
      <c r="BF27" s="20">
        <f>'Allocators Data'!BI27/'Allocators Data'!$DF27</f>
        <v>2.3972194357851589E-4</v>
      </c>
      <c r="BG27" s="20">
        <f>'Allocators Data'!BJ27/'Allocators Data'!$DF27</f>
        <v>5.0130538778547632E-4</v>
      </c>
      <c r="BH27" s="20">
        <f>'Allocators Data'!BK27/'Allocators Data'!$DF27</f>
        <v>1.0258025103379842E-2</v>
      </c>
      <c r="BI27" s="20">
        <f>'Allocators Data'!BL27/'Allocators Data'!$DF27</f>
        <v>5.8099084779282377E-3</v>
      </c>
      <c r="BJ27" s="21">
        <f>'Allocators Data'!BM27/'Allocators Data'!$DF27</f>
        <v>6.1947015477752292E-3</v>
      </c>
      <c r="BK27" s="20">
        <f>'Allocators Data'!BN27/'Allocators Data'!$DF27</f>
        <v>0</v>
      </c>
      <c r="BL27" s="20">
        <f>'Allocators Data'!BO27/'Allocators Data'!$DF27</f>
        <v>0</v>
      </c>
      <c r="BM27" s="20">
        <f>'Allocators Data'!BP27/'Allocators Data'!$DF27</f>
        <v>0</v>
      </c>
      <c r="BN27" s="20">
        <f>'Allocators Data'!BQ27/'Allocators Data'!$DF27</f>
        <v>0</v>
      </c>
      <c r="BO27" s="20">
        <f>'Allocators Data'!BR27/'Allocators Data'!$DF27</f>
        <v>0</v>
      </c>
      <c r="BP27" s="21">
        <f>'Allocators Data'!BS27/'Allocators Data'!$DF27</f>
        <v>0</v>
      </c>
      <c r="BQ27" s="20">
        <f>'Allocators Data'!BT27/'Allocators Data'!$DF27</f>
        <v>0</v>
      </c>
      <c r="BR27" s="20">
        <f>'Allocators Data'!BU27/'Allocators Data'!$DF27</f>
        <v>0</v>
      </c>
      <c r="BS27" s="20">
        <f>'Allocators Data'!BV27/'Allocators Data'!$DF27</f>
        <v>0</v>
      </c>
      <c r="BT27" s="20">
        <f>'Allocators Data'!BW27/'Allocators Data'!$DF27</f>
        <v>0</v>
      </c>
      <c r="BU27" s="20">
        <f>'Allocators Data'!BX27/'Allocators Data'!$DF27</f>
        <v>0</v>
      </c>
      <c r="BV27" s="21">
        <f>'Allocators Data'!BY27/'Allocators Data'!$DF27</f>
        <v>0</v>
      </c>
      <c r="BW27" s="22"/>
      <c r="BX27" s="20">
        <f>'Allocators Data'!CA27/'Allocators Data'!$DF27</f>
        <v>0</v>
      </c>
      <c r="BY27" s="20">
        <f>'Allocators Data'!CB27/'Allocators Data'!$DF27</f>
        <v>0</v>
      </c>
      <c r="BZ27" s="20">
        <f>'Allocators Data'!CC27/'Allocators Data'!$DF27</f>
        <v>0</v>
      </c>
      <c r="CA27" s="20">
        <f>'Allocators Data'!CD27/'Allocators Data'!$DF27</f>
        <v>0</v>
      </c>
      <c r="CB27" s="20">
        <f>'Allocators Data'!CE27/'Allocators Data'!$DF27</f>
        <v>0</v>
      </c>
      <c r="CC27" s="20">
        <f>'Allocators Data'!CF27/'Allocators Data'!$DF27</f>
        <v>0</v>
      </c>
      <c r="CD27" s="20">
        <f>'Allocators Data'!CG27/'Allocators Data'!$DF27</f>
        <v>0</v>
      </c>
      <c r="CE27" s="20">
        <f>'Allocators Data'!CH27/'Allocators Data'!$DF27</f>
        <v>0</v>
      </c>
      <c r="CF27" s="20">
        <f>'Allocators Data'!CI27/'Allocators Data'!$DF27</f>
        <v>0</v>
      </c>
      <c r="CG27" s="20">
        <f>'Allocators Data'!CJ27/'Allocators Data'!$DF27</f>
        <v>0</v>
      </c>
      <c r="CH27" s="22"/>
      <c r="CI27" s="20">
        <f>'Allocators Data'!CL27/'Allocators Data'!$DF27</f>
        <v>0</v>
      </c>
      <c r="CJ27" s="20">
        <f>'Allocators Data'!CM27/'Allocators Data'!$DF27</f>
        <v>0</v>
      </c>
      <c r="CK27" s="20">
        <f>'Allocators Data'!CN27/'Allocators Data'!$DF27</f>
        <v>0</v>
      </c>
      <c r="CL27" s="29">
        <f>'Allocators Data'!CO27/'Allocators Data'!$DF27</f>
        <v>0</v>
      </c>
      <c r="CM27" s="20">
        <f>'Allocators Data'!CP27/'Allocators Data'!$DF27</f>
        <v>0</v>
      </c>
      <c r="CN27" s="20">
        <f>'Allocators Data'!CQ27/'Allocators Data'!$DF27</f>
        <v>0</v>
      </c>
      <c r="CO27" s="22"/>
      <c r="CP27" s="20">
        <f>'Allocators Data'!CS27/'Allocators Data'!$DF27</f>
        <v>2.3377042157854481E-4</v>
      </c>
      <c r="CQ27" s="20">
        <f>'Allocators Data'!CT27/'Allocators Data'!$DF27</f>
        <v>1.8657694481113956E-3</v>
      </c>
      <c r="CR27" s="22"/>
      <c r="CS27" s="20">
        <f>'Allocators Data'!CV27/'Allocators Data'!$DF27</f>
        <v>0</v>
      </c>
      <c r="CT27" s="20">
        <f>'Allocators Data'!CW27/'Allocators Data'!$DF27</f>
        <v>0</v>
      </c>
      <c r="CU27" s="20">
        <f>'Allocators Data'!CX27/'Allocators Data'!$DF27</f>
        <v>0</v>
      </c>
      <c r="CV27" s="20">
        <f>'Allocators Data'!CY27/'Allocators Data'!$DF27</f>
        <v>0</v>
      </c>
      <c r="CW27" s="20">
        <f>'Allocators Data'!CZ27/'Allocators Data'!$DF27</f>
        <v>0</v>
      </c>
      <c r="CX27" s="20">
        <f>'Allocators Data'!DA27/'Allocators Data'!$DF27</f>
        <v>0</v>
      </c>
      <c r="CY27" s="20">
        <f>'Allocators Data'!DB27/'Allocators Data'!$DF27</f>
        <v>0</v>
      </c>
      <c r="CZ27" s="20">
        <f>'Allocators Data'!DC27/'Allocators Data'!$DF27</f>
        <v>0</v>
      </c>
      <c r="DA27" s="20">
        <f>'Allocators Data'!DD27/'Allocators Data'!$DF27</f>
        <v>0</v>
      </c>
      <c r="DB27" s="22"/>
      <c r="DC27" s="20">
        <f t="shared" si="7"/>
        <v>0.99999999999999989</v>
      </c>
    </row>
    <row r="28" spans="1:107" x14ac:dyDescent="0.2">
      <c r="A28">
        <v>11</v>
      </c>
      <c r="B28" t="s">
        <v>242</v>
      </c>
      <c r="C28" s="20">
        <f>'Allocators Data'!F28/'Allocators Data'!$DF28</f>
        <v>2.4571494630285629E-2</v>
      </c>
      <c r="D28" s="20">
        <f>'Allocators Data'!G28/'Allocators Data'!$DF28</f>
        <v>3.4497279554759008E-2</v>
      </c>
      <c r="E28" s="20">
        <f>'Allocators Data'!H28/'Allocators Data'!$DF28</f>
        <v>3.605963971860076E-2</v>
      </c>
      <c r="F28" s="20">
        <f>'Allocators Data'!I28/'Allocators Data'!$DF28</f>
        <v>5.1378037799628816E-2</v>
      </c>
      <c r="G28" s="31">
        <f>'Allocators Data'!J28/'Allocators Data'!$DF28</f>
        <v>7.9215860003996081E-4</v>
      </c>
      <c r="H28" s="20">
        <f>'Allocators Data'!K28/'Allocators Data'!$DF28</f>
        <v>6.5567411079119328E-7</v>
      </c>
      <c r="I28" s="20">
        <f>'Allocators Data'!L28/'Allocators Data'!$DF28</f>
        <v>0</v>
      </c>
      <c r="J28" s="20">
        <f>'Allocators Data'!M28/'Allocators Data'!$DF28</f>
        <v>0</v>
      </c>
      <c r="K28" s="21">
        <f>'Allocators Data'!N28/'Allocators Data'!$DF28</f>
        <v>0</v>
      </c>
      <c r="L28" s="20">
        <f>'Allocators Data'!O28/'Allocators Data'!$DF28</f>
        <v>2.7645413075078951E-3</v>
      </c>
      <c r="M28" s="20">
        <f>'Allocators Data'!P28/'Allocators Data'!$DF28</f>
        <v>1.4843844648088052E-3</v>
      </c>
      <c r="N28" s="20">
        <f>'Allocators Data'!Q28/'Allocators Data'!$DF28</f>
        <v>1.8097860428796856E-4</v>
      </c>
      <c r="O28" s="21">
        <f>'Allocators Data'!R28/'Allocators Data'!$DF28</f>
        <v>1.4454875969961708E-4</v>
      </c>
      <c r="P28" s="20">
        <f>'Allocators Data'!S28/'Allocators Data'!$DF28</f>
        <v>0</v>
      </c>
      <c r="Q28" s="20">
        <f>'Allocators Data'!T28/'Allocators Data'!$DF28</f>
        <v>0</v>
      </c>
      <c r="R28" s="20">
        <f>'Allocators Data'!U28/'Allocators Data'!$DF28</f>
        <v>0</v>
      </c>
      <c r="S28" s="21">
        <f>'Allocators Data'!V28/'Allocators Data'!$DF28</f>
        <v>0</v>
      </c>
      <c r="T28" s="20">
        <f>'Allocators Data'!W28/'Allocators Data'!$DF28</f>
        <v>0</v>
      </c>
      <c r="U28" s="20">
        <f>'Allocators Data'!X28/'Allocators Data'!$DF28</f>
        <v>0</v>
      </c>
      <c r="V28" s="20">
        <f>'Allocators Data'!Y28/'Allocators Data'!$DF28</f>
        <v>0</v>
      </c>
      <c r="W28" s="20">
        <f>'Allocators Data'!Z28/'Allocators Data'!$DF28</f>
        <v>0</v>
      </c>
      <c r="X28" s="22"/>
      <c r="Y28" s="20">
        <f>'Allocators Data'!AB28/'Allocators Data'!$DF28</f>
        <v>0</v>
      </c>
      <c r="Z28" s="20">
        <f>'Allocators Data'!AC28/'Allocators Data'!$DF28</f>
        <v>2.7750519174899483E-5</v>
      </c>
      <c r="AA28" s="20">
        <f>'Allocators Data'!AD28/'Allocators Data'!$DF28</f>
        <v>0</v>
      </c>
      <c r="AB28" s="20">
        <f>'Allocators Data'!AE28/'Allocators Data'!$DF28</f>
        <v>8.1305387336766741E-5</v>
      </c>
      <c r="AC28" s="20">
        <f>'Allocators Data'!AF28/'Allocators Data'!$DF28</f>
        <v>1.8858252503560029E-3</v>
      </c>
      <c r="AD28" s="20">
        <f>'Allocators Data'!AG28/'Allocators Data'!$DF28</f>
        <v>5.4945004211394817E-2</v>
      </c>
      <c r="AE28" s="20">
        <f>'Allocators Data'!AH28/'Allocators Data'!$DF28</f>
        <v>0.32315865163408658</v>
      </c>
      <c r="AF28" s="22"/>
      <c r="AG28" s="20">
        <f>'Allocators Data'!AJ28/'Allocators Data'!$DF28</f>
        <v>4.7501544558347581E-6</v>
      </c>
      <c r="AH28" s="20">
        <f>'Allocators Data'!AK28/'Allocators Data'!$DF28</f>
        <v>1.2358490779134896E-5</v>
      </c>
      <c r="AI28" s="20">
        <f>'Allocators Data'!AL28/'Allocators Data'!$DF28</f>
        <v>1.419204141109382E-5</v>
      </c>
      <c r="AJ28" s="20">
        <f>'Allocators Data'!AM28/'Allocators Data'!$DF28</f>
        <v>1.144918897957932E-5</v>
      </c>
      <c r="AK28" s="20">
        <f>'Allocators Data'!AN28/'Allocators Data'!$DF28</f>
        <v>0</v>
      </c>
      <c r="AL28" s="21">
        <f>'Allocators Data'!AO28/'Allocators Data'!$DF28</f>
        <v>0</v>
      </c>
      <c r="AM28" s="20">
        <f>'Allocators Data'!AP28/'Allocators Data'!$DF28</f>
        <v>1.5647159417041814E-6</v>
      </c>
      <c r="AN28" s="20">
        <f>'Allocators Data'!AQ28/'Allocators Data'!$DF28</f>
        <v>3.6510038639764227E-6</v>
      </c>
      <c r="AO28" s="20">
        <f>'Allocators Data'!AR28/'Allocators Data'!$DF28</f>
        <v>7.8235797085209071E-6</v>
      </c>
      <c r="AP28" s="20">
        <f>'Allocators Data'!AS28/'Allocators Data'!$DF28</f>
        <v>3.7636634117791242E-3</v>
      </c>
      <c r="AQ28" s="20">
        <f>'Allocators Data'!AT28/'Allocators Data'!$DF28</f>
        <v>6.107958768148008E-4</v>
      </c>
      <c r="AR28" s="21">
        <f>'Allocators Data'!AU28/'Allocators Data'!$DF28</f>
        <v>2.8748478581296327E-4</v>
      </c>
      <c r="AS28" s="20">
        <f>'Allocators Data'!AV28/'Allocators Data'!$DF28</f>
        <v>7.7334548030475332E-6</v>
      </c>
      <c r="AT28" s="20">
        <f>'Allocators Data'!AW28/'Allocators Data'!$DF28</f>
        <v>1.7680910695071587E-5</v>
      </c>
      <c r="AU28" s="20">
        <f>'Allocators Data'!AX28/'Allocators Data'!$DF28</f>
        <v>3.540215996042953E-5</v>
      </c>
      <c r="AV28" s="20">
        <f>'Allocators Data'!AY28/'Allocators Data'!$DF28</f>
        <v>3.9804361446665057E-3</v>
      </c>
      <c r="AW28" s="20">
        <f>'Allocators Data'!AZ28/'Allocators Data'!$DF28</f>
        <v>3.6482593913473691E-3</v>
      </c>
      <c r="AX28" s="21">
        <f>'Allocators Data'!BA28/'Allocators Data'!$DF28</f>
        <v>3.2013293569289159E-4</v>
      </c>
      <c r="AY28" s="20">
        <f>'Allocators Data'!BB28/'Allocators Data'!$DF28</f>
        <v>9.9467775302875452E-3</v>
      </c>
      <c r="AZ28" s="20">
        <f>'Allocators Data'!BC28/'Allocators Data'!$DF28</f>
        <v>1.9638443741662195E-2</v>
      </c>
      <c r="BA28" s="20">
        <f>'Allocators Data'!BD28/'Allocators Data'!$DF28</f>
        <v>2.9790554927479514E-2</v>
      </c>
      <c r="BB28" s="20">
        <f>'Allocators Data'!BE28/'Allocators Data'!$DF28</f>
        <v>0.18782536900341912</v>
      </c>
      <c r="BC28" s="20">
        <f>'Allocators Data'!BF28/'Allocators Data'!$DF28</f>
        <v>0.10356754822485358</v>
      </c>
      <c r="BD28" s="21">
        <f>'Allocators Data'!BG28/'Allocators Data'!$DF28</f>
        <v>7.589154218693589E-2</v>
      </c>
      <c r="BE28" s="20">
        <f>'Allocators Data'!BH28/'Allocators Data'!$DF28</f>
        <v>1.1893678636427269E-4</v>
      </c>
      <c r="BF28" s="20">
        <f>'Allocators Data'!BI28/'Allocators Data'!$DF28</f>
        <v>2.7229601383364549E-4</v>
      </c>
      <c r="BG28" s="20">
        <f>'Allocators Data'!BJ28/'Allocators Data'!$DF28</f>
        <v>5.6942412851164893E-4</v>
      </c>
      <c r="BH28" s="20">
        <f>'Allocators Data'!BK28/'Allocators Data'!$DF28</f>
        <v>1.1651913478421053E-2</v>
      </c>
      <c r="BI28" s="20">
        <f>'Allocators Data'!BL28/'Allocators Data'!$DF28</f>
        <v>6.5993746574143138E-3</v>
      </c>
      <c r="BJ28" s="21">
        <f>'Allocators Data'!BM28/'Allocators Data'!$DF28</f>
        <v>7.0364544570607306E-3</v>
      </c>
      <c r="BK28" s="20">
        <f>'Allocators Data'!BN28/'Allocators Data'!$DF28</f>
        <v>0</v>
      </c>
      <c r="BL28" s="20">
        <f>'Allocators Data'!BO28/'Allocators Data'!$DF28</f>
        <v>0</v>
      </c>
      <c r="BM28" s="20">
        <f>'Allocators Data'!BP28/'Allocators Data'!$DF28</f>
        <v>0</v>
      </c>
      <c r="BN28" s="20">
        <f>'Allocators Data'!BQ28/'Allocators Data'!$DF28</f>
        <v>0</v>
      </c>
      <c r="BO28" s="20">
        <f>'Allocators Data'!BR28/'Allocators Data'!$DF28</f>
        <v>0</v>
      </c>
      <c r="BP28" s="21">
        <f>'Allocators Data'!BS28/'Allocators Data'!$DF28</f>
        <v>0</v>
      </c>
      <c r="BQ28" s="20">
        <f>'Allocators Data'!BT28/'Allocators Data'!$DF28</f>
        <v>0</v>
      </c>
      <c r="BR28" s="20">
        <f>'Allocators Data'!BU28/'Allocators Data'!$DF28</f>
        <v>0</v>
      </c>
      <c r="BS28" s="20">
        <f>'Allocators Data'!BV28/'Allocators Data'!$DF28</f>
        <v>0</v>
      </c>
      <c r="BT28" s="20">
        <f>'Allocators Data'!BW28/'Allocators Data'!$DF28</f>
        <v>0</v>
      </c>
      <c r="BU28" s="20">
        <f>'Allocators Data'!BX28/'Allocators Data'!$DF28</f>
        <v>0</v>
      </c>
      <c r="BV28" s="21">
        <f>'Allocators Data'!BY28/'Allocators Data'!$DF28</f>
        <v>0</v>
      </c>
      <c r="BW28" s="22"/>
      <c r="BX28" s="20">
        <f>'Allocators Data'!CA28/'Allocators Data'!$DF28</f>
        <v>0</v>
      </c>
      <c r="BY28" s="20">
        <f>'Allocators Data'!CB28/'Allocators Data'!$DF28</f>
        <v>0</v>
      </c>
      <c r="BZ28" s="20">
        <f>'Allocators Data'!CC28/'Allocators Data'!$DF28</f>
        <v>0</v>
      </c>
      <c r="CA28" s="20">
        <f>'Allocators Data'!CD28/'Allocators Data'!$DF28</f>
        <v>0</v>
      </c>
      <c r="CB28" s="20">
        <f>'Allocators Data'!CE28/'Allocators Data'!$DF28</f>
        <v>0</v>
      </c>
      <c r="CC28" s="20">
        <f>'Allocators Data'!CF28/'Allocators Data'!$DF28</f>
        <v>0</v>
      </c>
      <c r="CD28" s="20">
        <f>'Allocators Data'!CG28/'Allocators Data'!$DF28</f>
        <v>0</v>
      </c>
      <c r="CE28" s="20">
        <f>'Allocators Data'!CH28/'Allocators Data'!$DF28</f>
        <v>0</v>
      </c>
      <c r="CF28" s="20">
        <f>'Allocators Data'!CI28/'Allocators Data'!$DF28</f>
        <v>0</v>
      </c>
      <c r="CG28" s="20">
        <f>'Allocators Data'!CJ28/'Allocators Data'!$DF28</f>
        <v>0</v>
      </c>
      <c r="CH28" s="22"/>
      <c r="CI28" s="20">
        <f>'Allocators Data'!CL28/'Allocators Data'!$DF28</f>
        <v>0</v>
      </c>
      <c r="CJ28" s="20">
        <f>'Allocators Data'!CM28/'Allocators Data'!$DF28</f>
        <v>0</v>
      </c>
      <c r="CK28" s="20">
        <f>'Allocators Data'!CN28/'Allocators Data'!$DF28</f>
        <v>0</v>
      </c>
      <c r="CL28" s="29">
        <f>'Allocators Data'!CO28/'Allocators Data'!$DF28</f>
        <v>0</v>
      </c>
      <c r="CM28" s="20">
        <f>'Allocators Data'!CP28/'Allocators Data'!$DF28</f>
        <v>0</v>
      </c>
      <c r="CN28" s="20">
        <f>'Allocators Data'!CQ28/'Allocators Data'!$DF28</f>
        <v>0</v>
      </c>
      <c r="CO28" s="22"/>
      <c r="CP28" s="20">
        <f>'Allocators Data'!CS28/'Allocators Data'!$DF28</f>
        <v>2.6630399145298516E-4</v>
      </c>
      <c r="CQ28" s="20">
        <f>'Allocators Data'!CT28/'Allocators Data'!$DF28</f>
        <v>2.1254265095131241E-3</v>
      </c>
      <c r="CR28" s="22"/>
      <c r="CS28" s="20">
        <f>'Allocators Data'!CV28/'Allocators Data'!$DF28</f>
        <v>0</v>
      </c>
      <c r="CT28" s="20">
        <f>'Allocators Data'!CW28/'Allocators Data'!$DF28</f>
        <v>0</v>
      </c>
      <c r="CU28" s="20">
        <f>'Allocators Data'!CX28/'Allocators Data'!$DF28</f>
        <v>0</v>
      </c>
      <c r="CV28" s="20">
        <f>'Allocators Data'!CY28/'Allocators Data'!$DF28</f>
        <v>0</v>
      </c>
      <c r="CW28" s="20">
        <f>'Allocators Data'!CZ28/'Allocators Data'!$DF28</f>
        <v>0</v>
      </c>
      <c r="CX28" s="20">
        <f>'Allocators Data'!DA28/'Allocators Data'!$DF28</f>
        <v>0</v>
      </c>
      <c r="CY28" s="20">
        <f>'Allocators Data'!DB28/'Allocators Data'!$DF28</f>
        <v>0</v>
      </c>
      <c r="CZ28" s="20">
        <f>'Allocators Data'!DC28/'Allocators Data'!$DF28</f>
        <v>0</v>
      </c>
      <c r="DA28" s="20">
        <f>'Allocators Data'!DD28/'Allocators Data'!$DF28</f>
        <v>0</v>
      </c>
      <c r="DB28" s="22"/>
      <c r="DC28" s="20">
        <f t="shared" si="7"/>
        <v>1</v>
      </c>
    </row>
    <row r="29" spans="1:107" x14ac:dyDescent="0.2">
      <c r="A29">
        <v>12</v>
      </c>
      <c r="B29" t="s">
        <v>243</v>
      </c>
      <c r="C29" s="20">
        <f>'Allocators Data'!F29/'Allocators Data'!$DF29</f>
        <v>2.7675270136204438E-2</v>
      </c>
      <c r="D29" s="20">
        <f>'Allocators Data'!G29/'Allocators Data'!$DF29</f>
        <v>3.7058618873598653E-2</v>
      </c>
      <c r="E29" s="20">
        <f>'Allocators Data'!H29/'Allocators Data'!$DF29</f>
        <v>4.0521268342847153E-2</v>
      </c>
      <c r="F29" s="20">
        <f>'Allocators Data'!I29/'Allocators Data'!$DF29</f>
        <v>5.9757418747925818E-2</v>
      </c>
      <c r="G29" s="31">
        <f>'Allocators Data'!J29/'Allocators Data'!$DF29</f>
        <v>8.8206323421243361E-4</v>
      </c>
      <c r="H29" s="20">
        <f>'Allocators Data'!K29/'Allocators Data'!$DF29</f>
        <v>6.1428540838866022E-7</v>
      </c>
      <c r="I29" s="20">
        <f>'Allocators Data'!L29/'Allocators Data'!$DF29</f>
        <v>0</v>
      </c>
      <c r="J29" s="20">
        <f>'Allocators Data'!M29/'Allocators Data'!$DF29</f>
        <v>0</v>
      </c>
      <c r="K29" s="21">
        <f>'Allocators Data'!N29/'Allocators Data'!$DF29</f>
        <v>0</v>
      </c>
      <c r="L29" s="20">
        <f>'Allocators Data'!O29/'Allocators Data'!$DF29</f>
        <v>2.6667953727338351E-3</v>
      </c>
      <c r="M29" s="20">
        <f>'Allocators Data'!P29/'Allocators Data'!$DF29</f>
        <v>1.431901057640032E-3</v>
      </c>
      <c r="N29" s="20">
        <f>'Allocators Data'!Q29/'Allocators Data'!$DF29</f>
        <v>1.745797406492918E-4</v>
      </c>
      <c r="O29" s="21">
        <f>'Allocators Data'!R29/'Allocators Data'!$DF29</f>
        <v>1.3943794670546916E-4</v>
      </c>
      <c r="P29" s="20">
        <f>'Allocators Data'!S29/'Allocators Data'!$DF29</f>
        <v>0</v>
      </c>
      <c r="Q29" s="20">
        <f>'Allocators Data'!T29/'Allocators Data'!$DF29</f>
        <v>0</v>
      </c>
      <c r="R29" s="20">
        <f>'Allocators Data'!U29/'Allocators Data'!$DF29</f>
        <v>0</v>
      </c>
      <c r="S29" s="21">
        <f>'Allocators Data'!V29/'Allocators Data'!$DF29</f>
        <v>0</v>
      </c>
      <c r="T29" s="20">
        <f>'Allocators Data'!W29/'Allocators Data'!$DF29</f>
        <v>0</v>
      </c>
      <c r="U29" s="20">
        <f>'Allocators Data'!X29/'Allocators Data'!$DF29</f>
        <v>0</v>
      </c>
      <c r="V29" s="20">
        <f>'Allocators Data'!Y29/'Allocators Data'!$DF29</f>
        <v>0</v>
      </c>
      <c r="W29" s="20">
        <f>'Allocators Data'!Z29/'Allocators Data'!$DF29</f>
        <v>0</v>
      </c>
      <c r="X29" s="22"/>
      <c r="Y29" s="20">
        <f>'Allocators Data'!AB29/'Allocators Data'!$DF29</f>
        <v>0</v>
      </c>
      <c r="Z29" s="20">
        <f>'Allocators Data'!AC29/'Allocators Data'!$DF29</f>
        <v>3.1471538229938731E-5</v>
      </c>
      <c r="AA29" s="20">
        <f>'Allocators Data'!AD29/'Allocators Data'!$DF29</f>
        <v>0</v>
      </c>
      <c r="AB29" s="20">
        <f>'Allocators Data'!AE29/'Allocators Data'!$DF29</f>
        <v>9.0650253497683681E-5</v>
      </c>
      <c r="AC29" s="20">
        <f>'Allocators Data'!AF29/'Allocators Data'!$DF29</f>
        <v>1.4913346632120846E-3</v>
      </c>
      <c r="AD29" s="20">
        <f>'Allocators Data'!AG29/'Allocators Data'!$DF29</f>
        <v>5.1542236381279485E-2</v>
      </c>
      <c r="AE29" s="20">
        <f>'Allocators Data'!AH29/'Allocators Data'!$DF29</f>
        <v>0.31093608362707925</v>
      </c>
      <c r="AF29" s="22"/>
      <c r="AG29" s="20">
        <f>'Allocators Data'!AJ29/'Allocators Data'!$DF29</f>
        <v>3.4271989200025317E-6</v>
      </c>
      <c r="AH29" s="20">
        <f>'Allocators Data'!AK29/'Allocators Data'!$DF29</f>
        <v>5.917602066417148E-6</v>
      </c>
      <c r="AI29" s="20">
        <f>'Allocators Data'!AL29/'Allocators Data'!$DF29</f>
        <v>1.2630954250623582E-5</v>
      </c>
      <c r="AJ29" s="20">
        <f>'Allocators Data'!AM29/'Allocators Data'!$DF29</f>
        <v>3.1143722863954211E-5</v>
      </c>
      <c r="AK29" s="20">
        <f>'Allocators Data'!AN29/'Allocators Data'!$DF29</f>
        <v>0</v>
      </c>
      <c r="AL29" s="21">
        <f>'Allocators Data'!AO29/'Allocators Data'!$DF29</f>
        <v>0</v>
      </c>
      <c r="AM29" s="20">
        <f>'Allocators Data'!AP29/'Allocators Data'!$DF29</f>
        <v>1.4720222639160774E-6</v>
      </c>
      <c r="AN29" s="20">
        <f>'Allocators Data'!AQ29/'Allocators Data'!$DF29</f>
        <v>3.4347186158041796E-6</v>
      </c>
      <c r="AO29" s="20">
        <f>'Allocators Data'!AR29/'Allocators Data'!$DF29</f>
        <v>7.3601113195803854E-6</v>
      </c>
      <c r="AP29" s="20">
        <f>'Allocators Data'!AS29/'Allocators Data'!$DF29</f>
        <v>3.5407042188061377E-3</v>
      </c>
      <c r="AQ29" s="20">
        <f>'Allocators Data'!AT29/'Allocators Data'!$DF29</f>
        <v>5.7461236599934211E-4</v>
      </c>
      <c r="AR29" s="21">
        <f>'Allocators Data'!AU29/'Allocators Data'!$DF29</f>
        <v>2.7045420448194813E-4</v>
      </c>
      <c r="AS29" s="20">
        <f>'Allocators Data'!AV29/'Allocators Data'!$DF29</f>
        <v>7.0510332182631815E-6</v>
      </c>
      <c r="AT29" s="20">
        <f>'Allocators Data'!AW29/'Allocators Data'!$DF29</f>
        <v>1.6120697904766464E-5</v>
      </c>
      <c r="AU29" s="20">
        <f>'Allocators Data'!AX29/'Allocators Data'!$DF29</f>
        <v>3.2278174792058857E-5</v>
      </c>
      <c r="AV29" s="20">
        <f>'Allocators Data'!AY29/'Allocators Data'!$DF29</f>
        <v>3.6291913761697919E-3</v>
      </c>
      <c r="AW29" s="20">
        <f>'Allocators Data'!AZ29/'Allocators Data'!$DF29</f>
        <v>3.326326824473562E-3</v>
      </c>
      <c r="AX29" s="21">
        <f>'Allocators Data'!BA29/'Allocators Data'!$DF29</f>
        <v>2.9188351407202448E-4</v>
      </c>
      <c r="AY29" s="20">
        <f>'Allocators Data'!BB29/'Allocators Data'!$DF29</f>
        <v>9.8380368896741344E-3</v>
      </c>
      <c r="AZ29" s="20">
        <f>'Allocators Data'!BC29/'Allocators Data'!$DF29</f>
        <v>1.9423751400688822E-2</v>
      </c>
      <c r="BA29" s="20">
        <f>'Allocators Data'!BD29/'Allocators Data'!$DF29</f>
        <v>2.9464877187409508E-2</v>
      </c>
      <c r="BB29" s="20">
        <f>'Allocators Data'!BE29/'Allocators Data'!$DF29</f>
        <v>0.18577201545382066</v>
      </c>
      <c r="BC29" s="20">
        <f>'Allocators Data'!BF29/'Allocators Data'!$DF29</f>
        <v>0.1024353220836296</v>
      </c>
      <c r="BD29" s="21">
        <f>'Allocators Data'!BG29/'Allocators Data'!$DF29</f>
        <v>7.5061877012519512E-2</v>
      </c>
      <c r="BE29" s="20">
        <f>'Allocators Data'!BH29/'Allocators Data'!$DF29</f>
        <v>1.3172616540933573E-4</v>
      </c>
      <c r="BF29" s="20">
        <f>'Allocators Data'!BI29/'Allocators Data'!$DF29</f>
        <v>3.0157624781198953E-4</v>
      </c>
      <c r="BG29" s="20">
        <f>'Allocators Data'!BJ29/'Allocators Data'!$DF29</f>
        <v>6.3065481448827763E-4</v>
      </c>
      <c r="BH29" s="20">
        <f>'Allocators Data'!BK29/'Allocators Data'!$DF29</f>
        <v>1.2904854159190697E-2</v>
      </c>
      <c r="BI29" s="20">
        <f>'Allocators Data'!BL29/'Allocators Data'!$DF29</f>
        <v>7.3090113184852918E-3</v>
      </c>
      <c r="BJ29" s="21">
        <f>'Allocators Data'!BM29/'Allocators Data'!$DF29</f>
        <v>7.793090700023029E-3</v>
      </c>
      <c r="BK29" s="20">
        <f>'Allocators Data'!BN29/'Allocators Data'!$DF29</f>
        <v>1.8946431375935373E-6</v>
      </c>
      <c r="BL29" s="20">
        <f>'Allocators Data'!BO29/'Allocators Data'!$DF29</f>
        <v>4.4208339877182533E-6</v>
      </c>
      <c r="BM29" s="20">
        <f>'Allocators Data'!BP29/'Allocators Data'!$DF29</f>
        <v>9.4732156879676869E-6</v>
      </c>
      <c r="BN29" s="20">
        <f>'Allocators Data'!BQ29/'Allocators Data'!$DF29</f>
        <v>2.2967285145717214E-5</v>
      </c>
      <c r="BO29" s="20">
        <f>'Allocators Data'!BR29/'Allocators Data'!$DF29</f>
        <v>0</v>
      </c>
      <c r="BP29" s="21">
        <f>'Allocators Data'!BS29/'Allocators Data'!$DF29</f>
        <v>0</v>
      </c>
      <c r="BQ29" s="20">
        <f>'Allocators Data'!BT29/'Allocators Data'!$DF29</f>
        <v>0</v>
      </c>
      <c r="BR29" s="20">
        <f>'Allocators Data'!BU29/'Allocators Data'!$DF29</f>
        <v>0</v>
      </c>
      <c r="BS29" s="20">
        <f>'Allocators Data'!BV29/'Allocators Data'!$DF29</f>
        <v>0</v>
      </c>
      <c r="BT29" s="20">
        <f>'Allocators Data'!BW29/'Allocators Data'!$DF29</f>
        <v>0</v>
      </c>
      <c r="BU29" s="20">
        <f>'Allocators Data'!BX29/'Allocators Data'!$DF29</f>
        <v>0</v>
      </c>
      <c r="BV29" s="21">
        <f>'Allocators Data'!BY29/'Allocators Data'!$DF29</f>
        <v>0</v>
      </c>
      <c r="BW29" s="22"/>
      <c r="BX29" s="20">
        <f>'Allocators Data'!CA29/'Allocators Data'!$DF29</f>
        <v>0</v>
      </c>
      <c r="BY29" s="20">
        <f>'Allocators Data'!CB29/'Allocators Data'!$DF29</f>
        <v>0</v>
      </c>
      <c r="BZ29" s="20">
        <f>'Allocators Data'!CC29/'Allocators Data'!$DF29</f>
        <v>0</v>
      </c>
      <c r="CA29" s="20">
        <f>'Allocators Data'!CD29/'Allocators Data'!$DF29</f>
        <v>0</v>
      </c>
      <c r="CB29" s="20">
        <f>'Allocators Data'!CE29/'Allocators Data'!$DF29</f>
        <v>0</v>
      </c>
      <c r="CC29" s="20">
        <f>'Allocators Data'!CF29/'Allocators Data'!$DF29</f>
        <v>0</v>
      </c>
      <c r="CD29" s="20">
        <f>'Allocators Data'!CG29/'Allocators Data'!$DF29</f>
        <v>0</v>
      </c>
      <c r="CE29" s="20">
        <f>'Allocators Data'!CH29/'Allocators Data'!$DF29</f>
        <v>0</v>
      </c>
      <c r="CF29" s="20">
        <f>'Allocators Data'!CI29/'Allocators Data'!$DF29</f>
        <v>0</v>
      </c>
      <c r="CG29" s="20">
        <f>'Allocators Data'!CJ29/'Allocators Data'!$DF29</f>
        <v>0</v>
      </c>
      <c r="CH29" s="22"/>
      <c r="CI29" s="20">
        <f>'Allocators Data'!CL29/'Allocators Data'!$DF29</f>
        <v>0</v>
      </c>
      <c r="CJ29" s="20">
        <f>'Allocators Data'!CM29/'Allocators Data'!$DF29</f>
        <v>0</v>
      </c>
      <c r="CK29" s="20">
        <f>'Allocators Data'!CN29/'Allocators Data'!$DF29</f>
        <v>0</v>
      </c>
      <c r="CL29" s="29">
        <f>'Allocators Data'!CO29/'Allocators Data'!$DF29</f>
        <v>0</v>
      </c>
      <c r="CM29" s="20">
        <f>'Allocators Data'!CP29/'Allocators Data'!$DF29</f>
        <v>0</v>
      </c>
      <c r="CN29" s="20">
        <f>'Allocators Data'!CQ29/'Allocators Data'!$DF29</f>
        <v>0</v>
      </c>
      <c r="CO29" s="22"/>
      <c r="CP29" s="20">
        <f>'Allocators Data'!CS29/'Allocators Data'!$DF29</f>
        <v>3.0515926547176257E-4</v>
      </c>
      <c r="CQ29" s="20">
        <f>'Allocators Data'!CT29/'Allocators Data'!$DF29</f>
        <v>2.4355383819763122E-3</v>
      </c>
      <c r="CR29" s="22"/>
      <c r="CS29" s="20">
        <f>'Allocators Data'!CV29/'Allocators Data'!$DF29</f>
        <v>0</v>
      </c>
      <c r="CT29" s="20">
        <f>'Allocators Data'!CW29/'Allocators Data'!$DF29</f>
        <v>0</v>
      </c>
      <c r="CU29" s="20">
        <f>'Allocators Data'!CX29/'Allocators Data'!$DF29</f>
        <v>0</v>
      </c>
      <c r="CV29" s="20">
        <f>'Allocators Data'!CY29/'Allocators Data'!$DF29</f>
        <v>0</v>
      </c>
      <c r="CW29" s="20">
        <f>'Allocators Data'!CZ29/'Allocators Data'!$DF29</f>
        <v>0</v>
      </c>
      <c r="CX29" s="20">
        <f>'Allocators Data'!DA29/'Allocators Data'!$DF29</f>
        <v>0</v>
      </c>
      <c r="CY29" s="20">
        <f>'Allocators Data'!DB29/'Allocators Data'!$DF29</f>
        <v>0</v>
      </c>
      <c r="CZ29" s="20">
        <f>'Allocators Data'!DC29/'Allocators Data'!$DF29</f>
        <v>0</v>
      </c>
      <c r="DA29" s="20">
        <f>'Allocators Data'!DD29/'Allocators Data'!$DF29</f>
        <v>0</v>
      </c>
      <c r="DB29" s="22"/>
      <c r="DC29" s="20">
        <f t="shared" si="7"/>
        <v>1.0000000000000004</v>
      </c>
    </row>
    <row r="30" spans="1:107" x14ac:dyDescent="0.2">
      <c r="B30" s="11"/>
      <c r="C30" s="11"/>
      <c r="D30" s="11"/>
      <c r="E30" s="11"/>
      <c r="F30" s="14"/>
      <c r="G30" s="16"/>
      <c r="H30" s="11"/>
      <c r="I30" s="11"/>
      <c r="J30" s="11"/>
      <c r="K30" s="14"/>
      <c r="L30" s="11"/>
      <c r="M30" s="11"/>
      <c r="N30" s="11"/>
      <c r="O30" s="14"/>
      <c r="P30" s="11"/>
      <c r="Q30" s="11"/>
      <c r="R30" s="11"/>
      <c r="S30" s="14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4"/>
      <c r="AM30" s="11"/>
      <c r="AN30" s="11"/>
      <c r="AO30" s="11"/>
      <c r="AP30" s="11"/>
      <c r="AQ30" s="11"/>
      <c r="AR30" s="14"/>
      <c r="AS30" s="11"/>
      <c r="AT30" s="11"/>
      <c r="AU30" s="11"/>
      <c r="AV30" s="11"/>
      <c r="AW30" s="11"/>
      <c r="AX30" s="14"/>
      <c r="AY30" s="11"/>
      <c r="AZ30" s="11"/>
      <c r="BA30" s="11"/>
      <c r="BB30" s="11"/>
      <c r="BC30" s="11"/>
      <c r="BD30" s="14"/>
      <c r="BE30" s="11"/>
      <c r="BF30" s="11"/>
      <c r="BG30" s="11"/>
      <c r="BH30" s="11"/>
      <c r="BI30" s="11"/>
      <c r="BJ30" s="14"/>
      <c r="BK30" s="11"/>
      <c r="BL30" s="11"/>
      <c r="BM30" s="11"/>
      <c r="BN30" s="11"/>
      <c r="BO30" s="11"/>
      <c r="BP30" s="14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27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20"/>
    </row>
    <row r="31" spans="1:107" x14ac:dyDescent="0.2">
      <c r="B31" t="s">
        <v>47</v>
      </c>
      <c r="C31" s="344" t="str">
        <f>C16</f>
        <v>CSN0</v>
      </c>
      <c r="D31" s="344"/>
      <c r="E31" s="344"/>
      <c r="F31" s="345"/>
      <c r="G31" s="15" t="str">
        <f>G16</f>
        <v>CSN2</v>
      </c>
      <c r="H31" s="343" t="str">
        <f>H16</f>
        <v>CSN7</v>
      </c>
      <c r="I31" s="344"/>
      <c r="J31" s="344"/>
      <c r="K31" s="345"/>
      <c r="L31" s="343" t="str">
        <f>L16</f>
        <v>CSN8</v>
      </c>
      <c r="M31" s="344"/>
      <c r="N31" s="344"/>
      <c r="O31" s="345"/>
      <c r="P31" s="343" t="str">
        <f>P16</f>
        <v>CSN9</v>
      </c>
      <c r="Q31" s="344"/>
      <c r="R31" s="344"/>
      <c r="S31" s="345"/>
      <c r="T31" s="343" t="str">
        <f>T16</f>
        <v>SFOC</v>
      </c>
      <c r="U31" s="344"/>
      <c r="V31" s="344"/>
      <c r="W31" s="344"/>
      <c r="X31" s="11"/>
      <c r="Y31" t="str">
        <f>Y16</f>
        <v>HBN0</v>
      </c>
      <c r="Z31" t="str">
        <f>Z16</f>
        <v>HCN0</v>
      </c>
      <c r="AA31" t="str">
        <f>AA16</f>
        <v>HCN3</v>
      </c>
      <c r="AB31" t="s">
        <v>60</v>
      </c>
      <c r="AC31" t="str">
        <f>AC16</f>
        <v>HDN0</v>
      </c>
      <c r="AD31" t="str">
        <f>AD16</f>
        <v>HPN0</v>
      </c>
      <c r="AE31" t="str">
        <f>AE16</f>
        <v>HSN0</v>
      </c>
      <c r="AF31" s="11"/>
      <c r="AG31" s="343" t="str">
        <f>AG16</f>
        <v>LBN0</v>
      </c>
      <c r="AH31" s="344"/>
      <c r="AI31" s="344"/>
      <c r="AJ31" s="344"/>
      <c r="AK31" s="344"/>
      <c r="AL31" s="345"/>
      <c r="AM31" s="343" t="str">
        <f>AM16</f>
        <v>LDN0</v>
      </c>
      <c r="AN31" s="344"/>
      <c r="AO31" s="344"/>
      <c r="AP31" s="344"/>
      <c r="AQ31" s="344"/>
      <c r="AR31" s="345"/>
      <c r="AS31" s="343" t="str">
        <f>AS16</f>
        <v>LPN0</v>
      </c>
      <c r="AT31" s="344"/>
      <c r="AU31" s="344"/>
      <c r="AV31" s="344"/>
      <c r="AW31" s="344"/>
      <c r="AX31" s="345"/>
      <c r="AY31" s="343" t="str">
        <f>AY16</f>
        <v>LSN0</v>
      </c>
      <c r="AZ31" s="344"/>
      <c r="BA31" s="344"/>
      <c r="BB31" s="344"/>
      <c r="BC31" s="344"/>
      <c r="BD31" s="345"/>
      <c r="BE31" s="343" t="str">
        <f>BE16</f>
        <v>LSN2</v>
      </c>
      <c r="BF31" s="344"/>
      <c r="BG31" s="344"/>
      <c r="BH31" s="344"/>
      <c r="BI31" s="344"/>
      <c r="BJ31" s="345"/>
      <c r="BK31" s="343" t="str">
        <f>BK16</f>
        <v>LSN3 Current</v>
      </c>
      <c r="BL31" s="344"/>
      <c r="BM31" s="344"/>
      <c r="BN31" s="344"/>
      <c r="BO31" s="344"/>
      <c r="BP31" s="344"/>
      <c r="BQ31" s="126"/>
      <c r="BR31" s="126"/>
      <c r="BS31" s="126"/>
      <c r="BT31" s="126"/>
      <c r="BU31" s="126"/>
      <c r="BV31" s="126"/>
      <c r="BW31" s="11"/>
      <c r="BX31" t="str">
        <f>BX16</f>
        <v>NUCF</v>
      </c>
      <c r="BY31" t="str">
        <f t="shared" ref="BY31:CG31" si="8">BY16</f>
        <v>NUIF</v>
      </c>
      <c r="BZ31" t="str">
        <f t="shared" si="8"/>
        <v>NUID</v>
      </c>
      <c r="CA31" t="str">
        <f t="shared" si="8"/>
        <v>NUCS</v>
      </c>
      <c r="CB31" t="str">
        <f t="shared" si="8"/>
        <v>SAES</v>
      </c>
      <c r="CC31" t="str">
        <f t="shared" si="8"/>
        <v>SASN</v>
      </c>
      <c r="CD31" t="str">
        <f t="shared" si="8"/>
        <v>SPUF</v>
      </c>
      <c r="CE31" t="str">
        <f t="shared" si="8"/>
        <v>SPUR</v>
      </c>
      <c r="CF31" t="str">
        <f t="shared" si="8"/>
        <v>SDEH</v>
      </c>
      <c r="CG31" t="str">
        <f t="shared" si="8"/>
        <v>SDED</v>
      </c>
      <c r="CH31" s="11"/>
      <c r="CI31" s="344" t="str">
        <f t="shared" ref="CI31:CN32" si="9">CI16</f>
        <v>RSN0</v>
      </c>
      <c r="CJ31" s="344"/>
      <c r="CK31" s="345"/>
      <c r="CL31" s="343" t="str">
        <f t="shared" si="9"/>
        <v>RSN2</v>
      </c>
      <c r="CM31" s="344"/>
      <c r="CN31" s="345"/>
      <c r="CO31" s="11"/>
      <c r="CP31" s="344" t="str">
        <f t="shared" ref="CP31:CQ32" si="10">CP16</f>
        <v xml:space="preserve">SWP </v>
      </c>
      <c r="CQ31" s="344"/>
      <c r="CR31" s="11"/>
      <c r="CS31" t="str">
        <f>CS16</f>
        <v>MHLS</v>
      </c>
      <c r="CT31" t="str">
        <f>CT16</f>
        <v>FS</v>
      </c>
      <c r="CU31" t="str">
        <f t="shared" ref="CU31:DA31" si="11">CU16</f>
        <v>MOLS</v>
      </c>
      <c r="CV31" t="str">
        <f t="shared" si="11"/>
        <v>MS</v>
      </c>
      <c r="CW31" t="str">
        <f>CW16</f>
        <v>SL</v>
      </c>
      <c r="CX31" t="str">
        <f t="shared" si="11"/>
        <v>TS</v>
      </c>
      <c r="CY31" t="str">
        <f t="shared" si="11"/>
        <v>UOLS</v>
      </c>
      <c r="CZ31" t="str">
        <f t="shared" si="11"/>
        <v>WHTL</v>
      </c>
      <c r="DA31" t="str">
        <f t="shared" si="11"/>
        <v>XLED</v>
      </c>
      <c r="DB31" s="11"/>
      <c r="DC31" s="20"/>
    </row>
    <row r="32" spans="1:107" x14ac:dyDescent="0.2">
      <c r="C32" t="str">
        <f t="shared" ref="C32:W32" si="12">C17</f>
        <v>First 300</v>
      </c>
      <c r="D32" t="str">
        <f t="shared" si="12"/>
        <v>Next 700</v>
      </c>
      <c r="E32" t="str">
        <f t="shared" si="12"/>
        <v>Next 1500</v>
      </c>
      <c r="F32" s="13" t="str">
        <f t="shared" si="12"/>
        <v>Over 2500</v>
      </c>
      <c r="G32" s="15"/>
      <c r="H32" t="str">
        <f t="shared" si="12"/>
        <v>First 300</v>
      </c>
      <c r="I32" t="str">
        <f t="shared" si="12"/>
        <v>Next 700</v>
      </c>
      <c r="J32" t="str">
        <f t="shared" si="12"/>
        <v>Next 1500</v>
      </c>
      <c r="K32" s="13" t="str">
        <f t="shared" si="12"/>
        <v>Over 2500</v>
      </c>
      <c r="L32" t="str">
        <f t="shared" si="12"/>
        <v>First 300</v>
      </c>
      <c r="M32" t="str">
        <f t="shared" si="12"/>
        <v>Next 700</v>
      </c>
      <c r="N32" t="str">
        <f t="shared" si="12"/>
        <v>Next 1500</v>
      </c>
      <c r="O32" s="13" t="str">
        <f t="shared" si="12"/>
        <v>Over 2500</v>
      </c>
      <c r="P32" t="str">
        <f t="shared" si="12"/>
        <v>First 300</v>
      </c>
      <c r="Q32" t="str">
        <f t="shared" si="12"/>
        <v>Next 700</v>
      </c>
      <c r="R32" t="str">
        <f t="shared" si="12"/>
        <v>Next 1500</v>
      </c>
      <c r="S32" s="13" t="str">
        <f t="shared" si="12"/>
        <v>Over 2500</v>
      </c>
      <c r="T32" t="str">
        <f t="shared" si="12"/>
        <v>First 300</v>
      </c>
      <c r="U32" t="str">
        <f t="shared" si="12"/>
        <v>Next 700</v>
      </c>
      <c r="V32" t="str">
        <f t="shared" si="12"/>
        <v>Next 1500</v>
      </c>
      <c r="W32" t="str">
        <f t="shared" si="12"/>
        <v>Over 2500</v>
      </c>
      <c r="X32" s="11"/>
      <c r="AA32" t="s">
        <v>8</v>
      </c>
      <c r="AB32" t="s">
        <v>8</v>
      </c>
      <c r="AF32" s="11"/>
      <c r="AG32" t="str">
        <f>AG17</f>
        <v>First 300 kWh</v>
      </c>
      <c r="AH32" t="str">
        <f>AH17</f>
        <v>Next 700 kWh</v>
      </c>
      <c r="AI32" t="str">
        <f>AI17</f>
        <v>Next 1500 kWh</v>
      </c>
      <c r="AJ32" t="str">
        <f>AJ17</f>
        <v>Over 2500 kWh</v>
      </c>
      <c r="AK32" t="str">
        <f>AK17</f>
        <v>KWH_NEXT110</v>
      </c>
      <c r="AL32" s="13" t="str">
        <f>AL17</f>
        <v>KWH_300+</v>
      </c>
      <c r="AM32" t="str">
        <f>AM17</f>
        <v>First 300 kWh</v>
      </c>
      <c r="AN32" t="str">
        <f>AN17</f>
        <v>Next 700 kWh</v>
      </c>
      <c r="AO32" t="str">
        <f>AO17</f>
        <v>Next 1500 kWh</v>
      </c>
      <c r="AP32" t="str">
        <f>AP17</f>
        <v>Over 2500 kWh</v>
      </c>
      <c r="AQ32" t="str">
        <f>AQ17</f>
        <v>KWH_NEXT110</v>
      </c>
      <c r="AR32" s="13" t="str">
        <f>AR17</f>
        <v>KWH_300+</v>
      </c>
      <c r="AS32" t="str">
        <f>AS17</f>
        <v>First 300 kWh</v>
      </c>
      <c r="AT32" t="str">
        <f>AT17</f>
        <v>Next 700 kWh</v>
      </c>
      <c r="AU32" t="str">
        <f>AU17</f>
        <v>Next 1500 kWh</v>
      </c>
      <c r="AV32" t="str">
        <f>AV17</f>
        <v>Over 2500 kWh</v>
      </c>
      <c r="AW32" t="str">
        <f>AW17</f>
        <v>KWH_NEXT110</v>
      </c>
      <c r="AX32" s="13" t="str">
        <f>AX17</f>
        <v>KWH_300+</v>
      </c>
      <c r="AY32" t="str">
        <f>AY17</f>
        <v>First 300 kWh</v>
      </c>
      <c r="AZ32" t="str">
        <f>AZ17</f>
        <v>Next 700 kWh</v>
      </c>
      <c r="BA32" t="str">
        <f>BA17</f>
        <v>Next 1500 kWh</v>
      </c>
      <c r="BB32" t="str">
        <f>BB17</f>
        <v>Over 2500 kWh</v>
      </c>
      <c r="BC32" t="str">
        <f>BC17</f>
        <v>KWH_NEXT110</v>
      </c>
      <c r="BD32" s="13" t="str">
        <f>BD17</f>
        <v>KWH_300+</v>
      </c>
      <c r="BE32" t="str">
        <f>BE17</f>
        <v>First 300 kWh</v>
      </c>
      <c r="BF32" t="str">
        <f>BF17</f>
        <v>Next 700 kWh</v>
      </c>
      <c r="BG32" t="str">
        <f>BG17</f>
        <v>Next 1500 kWh</v>
      </c>
      <c r="BH32" t="str">
        <f>BH17</f>
        <v>Over 2500 kWh</v>
      </c>
      <c r="BI32" t="str">
        <f>BI17</f>
        <v>KWH_NEXT110</v>
      </c>
      <c r="BJ32" s="13" t="str">
        <f>BJ17</f>
        <v>KWH_300+</v>
      </c>
      <c r="BK32" t="str">
        <f>BK17</f>
        <v>First 300 kWh</v>
      </c>
      <c r="BL32" t="str">
        <f>BL17</f>
        <v>Next 700 kWh</v>
      </c>
      <c r="BM32" t="str">
        <f>BM17</f>
        <v>Next 1500 kWh</v>
      </c>
      <c r="BN32" t="str">
        <f>BN17</f>
        <v>Over 2500 kWh</v>
      </c>
      <c r="BO32" t="str">
        <f>BO17</f>
        <v>KWH_NEXT110</v>
      </c>
      <c r="BP32" s="13" t="str">
        <f>BP17</f>
        <v>KWH_300+</v>
      </c>
      <c r="BW32" s="11"/>
      <c r="CH32" s="11"/>
      <c r="CI32" t="str">
        <f t="shared" si="9"/>
        <v>First 300 kWh</v>
      </c>
      <c r="CJ32" t="str">
        <f t="shared" si="9"/>
        <v>Next 700 kWh</v>
      </c>
      <c r="CK32" t="str">
        <f t="shared" si="9"/>
        <v>Over 1000 kWh</v>
      </c>
      <c r="CL32" s="25" t="str">
        <f t="shared" si="9"/>
        <v>First 300 kWh</v>
      </c>
      <c r="CM32" t="str">
        <f t="shared" si="9"/>
        <v>Next 700 kWh</v>
      </c>
      <c r="CN32" t="str">
        <f t="shared" si="9"/>
        <v>Over 1000 kWh</v>
      </c>
      <c r="CO32" s="11"/>
      <c r="CP32" t="str">
        <f t="shared" si="10"/>
        <v>First 2000</v>
      </c>
      <c r="CQ32" t="str">
        <f t="shared" si="10"/>
        <v>Over 2000</v>
      </c>
      <c r="CR32" s="11"/>
      <c r="DB32" s="11"/>
      <c r="DC32" s="20"/>
    </row>
    <row r="33" spans="1:107" x14ac:dyDescent="0.2">
      <c r="A33">
        <v>1</v>
      </c>
      <c r="B33" t="s">
        <v>232</v>
      </c>
      <c r="C33" s="20">
        <f>'Allocators Data'!F33/'Allocators Data'!$DF33</f>
        <v>5.362034261812497E-5</v>
      </c>
      <c r="D33" s="20">
        <f>'Allocators Data'!G33/'Allocators Data'!$DF33</f>
        <v>7.7913706478505956E-5</v>
      </c>
      <c r="E33" s="20">
        <f>'Allocators Data'!H33/'Allocators Data'!$DF33</f>
        <v>8.5193736403668224E-5</v>
      </c>
      <c r="F33" s="20">
        <f>'Allocators Data'!I33/'Allocators Data'!$DF33</f>
        <v>1.302020734729887E-4</v>
      </c>
      <c r="G33" s="31">
        <f>'Allocators Data'!J33/'Allocators Data'!$DF33</f>
        <v>4.978974004770979E-6</v>
      </c>
      <c r="H33" s="20">
        <f>'Allocators Data'!K33/'Allocators Data'!$DF33</f>
        <v>0</v>
      </c>
      <c r="I33" s="20">
        <f>'Allocators Data'!L33/'Allocators Data'!$DF33</f>
        <v>0</v>
      </c>
      <c r="J33" s="20">
        <f>'Allocators Data'!M33/'Allocators Data'!$DF33</f>
        <v>0</v>
      </c>
      <c r="K33" s="21">
        <f>'Allocators Data'!N33/'Allocators Data'!$DF33</f>
        <v>0</v>
      </c>
      <c r="L33" s="20">
        <f>'Allocators Data'!O33/'Allocators Data'!$DF33</f>
        <v>0</v>
      </c>
      <c r="M33" s="20">
        <f>'Allocators Data'!P33/'Allocators Data'!$DF33</f>
        <v>0</v>
      </c>
      <c r="N33" s="20">
        <f>'Allocators Data'!Q33/'Allocators Data'!$DF33</f>
        <v>0</v>
      </c>
      <c r="O33" s="21">
        <f>'Allocators Data'!R33/'Allocators Data'!$DF33</f>
        <v>0</v>
      </c>
      <c r="P33" s="20">
        <f>'Allocators Data'!S33/'Allocators Data'!$DF33</f>
        <v>0</v>
      </c>
      <c r="Q33" s="20">
        <f>'Allocators Data'!T33/'Allocators Data'!$DF33</f>
        <v>0</v>
      </c>
      <c r="R33" s="20">
        <f>'Allocators Data'!U33/'Allocators Data'!$DF33</f>
        <v>0</v>
      </c>
      <c r="S33" s="21">
        <f>'Allocators Data'!V33/'Allocators Data'!$DF33</f>
        <v>0</v>
      </c>
      <c r="T33" s="20">
        <f>'Allocators Data'!W33/'Allocators Data'!$DF33</f>
        <v>0</v>
      </c>
      <c r="U33" s="20">
        <f>'Allocators Data'!X33/'Allocators Data'!$DF33</f>
        <v>0</v>
      </c>
      <c r="V33" s="20">
        <f>'Allocators Data'!Y33/'Allocators Data'!$DF33</f>
        <v>0</v>
      </c>
      <c r="W33" s="20">
        <f>'Allocators Data'!Z33/'Allocators Data'!$DF33</f>
        <v>0</v>
      </c>
      <c r="X33" s="22"/>
      <c r="Y33" s="20">
        <f>'Allocators Data'!AB33/'Allocators Data'!$DF33</f>
        <v>0.16551350113505572</v>
      </c>
      <c r="Z33" s="20">
        <f>'Allocators Data'!AC33/'Allocators Data'!$DF33</f>
        <v>0.11922735415633931</v>
      </c>
      <c r="AA33" s="20">
        <f>'Allocators Data'!AD33/'Allocators Data'!$DF33</f>
        <v>1.3773961062899864E-2</v>
      </c>
      <c r="AB33" s="20">
        <f>'Allocators Data'!AE33/'Allocators Data'!$DF33</f>
        <v>0</v>
      </c>
      <c r="AC33" s="20">
        <f>'Allocators Data'!AF33/'Allocators Data'!$DF33</f>
        <v>0.19724899015337483</v>
      </c>
      <c r="AD33" s="20">
        <f>'Allocators Data'!AG33/'Allocators Data'!$DF33</f>
        <v>0.12141661832721479</v>
      </c>
      <c r="AE33" s="20">
        <f>'Allocators Data'!AH33/'Allocators Data'!$DF33</f>
        <v>0.15800452545043042</v>
      </c>
      <c r="AF33" s="22"/>
      <c r="AG33" s="20">
        <f>'Allocators Data'!AJ33/'Allocators Data'!$DF33</f>
        <v>4.8856515460395622E-6</v>
      </c>
      <c r="AH33" s="20">
        <f>'Allocators Data'!AK33/'Allocators Data'!$DF33</f>
        <v>1.1399853607425645E-5</v>
      </c>
      <c r="AI33" s="20">
        <f>'Allocators Data'!AL33/'Allocators Data'!$DF33</f>
        <v>2.442825773019781E-5</v>
      </c>
      <c r="AJ33" s="20">
        <f>'Allocators Data'!AM33/'Allocators Data'!$DF33</f>
        <v>1.0121255460281692E-2</v>
      </c>
      <c r="AK33" s="20">
        <f>'Allocators Data'!AN33/'Allocators Data'!$DF33</f>
        <v>4.1134669417882373E-3</v>
      </c>
      <c r="AL33" s="21">
        <f>'Allocators Data'!AO33/'Allocators Data'!$DF33</f>
        <v>4.1978447098154998E-3</v>
      </c>
      <c r="AM33" s="20">
        <f>'Allocators Data'!AP33/'Allocators Data'!$DF33</f>
        <v>9.6709357985132516E-6</v>
      </c>
      <c r="AN33" s="20">
        <f>'Allocators Data'!AQ33/'Allocators Data'!$DF33</f>
        <v>2.2565516863197585E-5</v>
      </c>
      <c r="AO33" s="20">
        <f>'Allocators Data'!AR33/'Allocators Data'!$DF33</f>
        <v>4.8354678992566251E-5</v>
      </c>
      <c r="AP33" s="20">
        <f>'Allocators Data'!AS33/'Allocators Data'!$DF33</f>
        <v>2.3261824240690541E-2</v>
      </c>
      <c r="AQ33" s="20">
        <f>'Allocators Data'!AT33/'Allocators Data'!$DF33</f>
        <v>3.7751054700951546E-3</v>
      </c>
      <c r="AR33" s="21">
        <f>'Allocators Data'!AU33/'Allocators Data'!$DF33</f>
        <v>1.7768381036742341E-3</v>
      </c>
      <c r="AS33" s="20">
        <f>'Allocators Data'!AV33/'Allocators Data'!$DF33</f>
        <v>5.9473918856164798E-5</v>
      </c>
      <c r="AT33" s="20">
        <f>'Allocators Data'!AW33/'Allocators Data'!$DF33</f>
        <v>1.3597455144722601E-4</v>
      </c>
      <c r="AU33" s="20">
        <f>'Allocators Data'!AX33/'Allocators Data'!$DF33</f>
        <v>2.7225932554617537E-4</v>
      </c>
      <c r="AV33" s="20">
        <f>'Allocators Data'!AY33/'Allocators Data'!$DF33</f>
        <v>3.0611433351463029E-2</v>
      </c>
      <c r="AW33" s="20">
        <f>'Allocators Data'!AZ33/'Allocators Data'!$DF33</f>
        <v>2.8056837278176174E-2</v>
      </c>
      <c r="AX33" s="21">
        <f>'Allocators Data'!BA33/'Allocators Data'!$DF33</f>
        <v>2.4619734291434553E-3</v>
      </c>
      <c r="AY33" s="20">
        <f>'Allocators Data'!BB33/'Allocators Data'!$DF33</f>
        <v>2.6134942674378501E-3</v>
      </c>
      <c r="AZ33" s="20">
        <f>'Allocators Data'!BC33/'Allocators Data'!$DF33</f>
        <v>5.1599585879901697E-3</v>
      </c>
      <c r="BA33" s="20">
        <f>'Allocators Data'!BD33/'Allocators Data'!$DF33</f>
        <v>7.8274038289976068E-3</v>
      </c>
      <c r="BB33" s="20">
        <f>'Allocators Data'!BE33/'Allocators Data'!$DF33</f>
        <v>4.9350709179442565E-2</v>
      </c>
      <c r="BC33" s="20">
        <f>'Allocators Data'!BF33/'Allocators Data'!$DF33</f>
        <v>2.7212149136145721E-2</v>
      </c>
      <c r="BD33" s="21">
        <f>'Allocators Data'!BG33/'Allocators Data'!$DF33</f>
        <v>1.99403384511849E-2</v>
      </c>
      <c r="BE33" s="20">
        <f>'Allocators Data'!BH33/'Allocators Data'!$DF33</f>
        <v>0</v>
      </c>
      <c r="BF33" s="20">
        <f>'Allocators Data'!BI33/'Allocators Data'!$DF33</f>
        <v>0</v>
      </c>
      <c r="BG33" s="20">
        <f>'Allocators Data'!BJ33/'Allocators Data'!$DF33</f>
        <v>0</v>
      </c>
      <c r="BH33" s="20">
        <f>'Allocators Data'!BK33/'Allocators Data'!$DF33</f>
        <v>0</v>
      </c>
      <c r="BI33" s="20">
        <f>'Allocators Data'!BL33/'Allocators Data'!$DF33</f>
        <v>0</v>
      </c>
      <c r="BJ33" s="21">
        <f>'Allocators Data'!BM33/'Allocators Data'!$DF33</f>
        <v>0</v>
      </c>
      <c r="BK33" s="20">
        <f>'Allocators Data'!BN33/'Allocators Data'!$DF33</f>
        <v>0</v>
      </c>
      <c r="BL33" s="20">
        <f>'Allocators Data'!BO33/'Allocators Data'!$DF33</f>
        <v>0</v>
      </c>
      <c r="BM33" s="20">
        <f>'Allocators Data'!BP33/'Allocators Data'!$DF33</f>
        <v>0</v>
      </c>
      <c r="BN33" s="20">
        <f>'Allocators Data'!BQ33/'Allocators Data'!$DF33</f>
        <v>0</v>
      </c>
      <c r="BO33" s="20">
        <f>'Allocators Data'!BR33/'Allocators Data'!$DF33</f>
        <v>0</v>
      </c>
      <c r="BP33" s="21">
        <f>'Allocators Data'!BS33/'Allocators Data'!$DF33</f>
        <v>0</v>
      </c>
      <c r="BQ33" s="20">
        <f>'Allocators Data'!BT33/'Allocators Data'!$DF33</f>
        <v>9.7713030920791236E-7</v>
      </c>
      <c r="BR33" s="20">
        <f>'Allocators Data'!BU33/'Allocators Data'!$DF33</f>
        <v>2.279970721485129E-6</v>
      </c>
      <c r="BS33" s="20">
        <f>'Allocators Data'!BV33/'Allocators Data'!$DF33</f>
        <v>4.8856515460395622E-6</v>
      </c>
      <c r="BT33" s="20">
        <f>'Allocators Data'!BW33/'Allocators Data'!$DF33</f>
        <v>6.1169660196827591E-4</v>
      </c>
      <c r="BU33" s="20">
        <f>'Allocators Data'!BX33/'Allocators Data'!$DF33</f>
        <v>0</v>
      </c>
      <c r="BV33" s="21">
        <f>'Allocators Data'!BY33/'Allocators Data'!$DF33</f>
        <v>0</v>
      </c>
      <c r="BW33" s="22"/>
      <c r="BX33" s="20">
        <f>'Allocators Data'!CA33/'Allocators Data'!$DF33</f>
        <v>0</v>
      </c>
      <c r="BY33" s="20">
        <f>'Allocators Data'!CB33/'Allocators Data'!$DF33</f>
        <v>0</v>
      </c>
      <c r="BZ33" s="20">
        <f>'Allocators Data'!CC33/'Allocators Data'!$DF33</f>
        <v>0</v>
      </c>
      <c r="CA33" s="20">
        <f>'Allocators Data'!CD33/'Allocators Data'!$DF33</f>
        <v>0</v>
      </c>
      <c r="CB33" s="20">
        <f>'Allocators Data'!CE33/'Allocators Data'!$DF33</f>
        <v>0</v>
      </c>
      <c r="CC33" s="20">
        <f>'Allocators Data'!CF33/'Allocators Data'!$DF33</f>
        <v>0</v>
      </c>
      <c r="CD33" s="20">
        <f>'Allocators Data'!CG33/'Allocators Data'!$DF33</f>
        <v>0</v>
      </c>
      <c r="CE33" s="20">
        <f>'Allocators Data'!CH33/'Allocators Data'!$DF33</f>
        <v>0</v>
      </c>
      <c r="CF33" s="20">
        <f>'Allocators Data'!CI33/'Allocators Data'!$DF33</f>
        <v>0</v>
      </c>
      <c r="CG33" s="20">
        <f>'Allocators Data'!CJ33/'Allocators Data'!$DF33</f>
        <v>0</v>
      </c>
      <c r="CH33" s="22"/>
      <c r="CI33" s="20">
        <f>'Allocators Data'!CL33/'Allocators Data'!$DF33</f>
        <v>0</v>
      </c>
      <c r="CJ33" s="20">
        <f>'Allocators Data'!CM33/'Allocators Data'!$DF33</f>
        <v>0</v>
      </c>
      <c r="CK33" s="20">
        <f>'Allocators Data'!CN33/'Allocators Data'!$DF33</f>
        <v>0</v>
      </c>
      <c r="CL33" s="29">
        <f>'Allocators Data'!CO33/'Allocators Data'!$DF33</f>
        <v>0</v>
      </c>
      <c r="CM33" s="20">
        <f>'Allocators Data'!CP33/'Allocators Data'!$DF33</f>
        <v>0</v>
      </c>
      <c r="CN33" s="20">
        <f>'Allocators Data'!CQ33/'Allocators Data'!$DF33</f>
        <v>0</v>
      </c>
      <c r="CO33" s="22"/>
      <c r="CP33" s="20">
        <f>'Allocators Data'!CS33/'Allocators Data'!$DF33</f>
        <v>3.0882901316011112E-4</v>
      </c>
      <c r="CQ33" s="20">
        <f>'Allocators Data'!CT33/'Allocators Data'!$DF33</f>
        <v>2.464827387287438E-3</v>
      </c>
      <c r="CR33" s="22"/>
      <c r="CS33" s="20">
        <f>'Allocators Data'!CV33/'Allocators Data'!$DF33</f>
        <v>0</v>
      </c>
      <c r="CT33" s="20">
        <f>'Allocators Data'!CW33/'Allocators Data'!$DF33</f>
        <v>0</v>
      </c>
      <c r="CU33" s="20">
        <f>'Allocators Data'!CX33/'Allocators Data'!$DF33</f>
        <v>0</v>
      </c>
      <c r="CV33" s="20">
        <f>'Allocators Data'!CY33/'Allocators Data'!$DF33</f>
        <v>0</v>
      </c>
      <c r="CW33" s="20">
        <f>'Allocators Data'!CZ33/'Allocators Data'!$DF33</f>
        <v>0</v>
      </c>
      <c r="CX33" s="20">
        <f>'Allocators Data'!DA33/'Allocators Data'!$DF33</f>
        <v>0</v>
      </c>
      <c r="CY33" s="20">
        <f>'Allocators Data'!DB33/'Allocators Data'!$DF33</f>
        <v>0</v>
      </c>
      <c r="CZ33" s="20">
        <f>'Allocators Data'!DC33/'Allocators Data'!$DF33</f>
        <v>0</v>
      </c>
      <c r="DA33" s="20">
        <f>'Allocators Data'!DD33/'Allocators Data'!$DF33</f>
        <v>0</v>
      </c>
      <c r="DB33" s="22"/>
      <c r="DC33" s="20">
        <f t="shared" ref="DC33:DC44" si="13">SUM(C33:DA33)</f>
        <v>0.99999999999999989</v>
      </c>
    </row>
    <row r="34" spans="1:107" x14ac:dyDescent="0.2">
      <c r="A34">
        <v>2</v>
      </c>
      <c r="B34" t="s">
        <v>233</v>
      </c>
      <c r="C34" s="20">
        <f>'Allocators Data'!F34/'Allocators Data'!$DF34</f>
        <v>1.39831210745116E-4</v>
      </c>
      <c r="D34" s="20">
        <f>'Allocators Data'!G34/'Allocators Data'!$DF34</f>
        <v>1.9945748441689502E-4</v>
      </c>
      <c r="E34" s="20">
        <f>'Allocators Data'!H34/'Allocators Data'!$DF34</f>
        <v>2.1236755662910897E-4</v>
      </c>
      <c r="F34" s="20">
        <f>'Allocators Data'!I34/'Allocators Data'!$DF34</f>
        <v>3.1225011485007002E-4</v>
      </c>
      <c r="G34" s="31">
        <f>'Allocators Data'!J34/'Allocators Data'!$DF34</f>
        <v>5.2055691200588218E-6</v>
      </c>
      <c r="H34" s="20">
        <f>'Allocators Data'!K34/'Allocators Data'!$DF34</f>
        <v>0</v>
      </c>
      <c r="I34" s="20">
        <f>'Allocators Data'!L34/'Allocators Data'!$DF34</f>
        <v>0</v>
      </c>
      <c r="J34" s="20">
        <f>'Allocators Data'!M34/'Allocators Data'!$DF34</f>
        <v>0</v>
      </c>
      <c r="K34" s="21">
        <f>'Allocators Data'!N34/'Allocators Data'!$DF34</f>
        <v>0</v>
      </c>
      <c r="L34" s="20">
        <f>'Allocators Data'!O34/'Allocators Data'!$DF34</f>
        <v>0</v>
      </c>
      <c r="M34" s="20">
        <f>'Allocators Data'!P34/'Allocators Data'!$DF34</f>
        <v>0</v>
      </c>
      <c r="N34" s="20">
        <f>'Allocators Data'!Q34/'Allocators Data'!$DF34</f>
        <v>0</v>
      </c>
      <c r="O34" s="21">
        <f>'Allocators Data'!R34/'Allocators Data'!$DF34</f>
        <v>0</v>
      </c>
      <c r="P34" s="20">
        <f>'Allocators Data'!S34/'Allocators Data'!$DF34</f>
        <v>0</v>
      </c>
      <c r="Q34" s="20">
        <f>'Allocators Data'!T34/'Allocators Data'!$DF34</f>
        <v>0</v>
      </c>
      <c r="R34" s="20">
        <f>'Allocators Data'!U34/'Allocators Data'!$DF34</f>
        <v>0</v>
      </c>
      <c r="S34" s="21">
        <f>'Allocators Data'!V34/'Allocators Data'!$DF34</f>
        <v>0</v>
      </c>
      <c r="T34" s="20">
        <f>'Allocators Data'!W34/'Allocators Data'!$DF34</f>
        <v>0</v>
      </c>
      <c r="U34" s="20">
        <f>'Allocators Data'!X34/'Allocators Data'!$DF34</f>
        <v>0</v>
      </c>
      <c r="V34" s="20">
        <f>'Allocators Data'!Y34/'Allocators Data'!$DF34</f>
        <v>0</v>
      </c>
      <c r="W34" s="20">
        <f>'Allocators Data'!Z34/'Allocators Data'!$DF34</f>
        <v>0</v>
      </c>
      <c r="X34" s="22"/>
      <c r="Y34" s="20">
        <f>'Allocators Data'!AB34/'Allocators Data'!$DF34</f>
        <v>0.15757690817989875</v>
      </c>
      <c r="Z34" s="20">
        <f>'Allocators Data'!AC34/'Allocators Data'!$DF34</f>
        <v>0.11609661716942686</v>
      </c>
      <c r="AA34" s="20">
        <f>'Allocators Data'!AD34/'Allocators Data'!$DF34</f>
        <v>1.2528003973958101E-2</v>
      </c>
      <c r="AB34" s="20">
        <f>'Allocators Data'!AE34/'Allocators Data'!$DF34</f>
        <v>0</v>
      </c>
      <c r="AC34" s="20">
        <f>'Allocators Data'!AF34/'Allocators Data'!$DF34</f>
        <v>0.19692570445905289</v>
      </c>
      <c r="AD34" s="20">
        <f>'Allocators Data'!AG34/'Allocators Data'!$DF34</f>
        <v>0.12464217007492236</v>
      </c>
      <c r="AE34" s="20">
        <f>'Allocators Data'!AH34/'Allocators Data'!$DF34</f>
        <v>0.15913018511844237</v>
      </c>
      <c r="AF34" s="22"/>
      <c r="AG34" s="20">
        <f>'Allocators Data'!AJ34/'Allocators Data'!$DF34</f>
        <v>2.4264518757656458E-6</v>
      </c>
      <c r="AH34" s="20">
        <f>'Allocators Data'!AK34/'Allocators Data'!$DF34</f>
        <v>5.6617210434531734E-6</v>
      </c>
      <c r="AI34" s="20">
        <f>'Allocators Data'!AL34/'Allocators Data'!$DF34</f>
        <v>1.2132259378828228E-5</v>
      </c>
      <c r="AJ34" s="20">
        <f>'Allocators Data'!AM34/'Allocators Data'!$DF34</f>
        <v>9.5629923174677892E-3</v>
      </c>
      <c r="AK34" s="20">
        <f>'Allocators Data'!AN34/'Allocators Data'!$DF34</f>
        <v>3.886578391074797E-3</v>
      </c>
      <c r="AL34" s="21">
        <f>'Allocators Data'!AO34/'Allocators Data'!$DF34</f>
        <v>4.8796660841491602E-3</v>
      </c>
      <c r="AM34" s="20">
        <f>'Allocators Data'!AP34/'Allocators Data'!$DF34</f>
        <v>1.0742027760760174E-5</v>
      </c>
      <c r="AN34" s="20">
        <f>'Allocators Data'!AQ34/'Allocators Data'!$DF34</f>
        <v>2.5064731441773739E-5</v>
      </c>
      <c r="AO34" s="20">
        <f>'Allocators Data'!AR34/'Allocators Data'!$DF34</f>
        <v>5.3710138803800863E-5</v>
      </c>
      <c r="AP34" s="20">
        <f>'Allocators Data'!AS34/'Allocators Data'!$DF34</f>
        <v>2.5838157440548473E-2</v>
      </c>
      <c r="AQ34" s="20">
        <f>'Allocators Data'!AT34/'Allocators Data'!$DF34</f>
        <v>4.193212384451357E-3</v>
      </c>
      <c r="AR34" s="21">
        <f>'Allocators Data'!AU34/'Allocators Data'!$DF34</f>
        <v>1.9736295053245389E-3</v>
      </c>
      <c r="AS34" s="20">
        <f>'Allocators Data'!AV34/'Allocators Data'!$DF34</f>
        <v>6.2124673628973447E-5</v>
      </c>
      <c r="AT34" s="20">
        <f>'Allocators Data'!AW34/'Allocators Data'!$DF34</f>
        <v>1.4203494225653094E-4</v>
      </c>
      <c r="AU34" s="20">
        <f>'Allocators Data'!AX34/'Allocators Data'!$DF34</f>
        <v>2.8439393379989703E-4</v>
      </c>
      <c r="AV34" s="20">
        <f>'Allocators Data'!AY34/'Allocators Data'!$DF34</f>
        <v>3.197578607311815E-2</v>
      </c>
      <c r="AW34" s="20">
        <f>'Allocators Data'!AZ34/'Allocators Data'!$DF34</f>
        <v>2.9307331557944523E-2</v>
      </c>
      <c r="AX34" s="21">
        <f>'Allocators Data'!BA34/'Allocators Data'!$DF34</f>
        <v>2.5717036763399301E-3</v>
      </c>
      <c r="AY34" s="20">
        <f>'Allocators Data'!BB34/'Allocators Data'!$DF34</f>
        <v>2.6660248017047884E-3</v>
      </c>
      <c r="AZ34" s="20">
        <f>'Allocators Data'!BC34/'Allocators Data'!$DF34</f>
        <v>5.2636723725580353E-3</v>
      </c>
      <c r="BA34" s="20">
        <f>'Allocators Data'!BD34/'Allocators Data'!$DF34</f>
        <v>7.9847325479403975E-3</v>
      </c>
      <c r="BB34" s="20">
        <f>'Allocators Data'!BE34/'Allocators Data'!$DF34</f>
        <v>5.0342645206220199E-2</v>
      </c>
      <c r="BC34" s="20">
        <f>'Allocators Data'!BF34/'Allocators Data'!$DF34</f>
        <v>2.7759106039967334E-2</v>
      </c>
      <c r="BD34" s="21">
        <f>'Allocators Data'!BG34/'Allocators Data'!$DF34</f>
        <v>2.0341133909340319E-2</v>
      </c>
      <c r="BE34" s="20">
        <f>'Allocators Data'!BH34/'Allocators Data'!$DF34</f>
        <v>0</v>
      </c>
      <c r="BF34" s="20">
        <f>'Allocators Data'!BI34/'Allocators Data'!$DF34</f>
        <v>0</v>
      </c>
      <c r="BG34" s="20">
        <f>'Allocators Data'!BJ34/'Allocators Data'!$DF34</f>
        <v>0</v>
      </c>
      <c r="BH34" s="20">
        <f>'Allocators Data'!BK34/'Allocators Data'!$DF34</f>
        <v>0</v>
      </c>
      <c r="BI34" s="20">
        <f>'Allocators Data'!BL34/'Allocators Data'!$DF34</f>
        <v>0</v>
      </c>
      <c r="BJ34" s="21">
        <f>'Allocators Data'!BM34/'Allocators Data'!$DF34</f>
        <v>0</v>
      </c>
      <c r="BK34" s="20">
        <f>'Allocators Data'!BN34/'Allocators Data'!$DF34</f>
        <v>0</v>
      </c>
      <c r="BL34" s="20">
        <f>'Allocators Data'!BO34/'Allocators Data'!$DF34</f>
        <v>0</v>
      </c>
      <c r="BM34" s="20">
        <f>'Allocators Data'!BP34/'Allocators Data'!$DF34</f>
        <v>0</v>
      </c>
      <c r="BN34" s="20">
        <f>'Allocators Data'!BQ34/'Allocators Data'!$DF34</f>
        <v>0</v>
      </c>
      <c r="BO34" s="20">
        <f>'Allocators Data'!BR34/'Allocators Data'!$DF34</f>
        <v>0</v>
      </c>
      <c r="BP34" s="21">
        <f>'Allocators Data'!BS34/'Allocators Data'!$DF34</f>
        <v>0</v>
      </c>
      <c r="BQ34" s="20">
        <f>'Allocators Data'!BT34/'Allocators Data'!$DF34</f>
        <v>1.4558711254593873E-6</v>
      </c>
      <c r="BR34" s="20">
        <f>'Allocators Data'!BU34/'Allocators Data'!$DF34</f>
        <v>2.4782161824486461E-6</v>
      </c>
      <c r="BS34" s="20">
        <f>'Allocators Data'!BV34/'Allocators Data'!$DF34</f>
        <v>4.8529037515312916E-6</v>
      </c>
      <c r="BT34" s="20">
        <f>'Allocators Data'!BW34/'Allocators Data'!$DF34</f>
        <v>5.6453182287729978E-4</v>
      </c>
      <c r="BU34" s="20">
        <f>'Allocators Data'!BX34/'Allocators Data'!$DF34</f>
        <v>0</v>
      </c>
      <c r="BV34" s="21">
        <f>'Allocators Data'!BY34/'Allocators Data'!$DF34</f>
        <v>0</v>
      </c>
      <c r="BW34" s="22"/>
      <c r="BX34" s="20">
        <f>'Allocators Data'!CA34/'Allocators Data'!$DF34</f>
        <v>0</v>
      </c>
      <c r="BY34" s="20">
        <f>'Allocators Data'!CB34/'Allocators Data'!$DF34</f>
        <v>0</v>
      </c>
      <c r="BZ34" s="20">
        <f>'Allocators Data'!CC34/'Allocators Data'!$DF34</f>
        <v>0</v>
      </c>
      <c r="CA34" s="20">
        <f>'Allocators Data'!CD34/'Allocators Data'!$DF34</f>
        <v>0</v>
      </c>
      <c r="CB34" s="20">
        <f>'Allocators Data'!CE34/'Allocators Data'!$DF34</f>
        <v>0</v>
      </c>
      <c r="CC34" s="20">
        <f>'Allocators Data'!CF34/'Allocators Data'!$DF34</f>
        <v>0</v>
      </c>
      <c r="CD34" s="20">
        <f>'Allocators Data'!CG34/'Allocators Data'!$DF34</f>
        <v>0</v>
      </c>
      <c r="CE34" s="20">
        <f>'Allocators Data'!CH34/'Allocators Data'!$DF34</f>
        <v>0</v>
      </c>
      <c r="CF34" s="20">
        <f>'Allocators Data'!CI34/'Allocators Data'!$DF34</f>
        <v>0</v>
      </c>
      <c r="CG34" s="20">
        <f>'Allocators Data'!CJ34/'Allocators Data'!$DF34</f>
        <v>0</v>
      </c>
      <c r="CH34" s="22"/>
      <c r="CI34" s="20">
        <f>'Allocators Data'!CL34/'Allocators Data'!$DF34</f>
        <v>0</v>
      </c>
      <c r="CJ34" s="20">
        <f>'Allocators Data'!CM34/'Allocators Data'!$DF34</f>
        <v>0</v>
      </c>
      <c r="CK34" s="20">
        <f>'Allocators Data'!CN34/'Allocators Data'!$DF34</f>
        <v>0</v>
      </c>
      <c r="CL34" s="29">
        <f>'Allocators Data'!CO34/'Allocators Data'!$DF34</f>
        <v>0</v>
      </c>
      <c r="CM34" s="20">
        <f>'Allocators Data'!CP34/'Allocators Data'!$DF34</f>
        <v>0</v>
      </c>
      <c r="CN34" s="20">
        <f>'Allocators Data'!CQ34/'Allocators Data'!$DF34</f>
        <v>0</v>
      </c>
      <c r="CO34" s="22"/>
      <c r="CP34" s="20">
        <f>'Allocators Data'!CS34/'Allocators Data'!$DF34</f>
        <v>2.7984188504566796E-4</v>
      </c>
      <c r="CQ34" s="20">
        <f>'Allocators Data'!CT34/'Allocators Data'!$DF34</f>
        <v>2.2334752014154225E-3</v>
      </c>
      <c r="CR34" s="22"/>
      <c r="CS34" s="20">
        <f>'Allocators Data'!CV34/'Allocators Data'!$DF34</f>
        <v>0</v>
      </c>
      <c r="CT34" s="20">
        <f>'Allocators Data'!CW34/'Allocators Data'!$DF34</f>
        <v>0</v>
      </c>
      <c r="CU34" s="20">
        <f>'Allocators Data'!CX34/'Allocators Data'!$DF34</f>
        <v>0</v>
      </c>
      <c r="CV34" s="20">
        <f>'Allocators Data'!CY34/'Allocators Data'!$DF34</f>
        <v>0</v>
      </c>
      <c r="CW34" s="20">
        <f>'Allocators Data'!CZ34/'Allocators Data'!$DF34</f>
        <v>0</v>
      </c>
      <c r="CX34" s="20">
        <f>'Allocators Data'!DA34/'Allocators Data'!$DF34</f>
        <v>0</v>
      </c>
      <c r="CY34" s="20">
        <f>'Allocators Data'!DB34/'Allocators Data'!$DF34</f>
        <v>0</v>
      </c>
      <c r="CZ34" s="20">
        <f>'Allocators Data'!DC34/'Allocators Data'!$DF34</f>
        <v>0</v>
      </c>
      <c r="DA34" s="20">
        <f>'Allocators Data'!DD34/'Allocators Data'!$DF34</f>
        <v>0</v>
      </c>
      <c r="DB34" s="22"/>
      <c r="DC34" s="20">
        <f t="shared" si="13"/>
        <v>0.99999999999999989</v>
      </c>
    </row>
    <row r="35" spans="1:107" x14ac:dyDescent="0.2">
      <c r="A35">
        <v>3</v>
      </c>
      <c r="B35" t="s">
        <v>234</v>
      </c>
      <c r="C35" s="20">
        <f>'Allocators Data'!F35/'Allocators Data'!$DF35</f>
        <v>2.0058881435894947E-4</v>
      </c>
      <c r="D35" s="20">
        <f>'Allocators Data'!G35/'Allocators Data'!$DF35</f>
        <v>2.7540050766210715E-4</v>
      </c>
      <c r="E35" s="20">
        <f>'Allocators Data'!H35/'Allocators Data'!$DF35</f>
        <v>2.7796263062435816E-4</v>
      </c>
      <c r="F35" s="20">
        <f>'Allocators Data'!I35/'Allocators Data'!$DF35</f>
        <v>3.9306040810238357E-4</v>
      </c>
      <c r="G35" s="31">
        <f>'Allocators Data'!J35/'Allocators Data'!$DF35</f>
        <v>4.388029264855353E-6</v>
      </c>
      <c r="H35" s="20">
        <f>'Allocators Data'!K35/'Allocators Data'!$DF35</f>
        <v>0</v>
      </c>
      <c r="I35" s="20">
        <f>'Allocators Data'!L35/'Allocators Data'!$DF35</f>
        <v>0</v>
      </c>
      <c r="J35" s="20">
        <f>'Allocators Data'!M35/'Allocators Data'!$DF35</f>
        <v>0</v>
      </c>
      <c r="K35" s="21">
        <f>'Allocators Data'!N35/'Allocators Data'!$DF35</f>
        <v>0</v>
      </c>
      <c r="L35" s="20">
        <f>'Allocators Data'!O35/'Allocators Data'!$DF35</f>
        <v>0</v>
      </c>
      <c r="M35" s="20">
        <f>'Allocators Data'!P35/'Allocators Data'!$DF35</f>
        <v>0</v>
      </c>
      <c r="N35" s="20">
        <f>'Allocators Data'!Q35/'Allocators Data'!$DF35</f>
        <v>0</v>
      </c>
      <c r="O35" s="21">
        <f>'Allocators Data'!R35/'Allocators Data'!$DF35</f>
        <v>0</v>
      </c>
      <c r="P35" s="20">
        <f>'Allocators Data'!S35/'Allocators Data'!$DF35</f>
        <v>0</v>
      </c>
      <c r="Q35" s="20">
        <f>'Allocators Data'!T35/'Allocators Data'!$DF35</f>
        <v>0</v>
      </c>
      <c r="R35" s="20">
        <f>'Allocators Data'!U35/'Allocators Data'!$DF35</f>
        <v>0</v>
      </c>
      <c r="S35" s="21">
        <f>'Allocators Data'!V35/'Allocators Data'!$DF35</f>
        <v>0</v>
      </c>
      <c r="T35" s="20">
        <f>'Allocators Data'!W35/'Allocators Data'!$DF35</f>
        <v>0</v>
      </c>
      <c r="U35" s="20">
        <f>'Allocators Data'!X35/'Allocators Data'!$DF35</f>
        <v>0</v>
      </c>
      <c r="V35" s="20">
        <f>'Allocators Data'!Y35/'Allocators Data'!$DF35</f>
        <v>0</v>
      </c>
      <c r="W35" s="20">
        <f>'Allocators Data'!Z35/'Allocators Data'!$DF35</f>
        <v>0</v>
      </c>
      <c r="X35" s="22"/>
      <c r="Y35" s="20">
        <f>'Allocators Data'!AB35/'Allocators Data'!$DF35</f>
        <v>0.15222306606278135</v>
      </c>
      <c r="Z35" s="20">
        <f>'Allocators Data'!AC35/'Allocators Data'!$DF35</f>
        <v>0.12004714623478112</v>
      </c>
      <c r="AA35" s="20">
        <f>'Allocators Data'!AD35/'Allocators Data'!$DF35</f>
        <v>1.3862728145722224E-2</v>
      </c>
      <c r="AB35" s="20">
        <f>'Allocators Data'!AE35/'Allocators Data'!$DF35</f>
        <v>0</v>
      </c>
      <c r="AC35" s="20">
        <f>'Allocators Data'!AF35/'Allocators Data'!$DF35</f>
        <v>0.19751432436841171</v>
      </c>
      <c r="AD35" s="20">
        <f>'Allocators Data'!AG35/'Allocators Data'!$DF35</f>
        <v>0.12415605075267588</v>
      </c>
      <c r="AE35" s="20">
        <f>'Allocators Data'!AH35/'Allocators Data'!$DF35</f>
        <v>0.16081512342587673</v>
      </c>
      <c r="AF35" s="22"/>
      <c r="AG35" s="20">
        <f>'Allocators Data'!AJ35/'Allocators Data'!$DF35</f>
        <v>6.2490192411106111E-6</v>
      </c>
      <c r="AH35" s="20">
        <f>'Allocators Data'!AK35/'Allocators Data'!$DF35</f>
        <v>1.458104489592476E-5</v>
      </c>
      <c r="AI35" s="20">
        <f>'Allocators Data'!AL35/'Allocators Data'!$DF35</f>
        <v>3.1245096205553056E-5</v>
      </c>
      <c r="AJ35" s="20">
        <f>'Allocators Data'!AM35/'Allocators Data'!$DF35</f>
        <v>8.9822413292861888E-3</v>
      </c>
      <c r="AK35" s="20">
        <f>'Allocators Data'!AN35/'Allocators Data'!$DF35</f>
        <v>3.6505503606915619E-3</v>
      </c>
      <c r="AL35" s="21">
        <f>'Allocators Data'!AO35/'Allocators Data'!$DF35</f>
        <v>3.7094893253556104E-3</v>
      </c>
      <c r="AM35" s="20">
        <f>'Allocators Data'!AP35/'Allocators Data'!$DF35</f>
        <v>1.0771135666544968E-5</v>
      </c>
      <c r="AN35" s="20">
        <f>'Allocators Data'!AQ35/'Allocators Data'!$DF35</f>
        <v>2.5132649888604922E-5</v>
      </c>
      <c r="AO35" s="20">
        <f>'Allocators Data'!AR35/'Allocators Data'!$DF35</f>
        <v>5.3855678332724835E-5</v>
      </c>
      <c r="AP35" s="20">
        <f>'Allocators Data'!AS35/'Allocators Data'!$DF35</f>
        <v>2.5908171656596164E-2</v>
      </c>
      <c r="AQ35" s="20">
        <f>'Allocators Data'!AT35/'Allocators Data'!$DF35</f>
        <v>4.204574823065424E-3</v>
      </c>
      <c r="AR35" s="21">
        <f>'Allocators Data'!AU35/'Allocators Data'!$DF35</f>
        <v>1.978977492033802E-3</v>
      </c>
      <c r="AS35" s="20">
        <f>'Allocators Data'!AV35/'Allocators Data'!$DF35</f>
        <v>6.3705955725017356E-5</v>
      </c>
      <c r="AT35" s="20">
        <f>'Allocators Data'!AW35/'Allocators Data'!$DF35</f>
        <v>1.4565020971925023E-4</v>
      </c>
      <c r="AU35" s="20">
        <f>'Allocators Data'!AX35/'Allocators Data'!$DF35</f>
        <v>2.9163271687064689E-4</v>
      </c>
      <c r="AV35" s="20">
        <f>'Allocators Data'!AY35/'Allocators Data'!$DF35</f>
        <v>3.2789677480038484E-2</v>
      </c>
      <c r="AW35" s="20">
        <f>'Allocators Data'!AZ35/'Allocators Data'!$DF35</f>
        <v>3.0053301813694682E-2</v>
      </c>
      <c r="AX35" s="21">
        <f>'Allocators Data'!BA35/'Allocators Data'!$DF35</f>
        <v>2.6371621929353411E-3</v>
      </c>
      <c r="AY35" s="20">
        <f>'Allocators Data'!BB35/'Allocators Data'!$DF35</f>
        <v>2.6211216014309529E-3</v>
      </c>
      <c r="AZ35" s="20">
        <f>'Allocators Data'!BC35/'Allocators Data'!$DF35</f>
        <v>5.1750176328985657E-3</v>
      </c>
      <c r="BA35" s="20">
        <f>'Allocators Data'!BD35/'Allocators Data'!$DF35</f>
        <v>7.8502476607390809E-3</v>
      </c>
      <c r="BB35" s="20">
        <f>'Allocators Data'!BE35/'Allocators Data'!$DF35</f>
        <v>4.9494736410111463E-2</v>
      </c>
      <c r="BC35" s="20">
        <f>'Allocators Data'!BF35/'Allocators Data'!$DF35</f>
        <v>2.7291566241711061E-2</v>
      </c>
      <c r="BD35" s="21">
        <f>'Allocators Data'!BG35/'Allocators Data'!$DF35</f>
        <v>1.9998533191918657E-2</v>
      </c>
      <c r="BE35" s="20">
        <f>'Allocators Data'!BH35/'Allocators Data'!$DF35</f>
        <v>0</v>
      </c>
      <c r="BF35" s="20">
        <f>'Allocators Data'!BI35/'Allocators Data'!$DF35</f>
        <v>0</v>
      </c>
      <c r="BG35" s="20">
        <f>'Allocators Data'!BJ35/'Allocators Data'!$DF35</f>
        <v>0</v>
      </c>
      <c r="BH35" s="20">
        <f>'Allocators Data'!BK35/'Allocators Data'!$DF35</f>
        <v>0</v>
      </c>
      <c r="BI35" s="20">
        <f>'Allocators Data'!BL35/'Allocators Data'!$DF35</f>
        <v>0</v>
      </c>
      <c r="BJ35" s="21">
        <f>'Allocators Data'!BM35/'Allocators Data'!$DF35</f>
        <v>0</v>
      </c>
      <c r="BK35" s="20">
        <f>'Allocators Data'!BN35/'Allocators Data'!$DF35</f>
        <v>0</v>
      </c>
      <c r="BL35" s="20">
        <f>'Allocators Data'!BO35/'Allocators Data'!$DF35</f>
        <v>0</v>
      </c>
      <c r="BM35" s="20">
        <f>'Allocators Data'!BP35/'Allocators Data'!$DF35</f>
        <v>0</v>
      </c>
      <c r="BN35" s="20">
        <f>'Allocators Data'!BQ35/'Allocators Data'!$DF35</f>
        <v>0</v>
      </c>
      <c r="BO35" s="20">
        <f>'Allocators Data'!BR35/'Allocators Data'!$DF35</f>
        <v>0</v>
      </c>
      <c r="BP35" s="21">
        <f>'Allocators Data'!BS35/'Allocators Data'!$DF35</f>
        <v>0</v>
      </c>
      <c r="BQ35" s="20">
        <f>'Allocators Data'!BT35/'Allocators Data'!$DF35</f>
        <v>1.4420813633332179E-6</v>
      </c>
      <c r="BR35" s="20">
        <f>'Allocators Data'!BU35/'Allocators Data'!$DF35</f>
        <v>2.4931984459405414E-6</v>
      </c>
      <c r="BS35" s="20">
        <f>'Allocators Data'!BV35/'Allocators Data'!$DF35</f>
        <v>4.806937877777393E-6</v>
      </c>
      <c r="BT35" s="20">
        <f>'Allocators Data'!BW35/'Allocators Data'!$DF35</f>
        <v>8.2543134924567465E-4</v>
      </c>
      <c r="BU35" s="20">
        <f>'Allocators Data'!BX35/'Allocators Data'!$DF35</f>
        <v>0</v>
      </c>
      <c r="BV35" s="21">
        <f>'Allocators Data'!BY35/'Allocators Data'!$DF35</f>
        <v>0</v>
      </c>
      <c r="BW35" s="22"/>
      <c r="BX35" s="20">
        <f>'Allocators Data'!CA35/'Allocators Data'!$DF35</f>
        <v>0</v>
      </c>
      <c r="BY35" s="20">
        <f>'Allocators Data'!CB35/'Allocators Data'!$DF35</f>
        <v>0</v>
      </c>
      <c r="BZ35" s="20">
        <f>'Allocators Data'!CC35/'Allocators Data'!$DF35</f>
        <v>0</v>
      </c>
      <c r="CA35" s="20">
        <f>'Allocators Data'!CD35/'Allocators Data'!$DF35</f>
        <v>0</v>
      </c>
      <c r="CB35" s="20">
        <f>'Allocators Data'!CE35/'Allocators Data'!$DF35</f>
        <v>0</v>
      </c>
      <c r="CC35" s="20">
        <f>'Allocators Data'!CF35/'Allocators Data'!$DF35</f>
        <v>0</v>
      </c>
      <c r="CD35" s="20">
        <f>'Allocators Data'!CG35/'Allocators Data'!$DF35</f>
        <v>0</v>
      </c>
      <c r="CE35" s="20">
        <f>'Allocators Data'!CH35/'Allocators Data'!$DF35</f>
        <v>0</v>
      </c>
      <c r="CF35" s="20">
        <f>'Allocators Data'!CI35/'Allocators Data'!$DF35</f>
        <v>0</v>
      </c>
      <c r="CG35" s="20">
        <f>'Allocators Data'!CJ35/'Allocators Data'!$DF35</f>
        <v>0</v>
      </c>
      <c r="CH35" s="22"/>
      <c r="CI35" s="20">
        <f>'Allocators Data'!CL35/'Allocators Data'!$DF35</f>
        <v>0</v>
      </c>
      <c r="CJ35" s="20">
        <f>'Allocators Data'!CM35/'Allocators Data'!$DF35</f>
        <v>0</v>
      </c>
      <c r="CK35" s="20">
        <f>'Allocators Data'!CN35/'Allocators Data'!$DF35</f>
        <v>0</v>
      </c>
      <c r="CL35" s="29">
        <f>'Allocators Data'!CO35/'Allocators Data'!$DF35</f>
        <v>0</v>
      </c>
      <c r="CM35" s="20">
        <f>'Allocators Data'!CP35/'Allocators Data'!$DF35</f>
        <v>0</v>
      </c>
      <c r="CN35" s="20">
        <f>'Allocators Data'!CQ35/'Allocators Data'!$DF35</f>
        <v>0</v>
      </c>
      <c r="CO35" s="22"/>
      <c r="CP35" s="20">
        <f>'Allocators Data'!CS35/'Allocators Data'!$DF35</f>
        <v>2.6809259714558119E-4</v>
      </c>
      <c r="CQ35" s="20">
        <f>'Allocators Data'!CT35/'Allocators Data'!$DF35</f>
        <v>2.1397017366074234E-3</v>
      </c>
      <c r="CR35" s="22"/>
      <c r="CS35" s="20">
        <f>'Allocators Data'!CV35/'Allocators Data'!$DF35</f>
        <v>0</v>
      </c>
      <c r="CT35" s="20">
        <f>'Allocators Data'!CW35/'Allocators Data'!$DF35</f>
        <v>0</v>
      </c>
      <c r="CU35" s="20">
        <f>'Allocators Data'!CX35/'Allocators Data'!$DF35</f>
        <v>0</v>
      </c>
      <c r="CV35" s="20">
        <f>'Allocators Data'!CY35/'Allocators Data'!$DF35</f>
        <v>0</v>
      </c>
      <c r="CW35" s="20">
        <f>'Allocators Data'!CZ35/'Allocators Data'!$DF35</f>
        <v>0</v>
      </c>
      <c r="CX35" s="20">
        <f>'Allocators Data'!DA35/'Allocators Data'!$DF35</f>
        <v>0</v>
      </c>
      <c r="CY35" s="20">
        <f>'Allocators Data'!DB35/'Allocators Data'!$DF35</f>
        <v>0</v>
      </c>
      <c r="CZ35" s="20">
        <f>'Allocators Data'!DC35/'Allocators Data'!$DF35</f>
        <v>0</v>
      </c>
      <c r="DA35" s="20">
        <f>'Allocators Data'!DD35/'Allocators Data'!$DF35</f>
        <v>0</v>
      </c>
      <c r="DB35" s="22"/>
      <c r="DC35" s="20">
        <f t="shared" si="13"/>
        <v>0.99999999999999933</v>
      </c>
    </row>
    <row r="36" spans="1:107" x14ac:dyDescent="0.2">
      <c r="A36">
        <v>4</v>
      </c>
      <c r="B36" t="s">
        <v>235</v>
      </c>
      <c r="C36" s="20">
        <f>'Allocators Data'!F36/'Allocators Data'!$DF36</f>
        <v>2.2102988090838072E-4</v>
      </c>
      <c r="D36" s="20">
        <f>'Allocators Data'!G36/'Allocators Data'!$DF36</f>
        <v>2.9511060068236606E-4</v>
      </c>
      <c r="E36" s="20">
        <f>'Allocators Data'!H36/'Allocators Data'!$DF36</f>
        <v>2.8795585536131981E-4</v>
      </c>
      <c r="F36" s="20">
        <f>'Allocators Data'!I36/'Allocators Data'!$DF36</f>
        <v>4.0712877183652453E-4</v>
      </c>
      <c r="G36" s="31">
        <f>'Allocators Data'!J36/'Allocators Data'!$DF36</f>
        <v>3.8927852790788315E-6</v>
      </c>
      <c r="H36" s="20">
        <f>'Allocators Data'!K36/'Allocators Data'!$DF36</f>
        <v>0</v>
      </c>
      <c r="I36" s="20">
        <f>'Allocators Data'!L36/'Allocators Data'!$DF36</f>
        <v>0</v>
      </c>
      <c r="J36" s="20">
        <f>'Allocators Data'!M36/'Allocators Data'!$DF36</f>
        <v>0</v>
      </c>
      <c r="K36" s="21">
        <f>'Allocators Data'!N36/'Allocators Data'!$DF36</f>
        <v>0</v>
      </c>
      <c r="L36" s="20">
        <f>'Allocators Data'!O36/'Allocators Data'!$DF36</f>
        <v>0</v>
      </c>
      <c r="M36" s="20">
        <f>'Allocators Data'!P36/'Allocators Data'!$DF36</f>
        <v>0</v>
      </c>
      <c r="N36" s="20">
        <f>'Allocators Data'!Q36/'Allocators Data'!$DF36</f>
        <v>0</v>
      </c>
      <c r="O36" s="21">
        <f>'Allocators Data'!R36/'Allocators Data'!$DF36</f>
        <v>0</v>
      </c>
      <c r="P36" s="20">
        <f>'Allocators Data'!S36/'Allocators Data'!$DF36</f>
        <v>0</v>
      </c>
      <c r="Q36" s="20">
        <f>'Allocators Data'!T36/'Allocators Data'!$DF36</f>
        <v>0</v>
      </c>
      <c r="R36" s="20">
        <f>'Allocators Data'!U36/'Allocators Data'!$DF36</f>
        <v>0</v>
      </c>
      <c r="S36" s="21">
        <f>'Allocators Data'!V36/'Allocators Data'!$DF36</f>
        <v>0</v>
      </c>
      <c r="T36" s="20">
        <f>'Allocators Data'!W36/'Allocators Data'!$DF36</f>
        <v>0</v>
      </c>
      <c r="U36" s="20">
        <f>'Allocators Data'!X36/'Allocators Data'!$DF36</f>
        <v>0</v>
      </c>
      <c r="V36" s="20">
        <f>'Allocators Data'!Y36/'Allocators Data'!$DF36</f>
        <v>0</v>
      </c>
      <c r="W36" s="20">
        <f>'Allocators Data'!Z36/'Allocators Data'!$DF36</f>
        <v>0</v>
      </c>
      <c r="X36" s="22"/>
      <c r="Y36" s="20">
        <f>'Allocators Data'!AB36/'Allocators Data'!$DF36</f>
        <v>0.14523918760038046</v>
      </c>
      <c r="Z36" s="20">
        <f>'Allocators Data'!AC36/'Allocators Data'!$DF36</f>
        <v>0.11546504820745987</v>
      </c>
      <c r="AA36" s="20">
        <f>'Allocators Data'!AD36/'Allocators Data'!$DF36</f>
        <v>1.2070055258001318E-2</v>
      </c>
      <c r="AB36" s="20">
        <f>'Allocators Data'!AE36/'Allocators Data'!$DF36</f>
        <v>0</v>
      </c>
      <c r="AC36" s="20">
        <f>'Allocators Data'!AF36/'Allocators Data'!$DF36</f>
        <v>0.21323183532461171</v>
      </c>
      <c r="AD36" s="20">
        <f>'Allocators Data'!AG36/'Allocators Data'!$DF36</f>
        <v>0.12340340707909196</v>
      </c>
      <c r="AE36" s="20">
        <f>'Allocators Data'!AH36/'Allocators Data'!$DF36</f>
        <v>0.16234505003407895</v>
      </c>
      <c r="AF36" s="22"/>
      <c r="AG36" s="20">
        <f>'Allocators Data'!AJ36/'Allocators Data'!$DF36</f>
        <v>1.4955704760339741E-5</v>
      </c>
      <c r="AH36" s="20">
        <f>'Allocators Data'!AK36/'Allocators Data'!$DF36</f>
        <v>2.9385934899802641E-5</v>
      </c>
      <c r="AI36" s="20">
        <f>'Allocators Data'!AL36/'Allocators Data'!$DF36</f>
        <v>5.8540998013140498E-5</v>
      </c>
      <c r="AJ36" s="20">
        <f>'Allocators Data'!AM36/'Allocators Data'!$DF36</f>
        <v>8.6636883970218383E-3</v>
      </c>
      <c r="AK36" s="20">
        <f>'Allocators Data'!AN36/'Allocators Data'!$DF36</f>
        <v>3.5210845092246883E-3</v>
      </c>
      <c r="AL36" s="21">
        <f>'Allocators Data'!AO36/'Allocators Data'!$DF36</f>
        <v>3.5252789085031579E-3</v>
      </c>
      <c r="AM36" s="20">
        <f>'Allocators Data'!AP36/'Allocators Data'!$DF36</f>
        <v>1.0430751160499866E-5</v>
      </c>
      <c r="AN36" s="20">
        <f>'Allocators Data'!AQ36/'Allocators Data'!$DF36</f>
        <v>2.4338419374499686E-5</v>
      </c>
      <c r="AO36" s="20">
        <f>'Allocators Data'!AR36/'Allocators Data'!$DF36</f>
        <v>5.2153755802499328E-5</v>
      </c>
      <c r="AP36" s="20">
        <f>'Allocators Data'!AS36/'Allocators Data'!$DF36</f>
        <v>2.5089433458055678E-2</v>
      </c>
      <c r="AQ36" s="20">
        <f>'Allocators Data'!AT36/'Allocators Data'!$DF36</f>
        <v>4.071703771341138E-3</v>
      </c>
      <c r="AR36" s="21">
        <f>'Allocators Data'!AU36/'Allocators Data'!$DF36</f>
        <v>1.9164387498849555E-3</v>
      </c>
      <c r="AS36" s="20">
        <f>'Allocators Data'!AV36/'Allocators Data'!$DF36</f>
        <v>6.0184564091945556E-5</v>
      </c>
      <c r="AT36" s="20">
        <f>'Allocators Data'!AW36/'Allocators Data'!$DF36</f>
        <v>1.37599291653216E-4</v>
      </c>
      <c r="AU36" s="20">
        <f>'Allocators Data'!AX36/'Allocators Data'!$DF36</f>
        <v>2.7551251276365467E-4</v>
      </c>
      <c r="AV36" s="20">
        <f>'Allocators Data'!AY36/'Allocators Data'!$DF36</f>
        <v>3.097720493151055E-2</v>
      </c>
      <c r="AW36" s="20">
        <f>'Allocators Data'!AZ36/'Allocators Data'!$DF36</f>
        <v>2.8392084360027842E-2</v>
      </c>
      <c r="AX36" s="21">
        <f>'Allocators Data'!BA36/'Allocators Data'!$DF36</f>
        <v>2.4913911927899189E-3</v>
      </c>
      <c r="AY36" s="20">
        <f>'Allocators Data'!BB36/'Allocators Data'!$DF36</f>
        <v>2.6652554276084496E-3</v>
      </c>
      <c r="AZ36" s="20">
        <f>'Allocators Data'!BC36/'Allocators Data'!$DF36</f>
        <v>5.2621533569913118E-3</v>
      </c>
      <c r="BA36" s="20">
        <f>'Allocators Data'!BD36/'Allocators Data'!$DF36</f>
        <v>7.9824282759078744E-3</v>
      </c>
      <c r="BB36" s="20">
        <f>'Allocators Data'!BE36/'Allocators Data'!$DF36</f>
        <v>5.0328117086625039E-2</v>
      </c>
      <c r="BC36" s="20">
        <f>'Allocators Data'!BF36/'Allocators Data'!$DF36</f>
        <v>2.7751095185337995E-2</v>
      </c>
      <c r="BD36" s="21">
        <f>'Allocators Data'!BG36/'Allocators Data'!$DF36</f>
        <v>2.0335263768331131E-2</v>
      </c>
      <c r="BE36" s="20">
        <f>'Allocators Data'!BH36/'Allocators Data'!$DF36</f>
        <v>0</v>
      </c>
      <c r="BF36" s="20">
        <f>'Allocators Data'!BI36/'Allocators Data'!$DF36</f>
        <v>0</v>
      </c>
      <c r="BG36" s="20">
        <f>'Allocators Data'!BJ36/'Allocators Data'!$DF36</f>
        <v>0</v>
      </c>
      <c r="BH36" s="20">
        <f>'Allocators Data'!BK36/'Allocators Data'!$DF36</f>
        <v>0</v>
      </c>
      <c r="BI36" s="20">
        <f>'Allocators Data'!BL36/'Allocators Data'!$DF36</f>
        <v>0</v>
      </c>
      <c r="BJ36" s="21">
        <f>'Allocators Data'!BM36/'Allocators Data'!$DF36</f>
        <v>0</v>
      </c>
      <c r="BK36" s="20">
        <f>'Allocators Data'!BN36/'Allocators Data'!$DF36</f>
        <v>0</v>
      </c>
      <c r="BL36" s="20">
        <f>'Allocators Data'!BO36/'Allocators Data'!$DF36</f>
        <v>0</v>
      </c>
      <c r="BM36" s="20">
        <f>'Allocators Data'!BP36/'Allocators Data'!$DF36</f>
        <v>0</v>
      </c>
      <c r="BN36" s="20">
        <f>'Allocators Data'!BQ36/'Allocators Data'!$DF36</f>
        <v>0</v>
      </c>
      <c r="BO36" s="20">
        <f>'Allocators Data'!BR36/'Allocators Data'!$DF36</f>
        <v>0</v>
      </c>
      <c r="BP36" s="21">
        <f>'Allocators Data'!BS36/'Allocators Data'!$DF36</f>
        <v>0</v>
      </c>
      <c r="BQ36" s="20">
        <f>'Allocators Data'!BT36/'Allocators Data'!$DF36</f>
        <v>1.4674054224456464E-6</v>
      </c>
      <c r="BR36" s="20">
        <f>'Allocators Data'!BU36/'Allocators Data'!$DF36</f>
        <v>2.4701324611168382E-6</v>
      </c>
      <c r="BS36" s="20">
        <f>'Allocators Data'!BV36/'Allocators Data'!$DF36</f>
        <v>4.8913514081521553E-6</v>
      </c>
      <c r="BT36" s="20">
        <f>'Allocators Data'!BW36/'Allocators Data'!$DF36</f>
        <v>7.9764897863206577E-4</v>
      </c>
      <c r="BU36" s="20">
        <f>'Allocators Data'!BX36/'Allocators Data'!$DF36</f>
        <v>0</v>
      </c>
      <c r="BV36" s="21">
        <f>'Allocators Data'!BY36/'Allocators Data'!$DF36</f>
        <v>0</v>
      </c>
      <c r="BW36" s="22"/>
      <c r="BX36" s="20">
        <f>'Allocators Data'!CA36/'Allocators Data'!$DF36</f>
        <v>0</v>
      </c>
      <c r="BY36" s="20">
        <f>'Allocators Data'!CB36/'Allocators Data'!$DF36</f>
        <v>0</v>
      </c>
      <c r="BZ36" s="20">
        <f>'Allocators Data'!CC36/'Allocators Data'!$DF36</f>
        <v>0</v>
      </c>
      <c r="CA36" s="20">
        <f>'Allocators Data'!CD36/'Allocators Data'!$DF36</f>
        <v>0</v>
      </c>
      <c r="CB36" s="20">
        <f>'Allocators Data'!CE36/'Allocators Data'!$DF36</f>
        <v>0</v>
      </c>
      <c r="CC36" s="20">
        <f>'Allocators Data'!CF36/'Allocators Data'!$DF36</f>
        <v>0</v>
      </c>
      <c r="CD36" s="20">
        <f>'Allocators Data'!CG36/'Allocators Data'!$DF36</f>
        <v>0</v>
      </c>
      <c r="CE36" s="20">
        <f>'Allocators Data'!CH36/'Allocators Data'!$DF36</f>
        <v>0</v>
      </c>
      <c r="CF36" s="20">
        <f>'Allocators Data'!CI36/'Allocators Data'!$DF36</f>
        <v>0</v>
      </c>
      <c r="CG36" s="20">
        <f>'Allocators Data'!CJ36/'Allocators Data'!$DF36</f>
        <v>0</v>
      </c>
      <c r="CH36" s="22"/>
      <c r="CI36" s="20">
        <f>'Allocators Data'!CL36/'Allocators Data'!$DF36</f>
        <v>0</v>
      </c>
      <c r="CJ36" s="20">
        <f>'Allocators Data'!CM36/'Allocators Data'!$DF36</f>
        <v>0</v>
      </c>
      <c r="CK36" s="20">
        <f>'Allocators Data'!CN36/'Allocators Data'!$DF36</f>
        <v>0</v>
      </c>
      <c r="CL36" s="29">
        <f>'Allocators Data'!CO36/'Allocators Data'!$DF36</f>
        <v>0</v>
      </c>
      <c r="CM36" s="20">
        <f>'Allocators Data'!CP36/'Allocators Data'!$DF36</f>
        <v>0</v>
      </c>
      <c r="CN36" s="20">
        <f>'Allocators Data'!CQ36/'Allocators Data'!$DF36</f>
        <v>0</v>
      </c>
      <c r="CO36" s="22"/>
      <c r="CP36" s="20">
        <f>'Allocators Data'!CS36/'Allocators Data'!$DF36</f>
        <v>2.8816820024526763E-4</v>
      </c>
      <c r="CQ36" s="20">
        <f>'Allocators Data'!CT36/'Allocators Data'!$DF36</f>
        <v>2.299929222458196E-3</v>
      </c>
      <c r="CR36" s="22"/>
      <c r="CS36" s="20">
        <f>'Allocators Data'!CV36/'Allocators Data'!$DF36</f>
        <v>0</v>
      </c>
      <c r="CT36" s="20">
        <f>'Allocators Data'!CW36/'Allocators Data'!$DF36</f>
        <v>0</v>
      </c>
      <c r="CU36" s="20">
        <f>'Allocators Data'!CX36/'Allocators Data'!$DF36</f>
        <v>0</v>
      </c>
      <c r="CV36" s="20">
        <f>'Allocators Data'!CY36/'Allocators Data'!$DF36</f>
        <v>0</v>
      </c>
      <c r="CW36" s="20">
        <f>'Allocators Data'!CZ36/'Allocators Data'!$DF36</f>
        <v>0</v>
      </c>
      <c r="CX36" s="20">
        <f>'Allocators Data'!DA36/'Allocators Data'!$DF36</f>
        <v>0</v>
      </c>
      <c r="CY36" s="20">
        <f>'Allocators Data'!DB36/'Allocators Data'!$DF36</f>
        <v>0</v>
      </c>
      <c r="CZ36" s="20">
        <f>'Allocators Data'!DC36/'Allocators Data'!$DF36</f>
        <v>0</v>
      </c>
      <c r="DA36" s="20">
        <f>'Allocators Data'!DD36/'Allocators Data'!$DF36</f>
        <v>0</v>
      </c>
      <c r="DB36" s="22"/>
      <c r="DC36" s="20">
        <f t="shared" si="13"/>
        <v>1.0000000000000004</v>
      </c>
    </row>
    <row r="37" spans="1:107" x14ac:dyDescent="0.2">
      <c r="A37">
        <v>5</v>
      </c>
      <c r="B37" t="s">
        <v>236</v>
      </c>
      <c r="C37" s="20">
        <f>'Allocators Data'!F37/'Allocators Data'!$DF37</f>
        <v>2.1929142360773343E-4</v>
      </c>
      <c r="D37" s="20">
        <f>'Allocators Data'!G37/'Allocators Data'!$DF37</f>
        <v>2.7651287350496701E-4</v>
      </c>
      <c r="E37" s="20">
        <f>'Allocators Data'!H37/'Allocators Data'!$DF37</f>
        <v>2.6209344916784894E-4</v>
      </c>
      <c r="F37" s="20">
        <f>'Allocators Data'!I37/'Allocators Data'!$DF37</f>
        <v>3.6968069915609115E-4</v>
      </c>
      <c r="G37" s="31">
        <f>'Allocators Data'!J37/'Allocators Data'!$DF37</f>
        <v>3.0591146602021202E-6</v>
      </c>
      <c r="H37" s="20">
        <f>'Allocators Data'!K37/'Allocators Data'!$DF37</f>
        <v>0</v>
      </c>
      <c r="I37" s="20">
        <f>'Allocators Data'!L37/'Allocators Data'!$DF37</f>
        <v>0</v>
      </c>
      <c r="J37" s="20">
        <f>'Allocators Data'!M37/'Allocators Data'!$DF37</f>
        <v>0</v>
      </c>
      <c r="K37" s="21">
        <f>'Allocators Data'!N37/'Allocators Data'!$DF37</f>
        <v>0</v>
      </c>
      <c r="L37" s="20">
        <f>'Allocators Data'!O37/'Allocators Data'!$DF37</f>
        <v>0</v>
      </c>
      <c r="M37" s="20">
        <f>'Allocators Data'!P37/'Allocators Data'!$DF37</f>
        <v>0</v>
      </c>
      <c r="N37" s="20">
        <f>'Allocators Data'!Q37/'Allocators Data'!$DF37</f>
        <v>0</v>
      </c>
      <c r="O37" s="21">
        <f>'Allocators Data'!R37/'Allocators Data'!$DF37</f>
        <v>0</v>
      </c>
      <c r="P37" s="20">
        <f>'Allocators Data'!S37/'Allocators Data'!$DF37</f>
        <v>0</v>
      </c>
      <c r="Q37" s="20">
        <f>'Allocators Data'!T37/'Allocators Data'!$DF37</f>
        <v>0</v>
      </c>
      <c r="R37" s="20">
        <f>'Allocators Data'!U37/'Allocators Data'!$DF37</f>
        <v>0</v>
      </c>
      <c r="S37" s="21">
        <f>'Allocators Data'!V37/'Allocators Data'!$DF37</f>
        <v>0</v>
      </c>
      <c r="T37" s="20">
        <f>'Allocators Data'!W37/'Allocators Data'!$DF37</f>
        <v>0</v>
      </c>
      <c r="U37" s="20">
        <f>'Allocators Data'!X37/'Allocators Data'!$DF37</f>
        <v>0</v>
      </c>
      <c r="V37" s="20">
        <f>'Allocators Data'!Y37/'Allocators Data'!$DF37</f>
        <v>0</v>
      </c>
      <c r="W37" s="20">
        <f>'Allocators Data'!Z37/'Allocators Data'!$DF37</f>
        <v>0</v>
      </c>
      <c r="X37" s="22"/>
      <c r="Y37" s="20">
        <f>'Allocators Data'!AB37/'Allocators Data'!$DF37</f>
        <v>0.15557515303641323</v>
      </c>
      <c r="Z37" s="20">
        <f>'Allocators Data'!AC37/'Allocators Data'!$DF37</f>
        <v>0.11275918923475885</v>
      </c>
      <c r="AA37" s="20">
        <f>'Allocators Data'!AD37/'Allocators Data'!$DF37</f>
        <v>1.3483486191150756E-2</v>
      </c>
      <c r="AB37" s="20">
        <f>'Allocators Data'!AE37/'Allocators Data'!$DF37</f>
        <v>0</v>
      </c>
      <c r="AC37" s="20">
        <f>'Allocators Data'!AF37/'Allocators Data'!$DF37</f>
        <v>0.19418182380585117</v>
      </c>
      <c r="AD37" s="20">
        <f>'Allocators Data'!AG37/'Allocators Data'!$DF37</f>
        <v>0.12197261101142819</v>
      </c>
      <c r="AE37" s="20">
        <f>'Allocators Data'!AH37/'Allocators Data'!$DF37</f>
        <v>0.16145939804826853</v>
      </c>
      <c r="AF37" s="22"/>
      <c r="AG37" s="20">
        <f>'Allocators Data'!AJ37/'Allocators Data'!$DF37</f>
        <v>6.2639842020366559E-6</v>
      </c>
      <c r="AH37" s="20">
        <f>'Allocators Data'!AK37/'Allocators Data'!$DF37</f>
        <v>1.4615963138085531E-5</v>
      </c>
      <c r="AI37" s="20">
        <f>'Allocators Data'!AL37/'Allocators Data'!$DF37</f>
        <v>2.8947637762386321E-5</v>
      </c>
      <c r="AJ37" s="20">
        <f>'Allocators Data'!AM37/'Allocators Data'!$DF37</f>
        <v>1.6476299411046127E-2</v>
      </c>
      <c r="AK37" s="20">
        <f>'Allocators Data'!AN37/'Allocators Data'!$DF37</f>
        <v>6.6962753006588925E-3</v>
      </c>
      <c r="AL37" s="21">
        <f>'Allocators Data'!AO37/'Allocators Data'!$DF37</f>
        <v>6.8500830773119111E-3</v>
      </c>
      <c r="AM37" s="20">
        <f>'Allocators Data'!AP37/'Allocators Data'!$DF37</f>
        <v>1.0148495063264727E-5</v>
      </c>
      <c r="AN37" s="20">
        <f>'Allocators Data'!AQ37/'Allocators Data'!$DF37</f>
        <v>2.367982181428436E-5</v>
      </c>
      <c r="AO37" s="20">
        <f>'Allocators Data'!AR37/'Allocators Data'!$DF37</f>
        <v>5.074247531632363E-5</v>
      </c>
      <c r="AP37" s="20">
        <f>'Allocators Data'!AS37/'Allocators Data'!$DF37</f>
        <v>2.441051345883942E-2</v>
      </c>
      <c r="AQ37" s="20">
        <f>'Allocators Data'!AT37/'Allocators Data'!$DF37</f>
        <v>3.9615234786745382E-3</v>
      </c>
      <c r="AR37" s="21">
        <f>'Allocators Data'!AU37/'Allocators Data'!$DF37</f>
        <v>1.8645799226720938E-3</v>
      </c>
      <c r="AS37" s="20">
        <f>'Allocators Data'!AV37/'Allocators Data'!$DF37</f>
        <v>6.3102447830848813E-5</v>
      </c>
      <c r="AT37" s="20">
        <f>'Allocators Data'!AW37/'Allocators Data'!$DF37</f>
        <v>1.4427041641181933E-4</v>
      </c>
      <c r="AU37" s="20">
        <f>'Allocators Data'!AX37/'Allocators Data'!$DF37</f>
        <v>2.8886998229071283E-4</v>
      </c>
      <c r="AV37" s="20">
        <f>'Allocators Data'!AY37/'Allocators Data'!$DF37</f>
        <v>3.2479049863181744E-2</v>
      </c>
      <c r="AW37" s="20">
        <f>'Allocators Data'!AZ37/'Allocators Data'!$DF37</f>
        <v>2.9768596801675345E-2</v>
      </c>
      <c r="AX37" s="21">
        <f>'Allocators Data'!BA37/'Allocators Data'!$DF37</f>
        <v>2.6121794706211341E-3</v>
      </c>
      <c r="AY37" s="20">
        <f>'Allocators Data'!BB37/'Allocators Data'!$DF37</f>
        <v>2.5784685404715304E-3</v>
      </c>
      <c r="AZ37" s="20">
        <f>'Allocators Data'!BC37/'Allocators Data'!$DF37</f>
        <v>5.0908054611162237E-3</v>
      </c>
      <c r="BA37" s="20">
        <f>'Allocators Data'!BD37/'Allocators Data'!$DF37</f>
        <v>7.7225019308815764E-3</v>
      </c>
      <c r="BB37" s="20">
        <f>'Allocators Data'!BE37/'Allocators Data'!$DF37</f>
        <v>4.868931707812834E-2</v>
      </c>
      <c r="BC37" s="20">
        <f>'Allocators Data'!BF37/'Allocators Data'!$DF37</f>
        <v>2.6847455278698001E-2</v>
      </c>
      <c r="BD37" s="21">
        <f>'Allocators Data'!BG37/'Allocators Data'!$DF37</f>
        <v>1.9673100501245981E-2</v>
      </c>
      <c r="BE37" s="20">
        <f>'Allocators Data'!BH37/'Allocators Data'!$DF37</f>
        <v>0</v>
      </c>
      <c r="BF37" s="20">
        <f>'Allocators Data'!BI37/'Allocators Data'!$DF37</f>
        <v>0</v>
      </c>
      <c r="BG37" s="20">
        <f>'Allocators Data'!BJ37/'Allocators Data'!$DF37</f>
        <v>0</v>
      </c>
      <c r="BH37" s="20">
        <f>'Allocators Data'!BK37/'Allocators Data'!$DF37</f>
        <v>0</v>
      </c>
      <c r="BI37" s="20">
        <f>'Allocators Data'!BL37/'Allocators Data'!$DF37</f>
        <v>0</v>
      </c>
      <c r="BJ37" s="21">
        <f>'Allocators Data'!BM37/'Allocators Data'!$DF37</f>
        <v>0</v>
      </c>
      <c r="BK37" s="20">
        <f>'Allocators Data'!BN37/'Allocators Data'!$DF37</f>
        <v>0</v>
      </c>
      <c r="BL37" s="20">
        <f>'Allocators Data'!BO37/'Allocators Data'!$DF37</f>
        <v>0</v>
      </c>
      <c r="BM37" s="20">
        <f>'Allocators Data'!BP37/'Allocators Data'!$DF37</f>
        <v>0</v>
      </c>
      <c r="BN37" s="20">
        <f>'Allocators Data'!BQ37/'Allocators Data'!$DF37</f>
        <v>0</v>
      </c>
      <c r="BO37" s="20">
        <f>'Allocators Data'!BR37/'Allocators Data'!$DF37</f>
        <v>0</v>
      </c>
      <c r="BP37" s="21">
        <f>'Allocators Data'!BS37/'Allocators Data'!$DF37</f>
        <v>0</v>
      </c>
      <c r="BQ37" s="20">
        <f>'Allocators Data'!BT37/'Allocators Data'!$DF37</f>
        <v>1.445534815854613E-6</v>
      </c>
      <c r="BR37" s="20">
        <f>'Allocators Data'!BU37/'Allocators Data'!$DF37</f>
        <v>2.4156492922725975E-6</v>
      </c>
      <c r="BS37" s="20">
        <f>'Allocators Data'!BV37/'Allocators Data'!$DF37</f>
        <v>4.8184493861820432E-6</v>
      </c>
      <c r="BT37" s="20">
        <f>'Allocators Data'!BW37/'Allocators Data'!$DF37</f>
        <v>8.3445585239941549E-4</v>
      </c>
      <c r="BU37" s="20">
        <f>'Allocators Data'!BX37/'Allocators Data'!$DF37</f>
        <v>0</v>
      </c>
      <c r="BV37" s="21">
        <f>'Allocators Data'!BY37/'Allocators Data'!$DF37</f>
        <v>0</v>
      </c>
      <c r="BW37" s="22"/>
      <c r="BX37" s="20">
        <f>'Allocators Data'!CA37/'Allocators Data'!$DF37</f>
        <v>0</v>
      </c>
      <c r="BY37" s="20">
        <f>'Allocators Data'!CB37/'Allocators Data'!$DF37</f>
        <v>0</v>
      </c>
      <c r="BZ37" s="20">
        <f>'Allocators Data'!CC37/'Allocators Data'!$DF37</f>
        <v>0</v>
      </c>
      <c r="CA37" s="20">
        <f>'Allocators Data'!CD37/'Allocators Data'!$DF37</f>
        <v>0</v>
      </c>
      <c r="CB37" s="20">
        <f>'Allocators Data'!CE37/'Allocators Data'!$DF37</f>
        <v>0</v>
      </c>
      <c r="CC37" s="20">
        <f>'Allocators Data'!CF37/'Allocators Data'!$DF37</f>
        <v>0</v>
      </c>
      <c r="CD37" s="20">
        <f>'Allocators Data'!CG37/'Allocators Data'!$DF37</f>
        <v>0</v>
      </c>
      <c r="CE37" s="20">
        <f>'Allocators Data'!CH37/'Allocators Data'!$DF37</f>
        <v>0</v>
      </c>
      <c r="CF37" s="20">
        <f>'Allocators Data'!CI37/'Allocators Data'!$DF37</f>
        <v>0</v>
      </c>
      <c r="CG37" s="20">
        <f>'Allocators Data'!CJ37/'Allocators Data'!$DF37</f>
        <v>0</v>
      </c>
      <c r="CH37" s="22"/>
      <c r="CI37" s="20">
        <f>'Allocators Data'!CL37/'Allocators Data'!$DF37</f>
        <v>0</v>
      </c>
      <c r="CJ37" s="20">
        <f>'Allocators Data'!CM37/'Allocators Data'!$DF37</f>
        <v>0</v>
      </c>
      <c r="CK37" s="20">
        <f>'Allocators Data'!CN37/'Allocators Data'!$DF37</f>
        <v>0</v>
      </c>
      <c r="CL37" s="29">
        <f>'Allocators Data'!CO37/'Allocators Data'!$DF37</f>
        <v>0</v>
      </c>
      <c r="CM37" s="20">
        <f>'Allocators Data'!CP37/'Allocators Data'!$DF37</f>
        <v>0</v>
      </c>
      <c r="CN37" s="20">
        <f>'Allocators Data'!CQ37/'Allocators Data'!$DF37</f>
        <v>0</v>
      </c>
      <c r="CO37" s="22"/>
      <c r="CP37" s="20">
        <f>'Allocators Data'!CS37/'Allocators Data'!$DF37</f>
        <v>2.4976326126151488E-4</v>
      </c>
      <c r="CQ37" s="20">
        <f>'Allocators Data'!CT37/'Allocators Data'!$DF37</f>
        <v>1.9934115658247504E-3</v>
      </c>
      <c r="CR37" s="22"/>
      <c r="CS37" s="20">
        <f>'Allocators Data'!CV37/'Allocators Data'!$DF37</f>
        <v>0</v>
      </c>
      <c r="CT37" s="20">
        <f>'Allocators Data'!CW37/'Allocators Data'!$DF37</f>
        <v>0</v>
      </c>
      <c r="CU37" s="20">
        <f>'Allocators Data'!CX37/'Allocators Data'!$DF37</f>
        <v>0</v>
      </c>
      <c r="CV37" s="20">
        <f>'Allocators Data'!CY37/'Allocators Data'!$DF37</f>
        <v>0</v>
      </c>
      <c r="CW37" s="20">
        <f>'Allocators Data'!CZ37/'Allocators Data'!$DF37</f>
        <v>0</v>
      </c>
      <c r="CX37" s="20">
        <f>'Allocators Data'!DA37/'Allocators Data'!$DF37</f>
        <v>0</v>
      </c>
      <c r="CY37" s="20">
        <f>'Allocators Data'!DB37/'Allocators Data'!$DF37</f>
        <v>0</v>
      </c>
      <c r="CZ37" s="20">
        <f>'Allocators Data'!DC37/'Allocators Data'!$DF37</f>
        <v>0</v>
      </c>
      <c r="DA37" s="20">
        <f>'Allocators Data'!DD37/'Allocators Data'!$DF37</f>
        <v>0</v>
      </c>
      <c r="DB37" s="22"/>
      <c r="DC37" s="20">
        <f t="shared" si="13"/>
        <v>0.99999999999999989</v>
      </c>
    </row>
    <row r="38" spans="1:107" x14ac:dyDescent="0.2">
      <c r="A38">
        <v>6</v>
      </c>
      <c r="B38" t="s">
        <v>237</v>
      </c>
      <c r="C38" s="20">
        <f>'Allocators Data'!F38/'Allocators Data'!$DF38</f>
        <v>1.968272964780501E-4</v>
      </c>
      <c r="D38" s="20">
        <f>'Allocators Data'!G38/'Allocators Data'!$DF38</f>
        <v>2.6939178453271804E-4</v>
      </c>
      <c r="E38" s="20">
        <f>'Allocators Data'!H38/'Allocators Data'!$DF38</f>
        <v>2.8714386775682837E-4</v>
      </c>
      <c r="F38" s="20">
        <f>'Allocators Data'!I38/'Allocators Data'!$DF38</f>
        <v>4.6911100529119188E-4</v>
      </c>
      <c r="G38" s="31">
        <f>'Allocators Data'!J38/'Allocators Data'!$DF38</f>
        <v>3.0529667222858546E-6</v>
      </c>
      <c r="H38" s="20">
        <f>'Allocators Data'!K38/'Allocators Data'!$DF38</f>
        <v>0</v>
      </c>
      <c r="I38" s="20">
        <f>'Allocators Data'!L38/'Allocators Data'!$DF38</f>
        <v>0</v>
      </c>
      <c r="J38" s="20">
        <f>'Allocators Data'!M38/'Allocators Data'!$DF38</f>
        <v>0</v>
      </c>
      <c r="K38" s="21">
        <f>'Allocators Data'!N38/'Allocators Data'!$DF38</f>
        <v>0</v>
      </c>
      <c r="L38" s="20">
        <f>'Allocators Data'!O38/'Allocators Data'!$DF38</f>
        <v>0</v>
      </c>
      <c r="M38" s="20">
        <f>'Allocators Data'!P38/'Allocators Data'!$DF38</f>
        <v>0</v>
      </c>
      <c r="N38" s="20">
        <f>'Allocators Data'!Q38/'Allocators Data'!$DF38</f>
        <v>0</v>
      </c>
      <c r="O38" s="21">
        <f>'Allocators Data'!R38/'Allocators Data'!$DF38</f>
        <v>0</v>
      </c>
      <c r="P38" s="20">
        <f>'Allocators Data'!S38/'Allocators Data'!$DF38</f>
        <v>0</v>
      </c>
      <c r="Q38" s="20">
        <f>'Allocators Data'!T38/'Allocators Data'!$DF38</f>
        <v>0</v>
      </c>
      <c r="R38" s="20">
        <f>'Allocators Data'!U38/'Allocators Data'!$DF38</f>
        <v>0</v>
      </c>
      <c r="S38" s="21">
        <f>'Allocators Data'!V38/'Allocators Data'!$DF38</f>
        <v>0</v>
      </c>
      <c r="T38" s="20">
        <f>'Allocators Data'!W38/'Allocators Data'!$DF38</f>
        <v>0</v>
      </c>
      <c r="U38" s="20">
        <f>'Allocators Data'!X38/'Allocators Data'!$DF38</f>
        <v>0</v>
      </c>
      <c r="V38" s="20">
        <f>'Allocators Data'!Y38/'Allocators Data'!$DF38</f>
        <v>0</v>
      </c>
      <c r="W38" s="20">
        <f>'Allocators Data'!Z38/'Allocators Data'!$DF38</f>
        <v>0</v>
      </c>
      <c r="X38" s="22"/>
      <c r="Y38" s="20">
        <f>'Allocators Data'!AB38/'Allocators Data'!$DF38</f>
        <v>0.13988611216983274</v>
      </c>
      <c r="Z38" s="20">
        <f>'Allocators Data'!AC38/'Allocators Data'!$DF38</f>
        <v>0.11421752260851276</v>
      </c>
      <c r="AA38" s="20">
        <f>'Allocators Data'!AD38/'Allocators Data'!$DF38</f>
        <v>1.1941671282167138E-2</v>
      </c>
      <c r="AB38" s="20">
        <f>'Allocators Data'!AE38/'Allocators Data'!$DF38</f>
        <v>0</v>
      </c>
      <c r="AC38" s="20">
        <f>'Allocators Data'!AF38/'Allocators Data'!$DF38</f>
        <v>0.19572200925007496</v>
      </c>
      <c r="AD38" s="20">
        <f>'Allocators Data'!AG38/'Allocators Data'!$DF38</f>
        <v>0.125264025864296</v>
      </c>
      <c r="AE38" s="20">
        <f>'Allocators Data'!AH38/'Allocators Data'!$DF38</f>
        <v>0.16702746516749867</v>
      </c>
      <c r="AF38" s="22"/>
      <c r="AG38" s="20">
        <f>'Allocators Data'!AJ38/'Allocators Data'!$DF38</f>
        <v>6.2470909262583207E-6</v>
      </c>
      <c r="AH38" s="20">
        <f>'Allocators Data'!AK38/'Allocators Data'!$DF38</f>
        <v>1.2494181852516641E-5</v>
      </c>
      <c r="AI38" s="20">
        <f>'Allocators Data'!AL38/'Allocators Data'!$DF38</f>
        <v>3.1235454631291599E-5</v>
      </c>
      <c r="AJ38" s="20">
        <f>'Allocators Data'!AM38/'Allocators Data'!$DF38</f>
        <v>1.743591031716513E-2</v>
      </c>
      <c r="AK38" s="20">
        <f>'Allocators Data'!AN38/'Allocators Data'!$DF38</f>
        <v>7.0862790659813124E-3</v>
      </c>
      <c r="AL38" s="21">
        <f>'Allocators Data'!AO38/'Allocators Data'!$DF38</f>
        <v>7.25179780975651E-3</v>
      </c>
      <c r="AM38" s="20">
        <f>'Allocators Data'!AP38/'Allocators Data'!$DF38</f>
        <v>1.0174566729771579E-5</v>
      </c>
      <c r="AN38" s="20">
        <f>'Allocators Data'!AQ38/'Allocators Data'!$DF38</f>
        <v>2.3740655702800344E-5</v>
      </c>
      <c r="AO38" s="20">
        <f>'Allocators Data'!AR38/'Allocators Data'!$DF38</f>
        <v>5.0872833648857889E-5</v>
      </c>
      <c r="AP38" s="20">
        <f>'Allocators Data'!AS38/'Allocators Data'!$DF38</f>
        <v>2.4473224507343901E-2</v>
      </c>
      <c r="AQ38" s="20">
        <f>'Allocators Data'!AT38/'Allocators Data'!$DF38</f>
        <v>3.9717007038050827E-3</v>
      </c>
      <c r="AR38" s="21">
        <f>'Allocators Data'!AU38/'Allocators Data'!$DF38</f>
        <v>1.8693700620588925E-3</v>
      </c>
      <c r="AS38" s="20">
        <f>'Allocators Data'!AV38/'Allocators Data'!$DF38</f>
        <v>6.364655817694647E-5</v>
      </c>
      <c r="AT38" s="20">
        <f>'Allocators Data'!AW38/'Allocators Data'!$DF38</f>
        <v>1.4551440977347006E-4</v>
      </c>
      <c r="AU38" s="20">
        <f>'Allocators Data'!AX38/'Allocators Data'!$DF38</f>
        <v>2.9136080715479336E-4</v>
      </c>
      <c r="AV38" s="20">
        <f>'Allocators Data'!AY38/'Allocators Data'!$DF38</f>
        <v>3.2759105354996425E-2</v>
      </c>
      <c r="AW38" s="20">
        <f>'Allocators Data'!AZ38/'Allocators Data'!$DF38</f>
        <v>3.002528100435508E-2</v>
      </c>
      <c r="AX38" s="21">
        <f>'Allocators Data'!BA38/'Allocators Data'!$DF38</f>
        <v>2.6347033809397762E-3</v>
      </c>
      <c r="AY38" s="20">
        <f>'Allocators Data'!BB38/'Allocators Data'!$DF38</f>
        <v>2.6438505118625095E-3</v>
      </c>
      <c r="AZ38" s="20">
        <f>'Allocators Data'!BC38/'Allocators Data'!$DF38</f>
        <v>5.2198925109643761E-3</v>
      </c>
      <c r="BA38" s="20">
        <f>'Allocators Data'!BD38/'Allocators Data'!$DF38</f>
        <v>7.9183206474517411E-3</v>
      </c>
      <c r="BB38" s="20">
        <f>'Allocators Data'!BE38/'Allocators Data'!$DF38</f>
        <v>4.9923927268744173E-2</v>
      </c>
      <c r="BC38" s="20">
        <f>'Allocators Data'!BF38/'Allocators Data'!$DF38</f>
        <v>2.7528223543038126E-2</v>
      </c>
      <c r="BD38" s="21">
        <f>'Allocators Data'!BG38/'Allocators Data'!$DF38</f>
        <v>2.0171949362093086E-2</v>
      </c>
      <c r="BE38" s="20">
        <f>'Allocators Data'!BH38/'Allocators Data'!$DF38</f>
        <v>0</v>
      </c>
      <c r="BF38" s="20">
        <f>'Allocators Data'!BI38/'Allocators Data'!$DF38</f>
        <v>0</v>
      </c>
      <c r="BG38" s="20">
        <f>'Allocators Data'!BJ38/'Allocators Data'!$DF38</f>
        <v>0</v>
      </c>
      <c r="BH38" s="20">
        <f>'Allocators Data'!BK38/'Allocators Data'!$DF38</f>
        <v>0</v>
      </c>
      <c r="BI38" s="20">
        <f>'Allocators Data'!BL38/'Allocators Data'!$DF38</f>
        <v>0</v>
      </c>
      <c r="BJ38" s="21">
        <f>'Allocators Data'!BM38/'Allocators Data'!$DF38</f>
        <v>0</v>
      </c>
      <c r="BK38" s="20">
        <f>'Allocators Data'!BN38/'Allocators Data'!$DF38</f>
        <v>0</v>
      </c>
      <c r="BL38" s="20">
        <f>'Allocators Data'!BO38/'Allocators Data'!$DF38</f>
        <v>0</v>
      </c>
      <c r="BM38" s="20">
        <f>'Allocators Data'!BP38/'Allocators Data'!$DF38</f>
        <v>0</v>
      </c>
      <c r="BN38" s="20">
        <f>'Allocators Data'!BQ38/'Allocators Data'!$DF38</f>
        <v>0</v>
      </c>
      <c r="BO38" s="20">
        <f>'Allocators Data'!BR38/'Allocators Data'!$DF38</f>
        <v>0</v>
      </c>
      <c r="BP38" s="21">
        <f>'Allocators Data'!BS38/'Allocators Data'!$DF38</f>
        <v>0</v>
      </c>
      <c r="BQ38" s="20">
        <f>'Allocators Data'!BT38/'Allocators Data'!$DF38</f>
        <v>1.3386623413410687E-6</v>
      </c>
      <c r="BR38" s="20">
        <f>'Allocators Data'!BU38/'Allocators Data'!$DF38</f>
        <v>2.3381968895424E-6</v>
      </c>
      <c r="BS38" s="20">
        <f>'Allocators Data'!BV38/'Allocators Data'!$DF38</f>
        <v>4.4622078044702288E-6</v>
      </c>
      <c r="BT38" s="20">
        <f>'Allocators Data'!BW38/'Allocators Data'!$DF38</f>
        <v>7.1315153871303347E-4</v>
      </c>
      <c r="BU38" s="20">
        <f>'Allocators Data'!BX38/'Allocators Data'!$DF38</f>
        <v>0</v>
      </c>
      <c r="BV38" s="21">
        <f>'Allocators Data'!BY38/'Allocators Data'!$DF38</f>
        <v>0</v>
      </c>
      <c r="BW38" s="22"/>
      <c r="BX38" s="20">
        <f>'Allocators Data'!CA38/'Allocators Data'!$DF38</f>
        <v>0</v>
      </c>
      <c r="BY38" s="20">
        <f>'Allocators Data'!CB38/'Allocators Data'!$DF38</f>
        <v>0</v>
      </c>
      <c r="BZ38" s="20">
        <f>'Allocators Data'!CC38/'Allocators Data'!$DF38</f>
        <v>0</v>
      </c>
      <c r="CA38" s="20">
        <f>'Allocators Data'!CD38/'Allocators Data'!$DF38</f>
        <v>0</v>
      </c>
      <c r="CB38" s="20">
        <f>'Allocators Data'!CE38/'Allocators Data'!$DF38</f>
        <v>0</v>
      </c>
      <c r="CC38" s="20">
        <f>'Allocators Data'!CF38/'Allocators Data'!$DF38</f>
        <v>0</v>
      </c>
      <c r="CD38" s="20">
        <f>'Allocators Data'!CG38/'Allocators Data'!$DF38</f>
        <v>0</v>
      </c>
      <c r="CE38" s="20">
        <f>'Allocators Data'!CH38/'Allocators Data'!$DF38</f>
        <v>0</v>
      </c>
      <c r="CF38" s="20">
        <f>'Allocators Data'!CI38/'Allocators Data'!$DF38</f>
        <v>0</v>
      </c>
      <c r="CG38" s="20">
        <f>'Allocators Data'!CJ38/'Allocators Data'!$DF38</f>
        <v>0</v>
      </c>
      <c r="CH38" s="22"/>
      <c r="CI38" s="20">
        <f>'Allocators Data'!CL38/'Allocators Data'!$DF38</f>
        <v>0</v>
      </c>
      <c r="CJ38" s="20">
        <f>'Allocators Data'!CM38/'Allocators Data'!$DF38</f>
        <v>0</v>
      </c>
      <c r="CK38" s="20">
        <f>'Allocators Data'!CN38/'Allocators Data'!$DF38</f>
        <v>0</v>
      </c>
      <c r="CL38" s="29">
        <f>'Allocators Data'!CO38/'Allocators Data'!$DF38</f>
        <v>0</v>
      </c>
      <c r="CM38" s="20">
        <f>'Allocators Data'!CP38/'Allocators Data'!$DF38</f>
        <v>0</v>
      </c>
      <c r="CN38" s="20">
        <f>'Allocators Data'!CQ38/'Allocators Data'!$DF38</f>
        <v>0</v>
      </c>
      <c r="CO38" s="22"/>
      <c r="CP38" s="20">
        <f>'Allocators Data'!CS38/'Allocators Data'!$DF38</f>
        <v>2.7229684278403808E-4</v>
      </c>
      <c r="CQ38" s="20">
        <f>'Allocators Data'!CT38/'Allocators Data'!$DF38</f>
        <v>2.1732566791515672E-3</v>
      </c>
      <c r="CR38" s="22"/>
      <c r="CS38" s="20">
        <f>'Allocators Data'!CV38/'Allocators Data'!$DF38</f>
        <v>0</v>
      </c>
      <c r="CT38" s="20">
        <f>'Allocators Data'!CW38/'Allocators Data'!$DF38</f>
        <v>0</v>
      </c>
      <c r="CU38" s="20">
        <f>'Allocators Data'!CX38/'Allocators Data'!$DF38</f>
        <v>0</v>
      </c>
      <c r="CV38" s="20">
        <f>'Allocators Data'!CY38/'Allocators Data'!$DF38</f>
        <v>0</v>
      </c>
      <c r="CW38" s="20">
        <f>'Allocators Data'!CZ38/'Allocators Data'!$DF38</f>
        <v>0</v>
      </c>
      <c r="CX38" s="20">
        <f>'Allocators Data'!DA38/'Allocators Data'!$DF38</f>
        <v>0</v>
      </c>
      <c r="CY38" s="20">
        <f>'Allocators Data'!DB38/'Allocators Data'!$DF38</f>
        <v>0</v>
      </c>
      <c r="CZ38" s="20">
        <f>'Allocators Data'!DC38/'Allocators Data'!$DF38</f>
        <v>0</v>
      </c>
      <c r="DA38" s="20">
        <f>'Allocators Data'!DD38/'Allocators Data'!$DF38</f>
        <v>0</v>
      </c>
      <c r="DB38" s="22"/>
      <c r="DC38" s="20">
        <f t="shared" si="13"/>
        <v>1</v>
      </c>
    </row>
    <row r="39" spans="1:107" x14ac:dyDescent="0.2">
      <c r="A39">
        <v>7</v>
      </c>
      <c r="B39" t="s">
        <v>238</v>
      </c>
      <c r="C39" s="20">
        <f>'Allocators Data'!F39/'Allocators Data'!$DF39</f>
        <v>1.9264373352976871E-4</v>
      </c>
      <c r="D39" s="20">
        <f>'Allocators Data'!G39/'Allocators Data'!$DF39</f>
        <v>2.762249804566765E-4</v>
      </c>
      <c r="E39" s="20">
        <f>'Allocators Data'!H39/'Allocators Data'!$DF39</f>
        <v>3.0605259443132981E-4</v>
      </c>
      <c r="F39" s="20">
        <f>'Allocators Data'!I39/'Allocators Data'!$DF39</f>
        <v>4.9672198714253199E-4</v>
      </c>
      <c r="G39" s="31">
        <f>'Allocators Data'!J39/'Allocators Data'!$DF39</f>
        <v>3.5806304284067782E-6</v>
      </c>
      <c r="H39" s="20">
        <f>'Allocators Data'!K39/'Allocators Data'!$DF39</f>
        <v>0</v>
      </c>
      <c r="I39" s="20">
        <f>'Allocators Data'!L39/'Allocators Data'!$DF39</f>
        <v>0</v>
      </c>
      <c r="J39" s="20">
        <f>'Allocators Data'!M39/'Allocators Data'!$DF39</f>
        <v>0</v>
      </c>
      <c r="K39" s="21">
        <f>'Allocators Data'!N39/'Allocators Data'!$DF39</f>
        <v>0</v>
      </c>
      <c r="L39" s="20">
        <f>'Allocators Data'!O39/'Allocators Data'!$DF39</f>
        <v>0</v>
      </c>
      <c r="M39" s="20">
        <f>'Allocators Data'!P39/'Allocators Data'!$DF39</f>
        <v>0</v>
      </c>
      <c r="N39" s="20">
        <f>'Allocators Data'!Q39/'Allocators Data'!$DF39</f>
        <v>0</v>
      </c>
      <c r="O39" s="21">
        <f>'Allocators Data'!R39/'Allocators Data'!$DF39</f>
        <v>0</v>
      </c>
      <c r="P39" s="20">
        <f>'Allocators Data'!S39/'Allocators Data'!$DF39</f>
        <v>0</v>
      </c>
      <c r="Q39" s="20">
        <f>'Allocators Data'!T39/'Allocators Data'!$DF39</f>
        <v>0</v>
      </c>
      <c r="R39" s="20">
        <f>'Allocators Data'!U39/'Allocators Data'!$DF39</f>
        <v>0</v>
      </c>
      <c r="S39" s="21">
        <f>'Allocators Data'!V39/'Allocators Data'!$DF39</f>
        <v>0</v>
      </c>
      <c r="T39" s="20">
        <f>'Allocators Data'!W39/'Allocators Data'!$DF39</f>
        <v>0</v>
      </c>
      <c r="U39" s="20">
        <f>'Allocators Data'!X39/'Allocators Data'!$DF39</f>
        <v>0</v>
      </c>
      <c r="V39" s="20">
        <f>'Allocators Data'!Y39/'Allocators Data'!$DF39</f>
        <v>0</v>
      </c>
      <c r="W39" s="20">
        <f>'Allocators Data'!Z39/'Allocators Data'!$DF39</f>
        <v>0</v>
      </c>
      <c r="X39" s="22"/>
      <c r="Y39" s="20">
        <f>'Allocators Data'!AB39/'Allocators Data'!$DF39</f>
        <v>0.14696011913217066</v>
      </c>
      <c r="Z39" s="20">
        <f>'Allocators Data'!AC39/'Allocators Data'!$DF39</f>
        <v>0.11298172848621353</v>
      </c>
      <c r="AA39" s="20">
        <f>'Allocators Data'!AD39/'Allocators Data'!$DF39</f>
        <v>1.1276514158620587E-2</v>
      </c>
      <c r="AB39" s="20">
        <f>'Allocators Data'!AE39/'Allocators Data'!$DF39</f>
        <v>0</v>
      </c>
      <c r="AC39" s="20">
        <f>'Allocators Data'!AF39/'Allocators Data'!$DF39</f>
        <v>0.19956646010183543</v>
      </c>
      <c r="AD39" s="20">
        <f>'Allocators Data'!AG39/'Allocators Data'!$DF39</f>
        <v>0.12960949203087838</v>
      </c>
      <c r="AE39" s="20">
        <f>'Allocators Data'!AH39/'Allocators Data'!$DF39</f>
        <v>0.1702928864870436</v>
      </c>
      <c r="AF39" s="22"/>
      <c r="AG39" s="20">
        <f>'Allocators Data'!AJ39/'Allocators Data'!$DF39</f>
        <v>5.2416810234083508E-6</v>
      </c>
      <c r="AH39" s="20">
        <f>'Allocators Data'!AK39/'Allocators Data'!$DF39</f>
        <v>1.2230589054619486E-5</v>
      </c>
      <c r="AI39" s="20">
        <f>'Allocators Data'!AL39/'Allocators Data'!$DF39</f>
        <v>2.6208405117041754E-5</v>
      </c>
      <c r="AJ39" s="20">
        <f>'Allocators Data'!AM39/'Allocators Data'!$DF39</f>
        <v>8.93370799397427E-3</v>
      </c>
      <c r="AK39" s="20">
        <f>'Allocators Data'!AN39/'Allocators Data'!$DF39</f>
        <v>3.630825508259594E-3</v>
      </c>
      <c r="AL39" s="21">
        <f>'Allocators Data'!AO39/'Allocators Data'!$DF39</f>
        <v>3.6975591205077075E-3</v>
      </c>
      <c r="AM39" s="20">
        <f>'Allocators Data'!AP39/'Allocators Data'!$DF39</f>
        <v>9.2730240987621136E-6</v>
      </c>
      <c r="AN39" s="20">
        <f>'Allocators Data'!AQ39/'Allocators Data'!$DF39</f>
        <v>2.1637056230444928E-5</v>
      </c>
      <c r="AO39" s="20">
        <f>'Allocators Data'!AR39/'Allocators Data'!$DF39</f>
        <v>4.6365120493810561E-5</v>
      </c>
      <c r="AP39" s="20">
        <f>'Allocators Data'!AS39/'Allocators Data'!$DF39</f>
        <v>2.2304713965555802E-2</v>
      </c>
      <c r="AQ39" s="20">
        <f>'Allocators Data'!AT39/'Allocators Data'!$DF39</f>
        <v>3.6197783470905413E-3</v>
      </c>
      <c r="AR39" s="21">
        <f>'Allocators Data'!AU39/'Allocators Data'!$DF39</f>
        <v>1.7037299076582606E-3</v>
      </c>
      <c r="AS39" s="20">
        <f>'Allocators Data'!AV39/'Allocators Data'!$DF39</f>
        <v>6.2243306294840111E-5</v>
      </c>
      <c r="AT39" s="20">
        <f>'Allocators Data'!AW39/'Allocators Data'!$DF39</f>
        <v>1.4230617078558116E-4</v>
      </c>
      <c r="AU39" s="20">
        <f>'Allocators Data'!AX39/'Allocators Data'!$DF39</f>
        <v>2.8493700965932903E-4</v>
      </c>
      <c r="AV39" s="20">
        <f>'Allocators Data'!AY39/'Allocators Data'!$DF39</f>
        <v>3.2036846719773478E-2</v>
      </c>
      <c r="AW39" s="20">
        <f>'Allocators Data'!AZ39/'Allocators Data'!$DF39</f>
        <v>2.9363296550097586E-2</v>
      </c>
      <c r="AX39" s="21">
        <f>'Allocators Data'!BA39/'Allocators Data'!$DF39</f>
        <v>2.5766145763917421E-3</v>
      </c>
      <c r="AY39" s="20">
        <f>'Allocators Data'!BB39/'Allocators Data'!$DF39</f>
        <v>2.7136589010206412E-3</v>
      </c>
      <c r="AZ39" s="20">
        <f>'Allocators Data'!BC39/'Allocators Data'!$DF39</f>
        <v>5.3577188691998571E-3</v>
      </c>
      <c r="BA39" s="20">
        <f>'Allocators Data'!BD39/'Allocators Data'!$DF39</f>
        <v>8.1273964657538802E-3</v>
      </c>
      <c r="BB39" s="20">
        <f>'Allocators Data'!BE39/'Allocators Data'!$DF39</f>
        <v>5.1242121670220998E-2</v>
      </c>
      <c r="BC39" s="20">
        <f>'Allocators Data'!BF39/'Allocators Data'!$DF39</f>
        <v>2.8255080425945132E-2</v>
      </c>
      <c r="BD39" s="21">
        <f>'Allocators Data'!BG39/'Allocators Data'!$DF39</f>
        <v>2.0704570735665041E-2</v>
      </c>
      <c r="BE39" s="20">
        <f>'Allocators Data'!BH39/'Allocators Data'!$DF39</f>
        <v>0</v>
      </c>
      <c r="BF39" s="20">
        <f>'Allocators Data'!BI39/'Allocators Data'!$DF39</f>
        <v>0</v>
      </c>
      <c r="BG39" s="20">
        <f>'Allocators Data'!BJ39/'Allocators Data'!$DF39</f>
        <v>0</v>
      </c>
      <c r="BH39" s="20">
        <f>'Allocators Data'!BK39/'Allocators Data'!$DF39</f>
        <v>0</v>
      </c>
      <c r="BI39" s="20">
        <f>'Allocators Data'!BL39/'Allocators Data'!$DF39</f>
        <v>0</v>
      </c>
      <c r="BJ39" s="21">
        <f>'Allocators Data'!BM39/'Allocators Data'!$DF39</f>
        <v>0</v>
      </c>
      <c r="BK39" s="20">
        <f>'Allocators Data'!BN39/'Allocators Data'!$DF39</f>
        <v>0</v>
      </c>
      <c r="BL39" s="20">
        <f>'Allocators Data'!BO39/'Allocators Data'!$DF39</f>
        <v>0</v>
      </c>
      <c r="BM39" s="20">
        <f>'Allocators Data'!BP39/'Allocators Data'!$DF39</f>
        <v>0</v>
      </c>
      <c r="BN39" s="20">
        <f>'Allocators Data'!BQ39/'Allocators Data'!$DF39</f>
        <v>0</v>
      </c>
      <c r="BO39" s="20">
        <f>'Allocators Data'!BR39/'Allocators Data'!$DF39</f>
        <v>0</v>
      </c>
      <c r="BP39" s="21">
        <f>'Allocators Data'!BS39/'Allocators Data'!$DF39</f>
        <v>0</v>
      </c>
      <c r="BQ39" s="20">
        <f>'Allocators Data'!BT39/'Allocators Data'!$DF39</f>
        <v>1.4295493700204592E-6</v>
      </c>
      <c r="BR39" s="20">
        <f>'Allocators Data'!BU39/'Allocators Data'!$DF39</f>
        <v>2.412761658956753E-6</v>
      </c>
      <c r="BS39" s="20">
        <f>'Allocators Data'!BV39/'Allocators Data'!$DF39</f>
        <v>7.1477468501022967E-6</v>
      </c>
      <c r="BT39" s="20">
        <f>'Allocators Data'!BW39/'Allocators Data'!$DF39</f>
        <v>7.5690985849748821E-4</v>
      </c>
      <c r="BU39" s="20">
        <f>'Allocators Data'!BX39/'Allocators Data'!$DF39</f>
        <v>0</v>
      </c>
      <c r="BV39" s="21">
        <f>'Allocators Data'!BY39/'Allocators Data'!$DF39</f>
        <v>0</v>
      </c>
      <c r="BW39" s="22"/>
      <c r="BX39" s="20">
        <f>'Allocators Data'!CA39/'Allocators Data'!$DF39</f>
        <v>0</v>
      </c>
      <c r="BY39" s="20">
        <f>'Allocators Data'!CB39/'Allocators Data'!$DF39</f>
        <v>0</v>
      </c>
      <c r="BZ39" s="20">
        <f>'Allocators Data'!CC39/'Allocators Data'!$DF39</f>
        <v>0</v>
      </c>
      <c r="CA39" s="20">
        <f>'Allocators Data'!CD39/'Allocators Data'!$DF39</f>
        <v>0</v>
      </c>
      <c r="CB39" s="20">
        <f>'Allocators Data'!CE39/'Allocators Data'!$DF39</f>
        <v>0</v>
      </c>
      <c r="CC39" s="20">
        <f>'Allocators Data'!CF39/'Allocators Data'!$DF39</f>
        <v>0</v>
      </c>
      <c r="CD39" s="20">
        <f>'Allocators Data'!CG39/'Allocators Data'!$DF39</f>
        <v>0</v>
      </c>
      <c r="CE39" s="20">
        <f>'Allocators Data'!CH39/'Allocators Data'!$DF39</f>
        <v>0</v>
      </c>
      <c r="CF39" s="20">
        <f>'Allocators Data'!CI39/'Allocators Data'!$DF39</f>
        <v>0</v>
      </c>
      <c r="CG39" s="20">
        <f>'Allocators Data'!CJ39/'Allocators Data'!$DF39</f>
        <v>0</v>
      </c>
      <c r="CH39" s="22"/>
      <c r="CI39" s="20">
        <f>'Allocators Data'!CL39/'Allocators Data'!$DF39</f>
        <v>0</v>
      </c>
      <c r="CJ39" s="20">
        <f>'Allocators Data'!CM39/'Allocators Data'!$DF39</f>
        <v>0</v>
      </c>
      <c r="CK39" s="20">
        <f>'Allocators Data'!CN39/'Allocators Data'!$DF39</f>
        <v>0</v>
      </c>
      <c r="CL39" s="29">
        <f>'Allocators Data'!CO39/'Allocators Data'!$DF39</f>
        <v>0</v>
      </c>
      <c r="CM39" s="20">
        <f>'Allocators Data'!CP39/'Allocators Data'!$DF39</f>
        <v>0</v>
      </c>
      <c r="CN39" s="20">
        <f>'Allocators Data'!CQ39/'Allocators Data'!$DF39</f>
        <v>0</v>
      </c>
      <c r="CO39" s="22"/>
      <c r="CP39" s="20">
        <f>'Allocators Data'!CS39/'Allocators Data'!$DF39</f>
        <v>2.6629097983846739E-4</v>
      </c>
      <c r="CQ39" s="20">
        <f>'Allocators Data'!CT39/'Allocators Data'!$DF39</f>
        <v>2.125322661161934E-3</v>
      </c>
      <c r="CR39" s="22"/>
      <c r="CS39" s="20">
        <f>'Allocators Data'!CV39/'Allocators Data'!$DF39</f>
        <v>0</v>
      </c>
      <c r="CT39" s="20">
        <f>'Allocators Data'!CW39/'Allocators Data'!$DF39</f>
        <v>0</v>
      </c>
      <c r="CU39" s="20">
        <f>'Allocators Data'!CX39/'Allocators Data'!$DF39</f>
        <v>0</v>
      </c>
      <c r="CV39" s="20">
        <f>'Allocators Data'!CY39/'Allocators Data'!$DF39</f>
        <v>0</v>
      </c>
      <c r="CW39" s="20">
        <f>'Allocators Data'!CZ39/'Allocators Data'!$DF39</f>
        <v>0</v>
      </c>
      <c r="CX39" s="20">
        <f>'Allocators Data'!DA39/'Allocators Data'!$DF39</f>
        <v>0</v>
      </c>
      <c r="CY39" s="20">
        <f>'Allocators Data'!DB39/'Allocators Data'!$DF39</f>
        <v>0</v>
      </c>
      <c r="CZ39" s="20">
        <f>'Allocators Data'!DC39/'Allocators Data'!$DF39</f>
        <v>0</v>
      </c>
      <c r="DA39" s="20">
        <f>'Allocators Data'!DD39/'Allocators Data'!$DF39</f>
        <v>0</v>
      </c>
      <c r="DB39" s="22"/>
      <c r="DC39" s="20">
        <f t="shared" si="13"/>
        <v>1.0000000000000002</v>
      </c>
    </row>
    <row r="40" spans="1:107" x14ac:dyDescent="0.2">
      <c r="A40">
        <v>8</v>
      </c>
      <c r="B40" t="s">
        <v>239</v>
      </c>
      <c r="C40" s="20">
        <f>'Allocators Data'!F40/'Allocators Data'!$DF40</f>
        <v>1.6592525288039477E-4</v>
      </c>
      <c r="D40" s="20">
        <f>'Allocators Data'!G40/'Allocators Data'!$DF40</f>
        <v>2.4836715047214922E-4</v>
      </c>
      <c r="E40" s="20">
        <f>'Allocators Data'!H40/'Allocators Data'!$DF40</f>
        <v>2.8925835420643049E-4</v>
      </c>
      <c r="F40" s="20">
        <f>'Allocators Data'!I40/'Allocators Data'!$DF40</f>
        <v>5.0742796452432778E-4</v>
      </c>
      <c r="G40" s="31">
        <f>'Allocators Data'!J40/'Allocators Data'!$DF40</f>
        <v>3.360125381810676E-6</v>
      </c>
      <c r="H40" s="20">
        <f>'Allocators Data'!K40/'Allocators Data'!$DF40</f>
        <v>0</v>
      </c>
      <c r="I40" s="20">
        <f>'Allocators Data'!L40/'Allocators Data'!$DF40</f>
        <v>0</v>
      </c>
      <c r="J40" s="20">
        <f>'Allocators Data'!M40/'Allocators Data'!$DF40</f>
        <v>0</v>
      </c>
      <c r="K40" s="21">
        <f>'Allocators Data'!N40/'Allocators Data'!$DF40</f>
        <v>0</v>
      </c>
      <c r="L40" s="20">
        <f>'Allocators Data'!O40/'Allocators Data'!$DF40</f>
        <v>0</v>
      </c>
      <c r="M40" s="20">
        <f>'Allocators Data'!P40/'Allocators Data'!$DF40</f>
        <v>0</v>
      </c>
      <c r="N40" s="20">
        <f>'Allocators Data'!Q40/'Allocators Data'!$DF40</f>
        <v>0</v>
      </c>
      <c r="O40" s="21">
        <f>'Allocators Data'!R40/'Allocators Data'!$DF40</f>
        <v>0</v>
      </c>
      <c r="P40" s="20">
        <f>'Allocators Data'!S40/'Allocators Data'!$DF40</f>
        <v>0</v>
      </c>
      <c r="Q40" s="20">
        <f>'Allocators Data'!T40/'Allocators Data'!$DF40</f>
        <v>0</v>
      </c>
      <c r="R40" s="20">
        <f>'Allocators Data'!U40/'Allocators Data'!$DF40</f>
        <v>0</v>
      </c>
      <c r="S40" s="21">
        <f>'Allocators Data'!V40/'Allocators Data'!$DF40</f>
        <v>0</v>
      </c>
      <c r="T40" s="20">
        <f>'Allocators Data'!W40/'Allocators Data'!$DF40</f>
        <v>0</v>
      </c>
      <c r="U40" s="20">
        <f>'Allocators Data'!X40/'Allocators Data'!$DF40</f>
        <v>0</v>
      </c>
      <c r="V40" s="20">
        <f>'Allocators Data'!Y40/'Allocators Data'!$DF40</f>
        <v>0</v>
      </c>
      <c r="W40" s="20">
        <f>'Allocators Data'!Z40/'Allocators Data'!$DF40</f>
        <v>0</v>
      </c>
      <c r="X40" s="22"/>
      <c r="Y40" s="20">
        <f>'Allocators Data'!AB40/'Allocators Data'!$DF40</f>
        <v>0.14733871543390445</v>
      </c>
      <c r="Z40" s="20">
        <f>'Allocators Data'!AC40/'Allocators Data'!$DF40</f>
        <v>0.11122114875883332</v>
      </c>
      <c r="AA40" s="20">
        <f>'Allocators Data'!AD40/'Allocators Data'!$DF40</f>
        <v>1.3063071665962536E-2</v>
      </c>
      <c r="AB40" s="20">
        <f>'Allocators Data'!AE40/'Allocators Data'!$DF40</f>
        <v>0</v>
      </c>
      <c r="AC40" s="20">
        <f>'Allocators Data'!AF40/'Allocators Data'!$DF40</f>
        <v>0.20243008535696455</v>
      </c>
      <c r="AD40" s="20">
        <f>'Allocators Data'!AG40/'Allocators Data'!$DF40</f>
        <v>0.13092806589992043</v>
      </c>
      <c r="AE40" s="20">
        <f>'Allocators Data'!AH40/'Allocators Data'!$DF40</f>
        <v>0.16904371309231714</v>
      </c>
      <c r="AF40" s="22"/>
      <c r="AG40" s="20">
        <f>'Allocators Data'!AJ40/'Allocators Data'!$DF40</f>
        <v>8.1700229663966026E-7</v>
      </c>
      <c r="AH40" s="20">
        <f>'Allocators Data'!AK40/'Allocators Data'!$DF40</f>
        <v>1.7047944973479338E-6</v>
      </c>
      <c r="AI40" s="20">
        <f>'Allocators Data'!AL40/'Allocators Data'!$DF40</f>
        <v>3.4156353205402065E-6</v>
      </c>
      <c r="AJ40" s="20">
        <f>'Allocators Data'!AM40/'Allocators Data'!$DF40</f>
        <v>9.3259028674886983E-4</v>
      </c>
      <c r="AK40" s="20">
        <f>'Allocators Data'!AN40/'Allocators Data'!$DF40</f>
        <v>3.7902208177912353E-4</v>
      </c>
      <c r="AL40" s="21">
        <f>'Allocators Data'!AO40/'Allocators Data'!$DF40</f>
        <v>3.8461076136996536E-4</v>
      </c>
      <c r="AM40" s="20">
        <f>'Allocators Data'!AP40/'Allocators Data'!$DF40</f>
        <v>8.8834806084078376E-6</v>
      </c>
      <c r="AN40" s="20">
        <f>'Allocators Data'!AQ40/'Allocators Data'!$DF40</f>
        <v>2.0728121419618282E-5</v>
      </c>
      <c r="AO40" s="20">
        <f>'Allocators Data'!AR40/'Allocators Data'!$DF40</f>
        <v>4.4417403042039181E-5</v>
      </c>
      <c r="AP40" s="20">
        <f>'Allocators Data'!AS40/'Allocators Data'!$DF40</f>
        <v>2.1367732023423649E-2</v>
      </c>
      <c r="AQ40" s="20">
        <f>'Allocators Data'!AT40/'Allocators Data'!$DF40</f>
        <v>3.4677178028045927E-3</v>
      </c>
      <c r="AR40" s="21">
        <f>'Allocators Data'!AU40/'Allocators Data'!$DF40</f>
        <v>1.632159200218951E-3</v>
      </c>
      <c r="AS40" s="20">
        <f>'Allocators Data'!AV40/'Allocators Data'!$DF40</f>
        <v>6.5128551997111327E-5</v>
      </c>
      <c r="AT40" s="20">
        <f>'Allocators Data'!AW40/'Allocators Data'!$DF40</f>
        <v>1.4890267556829401E-4</v>
      </c>
      <c r="AU40" s="20">
        <f>'Allocators Data'!AX40/'Allocators Data'!$DF40</f>
        <v>2.981450689909354E-4</v>
      </c>
      <c r="AV40" s="20">
        <f>'Allocators Data'!AY40/'Allocators Data'!$DF40</f>
        <v>3.352189274021939E-2</v>
      </c>
      <c r="AW40" s="20">
        <f>'Allocators Data'!AZ40/'Allocators Data'!$DF40</f>
        <v>3.0724411989151761E-2</v>
      </c>
      <c r="AX40" s="21">
        <f>'Allocators Data'!BA40/'Allocators Data'!$DF40</f>
        <v>2.6960517749513558E-3</v>
      </c>
      <c r="AY40" s="20">
        <f>'Allocators Data'!BB40/'Allocators Data'!$DF40</f>
        <v>2.9651513583088553E-3</v>
      </c>
      <c r="AZ40" s="20">
        <f>'Allocators Data'!BC40/'Allocators Data'!$DF40</f>
        <v>5.8542535970419292E-3</v>
      </c>
      <c r="BA40" s="20">
        <f>'Allocators Data'!BD40/'Allocators Data'!$DF40</f>
        <v>8.8806152685146911E-3</v>
      </c>
      <c r="BB40" s="20">
        <f>'Allocators Data'!BE40/'Allocators Data'!$DF40</f>
        <v>5.5991063068367437E-2</v>
      </c>
      <c r="BC40" s="20">
        <f>'Allocators Data'!BF40/'Allocators Data'!$DF40</f>
        <v>3.0873662888363088E-2</v>
      </c>
      <c r="BD40" s="21">
        <f>'Allocators Data'!BG40/'Allocators Data'!$DF40</f>
        <v>2.262339825280495E-2</v>
      </c>
      <c r="BE40" s="20">
        <f>'Allocators Data'!BH40/'Allocators Data'!$DF40</f>
        <v>0</v>
      </c>
      <c r="BF40" s="20">
        <f>'Allocators Data'!BI40/'Allocators Data'!$DF40</f>
        <v>0</v>
      </c>
      <c r="BG40" s="20">
        <f>'Allocators Data'!BJ40/'Allocators Data'!$DF40</f>
        <v>0</v>
      </c>
      <c r="BH40" s="20">
        <f>'Allocators Data'!BK40/'Allocators Data'!$DF40</f>
        <v>0</v>
      </c>
      <c r="BI40" s="20">
        <f>'Allocators Data'!BL40/'Allocators Data'!$DF40</f>
        <v>0</v>
      </c>
      <c r="BJ40" s="21">
        <f>'Allocators Data'!BM40/'Allocators Data'!$DF40</f>
        <v>0</v>
      </c>
      <c r="BK40" s="20">
        <f>'Allocators Data'!BN40/'Allocators Data'!$DF40</f>
        <v>0</v>
      </c>
      <c r="BL40" s="20">
        <f>'Allocators Data'!BO40/'Allocators Data'!$DF40</f>
        <v>0</v>
      </c>
      <c r="BM40" s="20">
        <f>'Allocators Data'!BP40/'Allocators Data'!$DF40</f>
        <v>0</v>
      </c>
      <c r="BN40" s="20">
        <f>'Allocators Data'!BQ40/'Allocators Data'!$DF40</f>
        <v>0</v>
      </c>
      <c r="BO40" s="20">
        <f>'Allocators Data'!BR40/'Allocators Data'!$DF40</f>
        <v>0</v>
      </c>
      <c r="BP40" s="21">
        <f>'Allocators Data'!BS40/'Allocators Data'!$DF40</f>
        <v>0</v>
      </c>
      <c r="BQ40" s="20">
        <f>'Allocators Data'!BT40/'Allocators Data'!$DF40</f>
        <v>4.3919877732285341E-7</v>
      </c>
      <c r="BR40" s="20">
        <f>'Allocators Data'!BU40/'Allocators Data'!$DF40</f>
        <v>8.9303751388980201E-8</v>
      </c>
      <c r="BS40" s="20">
        <f>'Allocators Data'!BV40/'Allocators Data'!$DF40</f>
        <v>0</v>
      </c>
      <c r="BT40" s="20">
        <f>'Allocators Data'!BW40/'Allocators Data'!$DF40</f>
        <v>5.2850252871183364E-7</v>
      </c>
      <c r="BU40" s="20">
        <f>'Allocators Data'!BX40/'Allocators Data'!$DF40</f>
        <v>0</v>
      </c>
      <c r="BV40" s="21">
        <f>'Allocators Data'!BY40/'Allocators Data'!$DF40</f>
        <v>0</v>
      </c>
      <c r="BW40" s="22"/>
      <c r="BX40" s="20">
        <f>'Allocators Data'!CA40/'Allocators Data'!$DF40</f>
        <v>0</v>
      </c>
      <c r="BY40" s="20">
        <f>'Allocators Data'!CB40/'Allocators Data'!$DF40</f>
        <v>0</v>
      </c>
      <c r="BZ40" s="20">
        <f>'Allocators Data'!CC40/'Allocators Data'!$DF40</f>
        <v>0</v>
      </c>
      <c r="CA40" s="20">
        <f>'Allocators Data'!CD40/'Allocators Data'!$DF40</f>
        <v>0</v>
      </c>
      <c r="CB40" s="20">
        <f>'Allocators Data'!CE40/'Allocators Data'!$DF40</f>
        <v>0</v>
      </c>
      <c r="CC40" s="20">
        <f>'Allocators Data'!CF40/'Allocators Data'!$DF40</f>
        <v>0</v>
      </c>
      <c r="CD40" s="20">
        <f>'Allocators Data'!CG40/'Allocators Data'!$DF40</f>
        <v>0</v>
      </c>
      <c r="CE40" s="20">
        <f>'Allocators Data'!CH40/'Allocators Data'!$DF40</f>
        <v>0</v>
      </c>
      <c r="CF40" s="20">
        <f>'Allocators Data'!CI40/'Allocators Data'!$DF40</f>
        <v>0</v>
      </c>
      <c r="CG40" s="20">
        <f>'Allocators Data'!CJ40/'Allocators Data'!$DF40</f>
        <v>0</v>
      </c>
      <c r="CH40" s="22"/>
      <c r="CI40" s="20">
        <f>'Allocators Data'!CL40/'Allocators Data'!$DF40</f>
        <v>0</v>
      </c>
      <c r="CJ40" s="20">
        <f>'Allocators Data'!CM40/'Allocators Data'!$DF40</f>
        <v>0</v>
      </c>
      <c r="CK40" s="20">
        <f>'Allocators Data'!CN40/'Allocators Data'!$DF40</f>
        <v>0</v>
      </c>
      <c r="CL40" s="29">
        <f>'Allocators Data'!CO40/'Allocators Data'!$DF40</f>
        <v>0</v>
      </c>
      <c r="CM40" s="20">
        <f>'Allocators Data'!CP40/'Allocators Data'!$DF40</f>
        <v>0</v>
      </c>
      <c r="CN40" s="20">
        <f>'Allocators Data'!CQ40/'Allocators Data'!$DF40</f>
        <v>0</v>
      </c>
      <c r="CO40" s="22"/>
      <c r="CP40" s="20">
        <f>'Allocators Data'!CS40/'Allocators Data'!$DF40</f>
        <v>2.085831799455229E-4</v>
      </c>
      <c r="CQ40" s="20">
        <f>'Allocators Data'!CT40/'Allocators Data'!$DF40</f>
        <v>1.6647449318198757E-3</v>
      </c>
      <c r="CR40" s="22"/>
      <c r="CS40" s="20">
        <f>'Allocators Data'!CV40/'Allocators Data'!$DF40</f>
        <v>0</v>
      </c>
      <c r="CT40" s="20">
        <f>'Allocators Data'!CW40/'Allocators Data'!$DF40</f>
        <v>0</v>
      </c>
      <c r="CU40" s="20">
        <f>'Allocators Data'!CX40/'Allocators Data'!$DF40</f>
        <v>0</v>
      </c>
      <c r="CV40" s="20">
        <f>'Allocators Data'!CY40/'Allocators Data'!$DF40</f>
        <v>0</v>
      </c>
      <c r="CW40" s="20">
        <f>'Allocators Data'!CZ40/'Allocators Data'!$DF40</f>
        <v>0</v>
      </c>
      <c r="CX40" s="20">
        <f>'Allocators Data'!DA40/'Allocators Data'!$DF40</f>
        <v>0</v>
      </c>
      <c r="CY40" s="20">
        <f>'Allocators Data'!DB40/'Allocators Data'!$DF40</f>
        <v>0</v>
      </c>
      <c r="CZ40" s="20">
        <f>'Allocators Data'!DC40/'Allocators Data'!$DF40</f>
        <v>0</v>
      </c>
      <c r="DA40" s="20">
        <f>'Allocators Data'!DD40/'Allocators Data'!$DF40</f>
        <v>0</v>
      </c>
      <c r="DB40" s="22"/>
      <c r="DC40" s="20">
        <f t="shared" si="13"/>
        <v>1.0000000000000002</v>
      </c>
    </row>
    <row r="41" spans="1:107" x14ac:dyDescent="0.2">
      <c r="A41">
        <v>9</v>
      </c>
      <c r="B41" t="s">
        <v>240</v>
      </c>
      <c r="C41" s="20">
        <f>'Allocators Data'!F41/'Allocators Data'!$DF41</f>
        <v>4.4396018829581923E-5</v>
      </c>
      <c r="D41" s="20">
        <f>'Allocators Data'!G41/'Allocators Data'!$DF41</f>
        <v>6.4410935580927768E-5</v>
      </c>
      <c r="E41" s="20">
        <f>'Allocators Data'!H41/'Allocators Data'!$DF41</f>
        <v>7.1955687937674869E-5</v>
      </c>
      <c r="F41" s="20">
        <f>'Allocators Data'!I41/'Allocators Data'!$DF41</f>
        <v>1.1516135214943895E-4</v>
      </c>
      <c r="G41" s="31">
        <f>'Allocators Data'!J41/'Allocators Data'!$DF41</f>
        <v>4.2303984347017924E-6</v>
      </c>
      <c r="H41" s="20">
        <f>'Allocators Data'!K41/'Allocators Data'!$DF41</f>
        <v>0</v>
      </c>
      <c r="I41" s="20">
        <f>'Allocators Data'!L41/'Allocators Data'!$DF41</f>
        <v>0</v>
      </c>
      <c r="J41" s="20">
        <f>'Allocators Data'!M41/'Allocators Data'!$DF41</f>
        <v>0</v>
      </c>
      <c r="K41" s="21">
        <f>'Allocators Data'!N41/'Allocators Data'!$DF41</f>
        <v>0</v>
      </c>
      <c r="L41" s="20">
        <f>'Allocators Data'!O41/'Allocators Data'!$DF41</f>
        <v>0</v>
      </c>
      <c r="M41" s="20">
        <f>'Allocators Data'!P41/'Allocators Data'!$DF41</f>
        <v>0</v>
      </c>
      <c r="N41" s="20">
        <f>'Allocators Data'!Q41/'Allocators Data'!$DF41</f>
        <v>0</v>
      </c>
      <c r="O41" s="21">
        <f>'Allocators Data'!R41/'Allocators Data'!$DF41</f>
        <v>0</v>
      </c>
      <c r="P41" s="20">
        <f>'Allocators Data'!S41/'Allocators Data'!$DF41</f>
        <v>0</v>
      </c>
      <c r="Q41" s="20">
        <f>'Allocators Data'!T41/'Allocators Data'!$DF41</f>
        <v>0</v>
      </c>
      <c r="R41" s="20">
        <f>'Allocators Data'!U41/'Allocators Data'!$DF41</f>
        <v>0</v>
      </c>
      <c r="S41" s="21">
        <f>'Allocators Data'!V41/'Allocators Data'!$DF41</f>
        <v>0</v>
      </c>
      <c r="T41" s="20">
        <f>'Allocators Data'!W41/'Allocators Data'!$DF41</f>
        <v>0</v>
      </c>
      <c r="U41" s="20">
        <f>'Allocators Data'!X41/'Allocators Data'!$DF41</f>
        <v>0</v>
      </c>
      <c r="V41" s="20">
        <f>'Allocators Data'!Y41/'Allocators Data'!$DF41</f>
        <v>0</v>
      </c>
      <c r="W41" s="20">
        <f>'Allocators Data'!Z41/'Allocators Data'!$DF41</f>
        <v>0</v>
      </c>
      <c r="X41" s="22"/>
      <c r="Y41" s="20">
        <f>'Allocators Data'!AB41/'Allocators Data'!$DF41</f>
        <v>0.15009956317308459</v>
      </c>
      <c r="Z41" s="20">
        <f>'Allocators Data'!AC41/'Allocators Data'!$DF41</f>
        <v>0.11788720665177445</v>
      </c>
      <c r="AA41" s="20">
        <f>'Allocators Data'!AD41/'Allocators Data'!$DF41</f>
        <v>1.116556968160063E-2</v>
      </c>
      <c r="AB41" s="20">
        <f>'Allocators Data'!AE41/'Allocators Data'!$DF41</f>
        <v>0</v>
      </c>
      <c r="AC41" s="20">
        <f>'Allocators Data'!AF41/'Allocators Data'!$DF41</f>
        <v>0.21518433982492935</v>
      </c>
      <c r="AD41" s="20">
        <f>'Allocators Data'!AG41/'Allocators Data'!$DF41</f>
        <v>0.12256010989119594</v>
      </c>
      <c r="AE41" s="20">
        <f>'Allocators Data'!AH41/'Allocators Data'!$DF41</f>
        <v>0.16338605998231859</v>
      </c>
      <c r="AF41" s="22"/>
      <c r="AG41" s="20">
        <f>'Allocators Data'!AJ41/'Allocators Data'!$DF41</f>
        <v>6.9873536245993433E-6</v>
      </c>
      <c r="AH41" s="20">
        <f>'Allocators Data'!AK41/'Allocators Data'!$DF41</f>
        <v>1.4580132833451389E-5</v>
      </c>
      <c r="AI41" s="20">
        <f>'Allocators Data'!AL41/'Allocators Data'!$DF41</f>
        <v>2.921197643562119E-5</v>
      </c>
      <c r="AJ41" s="20">
        <f>'Allocators Data'!AM41/'Allocators Data'!$DF41</f>
        <v>7.9759116310720649E-3</v>
      </c>
      <c r="AK41" s="20">
        <f>'Allocators Data'!AN41/'Allocators Data'!$DF41</f>
        <v>3.2415592071347752E-3</v>
      </c>
      <c r="AL41" s="21">
        <f>'Allocators Data'!AO41/'Allocators Data'!$DF41</f>
        <v>3.2893559890488609E-3</v>
      </c>
      <c r="AM41" s="20">
        <f>'Allocators Data'!AP41/'Allocators Data'!$DF41</f>
        <v>8.8814164365274687E-6</v>
      </c>
      <c r="AN41" s="20">
        <f>'Allocators Data'!AQ41/'Allocators Data'!$DF41</f>
        <v>2.0723305018564088E-5</v>
      </c>
      <c r="AO41" s="20">
        <f>'Allocators Data'!AR41/'Allocators Data'!$DF41</f>
        <v>4.4407082182637333E-5</v>
      </c>
      <c r="AP41" s="20">
        <f>'Allocators Data'!AS41/'Allocators Data'!$DF41</f>
        <v>2.1362767001994066E-2</v>
      </c>
      <c r="AQ41" s="20">
        <f>'Allocators Data'!AT41/'Allocators Data'!$DF41</f>
        <v>3.4669120414264651E-3</v>
      </c>
      <c r="AR41" s="21">
        <f>'Allocators Data'!AU41/'Allocators Data'!$DF41</f>
        <v>1.6317799505448775E-3</v>
      </c>
      <c r="AS41" s="20">
        <f>'Allocators Data'!AV41/'Allocators Data'!$DF41</f>
        <v>5.8776565538250881E-5</v>
      </c>
      <c r="AT41" s="20">
        <f>'Allocators Data'!AW41/'Allocators Data'!$DF41</f>
        <v>1.3438020040348693E-4</v>
      </c>
      <c r="AU41" s="20">
        <f>'Allocators Data'!AX41/'Allocators Data'!$DF41</f>
        <v>2.6906698598533693E-4</v>
      </c>
      <c r="AV41" s="20">
        <f>'Allocators Data'!AY41/'Allocators Data'!$DF41</f>
        <v>3.0252503167874985E-2</v>
      </c>
      <c r="AW41" s="20">
        <f>'Allocators Data'!AZ41/'Allocators Data'!$DF41</f>
        <v>2.7727860662166974E-2</v>
      </c>
      <c r="AX41" s="21">
        <f>'Allocators Data'!BA41/'Allocators Data'!$DF41</f>
        <v>2.4331058957363953E-3</v>
      </c>
      <c r="AY41" s="20">
        <f>'Allocators Data'!BB41/'Allocators Data'!$DF41</f>
        <v>2.6759233295899376E-3</v>
      </c>
      <c r="AZ41" s="20">
        <f>'Allocators Data'!BC41/'Allocators Data'!$DF41</f>
        <v>5.2832155544987056E-3</v>
      </c>
      <c r="BA41" s="20">
        <f>'Allocators Data'!BD41/'Allocators Data'!$DF41</f>
        <v>8.0143785953930343E-3</v>
      </c>
      <c r="BB41" s="20">
        <f>'Allocators Data'!BE41/'Allocators Data'!$DF41</f>
        <v>5.0529559475385025E-2</v>
      </c>
      <c r="BC41" s="20">
        <f>'Allocators Data'!BF41/'Allocators Data'!$DF41</f>
        <v>2.7862171204637867E-2</v>
      </c>
      <c r="BD41" s="21">
        <f>'Allocators Data'!BG41/'Allocators Data'!$DF41</f>
        <v>2.0416657318232993E-2</v>
      </c>
      <c r="BE41" s="20">
        <f>'Allocators Data'!BH41/'Allocators Data'!$DF41</f>
        <v>0</v>
      </c>
      <c r="BF41" s="20">
        <f>'Allocators Data'!BI41/'Allocators Data'!$DF41</f>
        <v>0</v>
      </c>
      <c r="BG41" s="20">
        <f>'Allocators Data'!BJ41/'Allocators Data'!$DF41</f>
        <v>0</v>
      </c>
      <c r="BH41" s="20">
        <f>'Allocators Data'!BK41/'Allocators Data'!$DF41</f>
        <v>0</v>
      </c>
      <c r="BI41" s="20">
        <f>'Allocators Data'!BL41/'Allocators Data'!$DF41</f>
        <v>0</v>
      </c>
      <c r="BJ41" s="21">
        <f>'Allocators Data'!BM41/'Allocators Data'!$DF41</f>
        <v>0</v>
      </c>
      <c r="BK41" s="20">
        <f>'Allocators Data'!BN41/'Allocators Data'!$DF41</f>
        <v>0</v>
      </c>
      <c r="BL41" s="20">
        <f>'Allocators Data'!BO41/'Allocators Data'!$DF41</f>
        <v>0</v>
      </c>
      <c r="BM41" s="20">
        <f>'Allocators Data'!BP41/'Allocators Data'!$DF41</f>
        <v>0</v>
      </c>
      <c r="BN41" s="20">
        <f>'Allocators Data'!BQ41/'Allocators Data'!$DF41</f>
        <v>0</v>
      </c>
      <c r="BO41" s="20">
        <f>'Allocators Data'!BR41/'Allocators Data'!$DF41</f>
        <v>0</v>
      </c>
      <c r="BP41" s="21">
        <f>'Allocators Data'!BS41/'Allocators Data'!$DF41</f>
        <v>0</v>
      </c>
      <c r="BQ41" s="20">
        <f>'Allocators Data'!BT41/'Allocators Data'!$DF41</f>
        <v>8.4017855284469496E-7</v>
      </c>
      <c r="BR41" s="20">
        <f>'Allocators Data'!BU41/'Allocators Data'!$DF41</f>
        <v>1.9604166233042883E-6</v>
      </c>
      <c r="BS41" s="20">
        <f>'Allocators Data'!BV41/'Allocators Data'!$DF41</f>
        <v>4.2008927642234747E-6</v>
      </c>
      <c r="BT41" s="20">
        <f>'Allocators Data'!BW41/'Allocators Data'!$DF41</f>
        <v>5.6456077917916886E-4</v>
      </c>
      <c r="BU41" s="20">
        <f>'Allocators Data'!BX41/'Allocators Data'!$DF41</f>
        <v>0</v>
      </c>
      <c r="BV41" s="21">
        <f>'Allocators Data'!BY41/'Allocators Data'!$DF41</f>
        <v>0</v>
      </c>
      <c r="BW41" s="22"/>
      <c r="BX41" s="20">
        <f>'Allocators Data'!CA41/'Allocators Data'!$DF41</f>
        <v>0</v>
      </c>
      <c r="BY41" s="20">
        <f>'Allocators Data'!CB41/'Allocators Data'!$DF41</f>
        <v>0</v>
      </c>
      <c r="BZ41" s="20">
        <f>'Allocators Data'!CC41/'Allocators Data'!$DF41</f>
        <v>0</v>
      </c>
      <c r="CA41" s="20">
        <f>'Allocators Data'!CD41/'Allocators Data'!$DF41</f>
        <v>0</v>
      </c>
      <c r="CB41" s="20">
        <f>'Allocators Data'!CE41/'Allocators Data'!$DF41</f>
        <v>0</v>
      </c>
      <c r="CC41" s="20">
        <f>'Allocators Data'!CF41/'Allocators Data'!$DF41</f>
        <v>0</v>
      </c>
      <c r="CD41" s="20">
        <f>'Allocators Data'!CG41/'Allocators Data'!$DF41</f>
        <v>0</v>
      </c>
      <c r="CE41" s="20">
        <f>'Allocators Data'!CH41/'Allocators Data'!$DF41</f>
        <v>0</v>
      </c>
      <c r="CF41" s="20">
        <f>'Allocators Data'!CI41/'Allocators Data'!$DF41</f>
        <v>0</v>
      </c>
      <c r="CG41" s="20">
        <f>'Allocators Data'!CJ41/'Allocators Data'!$DF41</f>
        <v>0</v>
      </c>
      <c r="CH41" s="22"/>
      <c r="CI41" s="20">
        <f>'Allocators Data'!CL41/'Allocators Data'!$DF41</f>
        <v>0</v>
      </c>
      <c r="CJ41" s="20">
        <f>'Allocators Data'!CM41/'Allocators Data'!$DF41</f>
        <v>0</v>
      </c>
      <c r="CK41" s="20">
        <f>'Allocators Data'!CN41/'Allocators Data'!$DF41</f>
        <v>0</v>
      </c>
      <c r="CL41" s="29">
        <f>'Allocators Data'!CO41/'Allocators Data'!$DF41</f>
        <v>0</v>
      </c>
      <c r="CM41" s="20">
        <f>'Allocators Data'!CP41/'Allocators Data'!$DF41</f>
        <v>0</v>
      </c>
      <c r="CN41" s="20">
        <f>'Allocators Data'!CQ41/'Allocators Data'!$DF41</f>
        <v>0</v>
      </c>
      <c r="CO41" s="22"/>
      <c r="CP41" s="20">
        <f>'Allocators Data'!CS41/'Allocators Data'!$DF41</f>
        <v>2.3323800100493673E-4</v>
      </c>
      <c r="CQ41" s="20">
        <f>'Allocators Data'!CT41/'Allocators Data'!$DF41</f>
        <v>1.8615200908442269E-3</v>
      </c>
      <c r="CR41" s="22"/>
      <c r="CS41" s="20">
        <f>'Allocators Data'!CV41/'Allocators Data'!$DF41</f>
        <v>0</v>
      </c>
      <c r="CT41" s="20">
        <f>'Allocators Data'!CW41/'Allocators Data'!$DF41</f>
        <v>0</v>
      </c>
      <c r="CU41" s="20">
        <f>'Allocators Data'!CX41/'Allocators Data'!$DF41</f>
        <v>0</v>
      </c>
      <c r="CV41" s="20">
        <f>'Allocators Data'!CY41/'Allocators Data'!$DF41</f>
        <v>0</v>
      </c>
      <c r="CW41" s="20">
        <f>'Allocators Data'!CZ41/'Allocators Data'!$DF41</f>
        <v>0</v>
      </c>
      <c r="CX41" s="20">
        <f>'Allocators Data'!DA41/'Allocators Data'!$DF41</f>
        <v>0</v>
      </c>
      <c r="CY41" s="20">
        <f>'Allocators Data'!DB41/'Allocators Data'!$DF41</f>
        <v>0</v>
      </c>
      <c r="CZ41" s="20">
        <f>'Allocators Data'!DC41/'Allocators Data'!$DF41</f>
        <v>0</v>
      </c>
      <c r="DA41" s="20">
        <f>'Allocators Data'!DD41/'Allocators Data'!$DF41</f>
        <v>0</v>
      </c>
      <c r="DB41" s="22"/>
      <c r="DC41" s="20">
        <f t="shared" si="13"/>
        <v>1</v>
      </c>
    </row>
    <row r="42" spans="1:107" x14ac:dyDescent="0.2">
      <c r="A42">
        <v>10</v>
      </c>
      <c r="B42" t="s">
        <v>241</v>
      </c>
      <c r="C42" s="20">
        <f>'Allocators Data'!F42/'Allocators Data'!$DF42</f>
        <v>5.0182205821302806E-5</v>
      </c>
      <c r="D42" s="20">
        <f>'Allocators Data'!G42/'Allocators Data'!$DF42</f>
        <v>6.4170886580468983E-5</v>
      </c>
      <c r="E42" s="20">
        <f>'Allocators Data'!H42/'Allocators Data'!$DF42</f>
        <v>6.2231043490050084E-5</v>
      </c>
      <c r="F42" s="20">
        <f>'Allocators Data'!I42/'Allocators Data'!$DF42</f>
        <v>8.639836120266837E-5</v>
      </c>
      <c r="G42" s="31">
        <f>'Allocators Data'!J42/'Allocators Data'!$DF42</f>
        <v>3.7620425106189638E-6</v>
      </c>
      <c r="H42" s="20">
        <f>'Allocators Data'!K42/'Allocators Data'!$DF42</f>
        <v>0</v>
      </c>
      <c r="I42" s="20">
        <f>'Allocators Data'!L42/'Allocators Data'!$DF42</f>
        <v>0</v>
      </c>
      <c r="J42" s="20">
        <f>'Allocators Data'!M42/'Allocators Data'!$DF42</f>
        <v>0</v>
      </c>
      <c r="K42" s="21">
        <f>'Allocators Data'!N42/'Allocators Data'!$DF42</f>
        <v>0</v>
      </c>
      <c r="L42" s="20">
        <f>'Allocators Data'!O42/'Allocators Data'!$DF42</f>
        <v>0</v>
      </c>
      <c r="M42" s="20">
        <f>'Allocators Data'!P42/'Allocators Data'!$DF42</f>
        <v>0</v>
      </c>
      <c r="N42" s="20">
        <f>'Allocators Data'!Q42/'Allocators Data'!$DF42</f>
        <v>0</v>
      </c>
      <c r="O42" s="21">
        <f>'Allocators Data'!R42/'Allocators Data'!$DF42</f>
        <v>0</v>
      </c>
      <c r="P42" s="20">
        <f>'Allocators Data'!S42/'Allocators Data'!$DF42</f>
        <v>0</v>
      </c>
      <c r="Q42" s="20">
        <f>'Allocators Data'!T42/'Allocators Data'!$DF42</f>
        <v>0</v>
      </c>
      <c r="R42" s="20">
        <f>'Allocators Data'!U42/'Allocators Data'!$DF42</f>
        <v>0</v>
      </c>
      <c r="S42" s="21">
        <f>'Allocators Data'!V42/'Allocators Data'!$DF42</f>
        <v>0</v>
      </c>
      <c r="T42" s="20">
        <f>'Allocators Data'!W42/'Allocators Data'!$DF42</f>
        <v>0</v>
      </c>
      <c r="U42" s="20">
        <f>'Allocators Data'!X42/'Allocators Data'!$DF42</f>
        <v>0</v>
      </c>
      <c r="V42" s="20">
        <f>'Allocators Data'!Y42/'Allocators Data'!$DF42</f>
        <v>0</v>
      </c>
      <c r="W42" s="20">
        <f>'Allocators Data'!Z42/'Allocators Data'!$DF42</f>
        <v>0</v>
      </c>
      <c r="X42" s="22"/>
      <c r="Y42" s="20">
        <f>'Allocators Data'!AB42/'Allocators Data'!$DF42</f>
        <v>0.15603245577496938</v>
      </c>
      <c r="Z42" s="20">
        <f>'Allocators Data'!AC42/'Allocators Data'!$DF42</f>
        <v>0.11184524987142845</v>
      </c>
      <c r="AA42" s="20">
        <f>'Allocators Data'!AD42/'Allocators Data'!$DF42</f>
        <v>1.2389202281045042E-2</v>
      </c>
      <c r="AB42" s="20">
        <f>'Allocators Data'!AE42/'Allocators Data'!$DF42</f>
        <v>0</v>
      </c>
      <c r="AC42" s="20">
        <f>'Allocators Data'!AF42/'Allocators Data'!$DF42</f>
        <v>0.20937371251604384</v>
      </c>
      <c r="AD42" s="20">
        <f>'Allocators Data'!AG42/'Allocators Data'!$DF42</f>
        <v>0.12405899065674064</v>
      </c>
      <c r="AE42" s="20">
        <f>'Allocators Data'!AH42/'Allocators Data'!$DF42</f>
        <v>0.15904174414931241</v>
      </c>
      <c r="AF42" s="22"/>
      <c r="AG42" s="20">
        <f>'Allocators Data'!AJ42/'Allocators Data'!$DF42</f>
        <v>8.1496330360048169E-6</v>
      </c>
      <c r="AH42" s="20">
        <f>'Allocators Data'!AK42/'Allocators Data'!$DF42</f>
        <v>1.7005398408706885E-5</v>
      </c>
      <c r="AI42" s="20">
        <f>'Allocators Data'!AL42/'Allocators Data'!$DF42</f>
        <v>3.4071109177672897E-5</v>
      </c>
      <c r="AJ42" s="20">
        <f>'Allocators Data'!AM42/'Allocators Data'!$DF42</f>
        <v>9.3026282070512948E-3</v>
      </c>
      <c r="AK42" s="20">
        <f>'Allocators Data'!AN42/'Allocators Data'!$DF42</f>
        <v>3.7807615618060163E-3</v>
      </c>
      <c r="AL42" s="21">
        <f>'Allocators Data'!AO42/'Allocators Data'!$DF42</f>
        <v>3.8365088810100138E-3</v>
      </c>
      <c r="AM42" s="20">
        <f>'Allocators Data'!AP42/'Allocators Data'!$DF42</f>
        <v>9.8667756266957253E-6</v>
      </c>
      <c r="AN42" s="20">
        <f>'Allocators Data'!AQ42/'Allocators Data'!$DF42</f>
        <v>2.3022476462290023E-5</v>
      </c>
      <c r="AO42" s="20">
        <f>'Allocators Data'!AR42/'Allocators Data'!$DF42</f>
        <v>4.9333878133478622E-5</v>
      </c>
      <c r="AP42" s="20">
        <f>'Allocators Data'!AS42/'Allocators Data'!$DF42</f>
        <v>2.3732884307412116E-2</v>
      </c>
      <c r="AQ42" s="20">
        <f>'Allocators Data'!AT42/'Allocators Data'!$DF42</f>
        <v>3.8515526745888299E-3</v>
      </c>
      <c r="AR42" s="21">
        <f>'Allocators Data'!AU42/'Allocators Data'!$DF42</f>
        <v>1.8128196959607975E-3</v>
      </c>
      <c r="AS42" s="20">
        <f>'Allocators Data'!AV42/'Allocators Data'!$DF42</f>
        <v>6.0034637728712491E-5</v>
      </c>
      <c r="AT42" s="20">
        <f>'Allocators Data'!AW42/'Allocators Data'!$DF42</f>
        <v>1.3725651669601111E-4</v>
      </c>
      <c r="AU42" s="20">
        <f>'Allocators Data'!AX42/'Allocators Data'!$DF42</f>
        <v>2.7482618081646715E-4</v>
      </c>
      <c r="AV42" s="20">
        <f>'Allocators Data'!AY42/'Allocators Data'!$DF42</f>
        <v>3.0900037309736113E-2</v>
      </c>
      <c r="AW42" s="20">
        <f>'Allocators Data'!AZ42/'Allocators Data'!$DF42</f>
        <v>2.8321356557692974E-2</v>
      </c>
      <c r="AX42" s="21">
        <f>'Allocators Data'!BA42/'Allocators Data'!$DF42</f>
        <v>2.4851848635332138E-3</v>
      </c>
      <c r="AY42" s="20">
        <f>'Allocators Data'!BB42/'Allocators Data'!$DF42</f>
        <v>2.6969173157435078E-3</v>
      </c>
      <c r="AZ42" s="20">
        <f>'Allocators Data'!BC42/'Allocators Data'!$DF42</f>
        <v>5.3246650807130718E-3</v>
      </c>
      <c r="BA42" s="20">
        <f>'Allocators Data'!BD42/'Allocators Data'!$DF42</f>
        <v>8.0772554915285212E-3</v>
      </c>
      <c r="BB42" s="20">
        <f>'Allocators Data'!BE42/'Allocators Data'!$DF42</f>
        <v>5.0925989694532901E-2</v>
      </c>
      <c r="BC42" s="20">
        <f>'Allocators Data'!BF42/'Allocators Data'!$DF42</f>
        <v>2.8080764177766216E-2</v>
      </c>
      <c r="BD42" s="21">
        <f>'Allocators Data'!BG42/'Allocators Data'!$DF42</f>
        <v>2.057683642960793E-2</v>
      </c>
      <c r="BE42" s="20">
        <f>'Allocators Data'!BH42/'Allocators Data'!$DF42</f>
        <v>0</v>
      </c>
      <c r="BF42" s="20">
        <f>'Allocators Data'!BI42/'Allocators Data'!$DF42</f>
        <v>0</v>
      </c>
      <c r="BG42" s="20">
        <f>'Allocators Data'!BJ42/'Allocators Data'!$DF42</f>
        <v>0</v>
      </c>
      <c r="BH42" s="20">
        <f>'Allocators Data'!BK42/'Allocators Data'!$DF42</f>
        <v>0</v>
      </c>
      <c r="BI42" s="20">
        <f>'Allocators Data'!BL42/'Allocators Data'!$DF42</f>
        <v>0</v>
      </c>
      <c r="BJ42" s="21">
        <f>'Allocators Data'!BM42/'Allocators Data'!$DF42</f>
        <v>0</v>
      </c>
      <c r="BK42" s="20">
        <f>'Allocators Data'!BN42/'Allocators Data'!$DF42</f>
        <v>0</v>
      </c>
      <c r="BL42" s="20">
        <f>'Allocators Data'!BO42/'Allocators Data'!$DF42</f>
        <v>0</v>
      </c>
      <c r="BM42" s="20">
        <f>'Allocators Data'!BP42/'Allocators Data'!$DF42</f>
        <v>0</v>
      </c>
      <c r="BN42" s="20">
        <f>'Allocators Data'!BQ42/'Allocators Data'!$DF42</f>
        <v>0</v>
      </c>
      <c r="BO42" s="20">
        <f>'Allocators Data'!BR42/'Allocators Data'!$DF42</f>
        <v>0</v>
      </c>
      <c r="BP42" s="21">
        <f>'Allocators Data'!BS42/'Allocators Data'!$DF42</f>
        <v>0</v>
      </c>
      <c r="BQ42" s="20">
        <f>'Allocators Data'!BT42/'Allocators Data'!$DF42</f>
        <v>9.1670420150182259E-7</v>
      </c>
      <c r="BR42" s="20">
        <f>'Allocators Data'!BU42/'Allocators Data'!$DF42</f>
        <v>2.1389764701709191E-6</v>
      </c>
      <c r="BS42" s="20">
        <f>'Allocators Data'!BV42/'Allocators Data'!$DF42</f>
        <v>4.5835210075091124E-6</v>
      </c>
      <c r="BT42" s="20">
        <f>'Allocators Data'!BW42/'Allocators Data'!$DF42</f>
        <v>5.3558137404676809E-4</v>
      </c>
      <c r="BU42" s="20">
        <f>'Allocators Data'!BX42/'Allocators Data'!$DF42</f>
        <v>0</v>
      </c>
      <c r="BV42" s="21">
        <f>'Allocators Data'!BY42/'Allocators Data'!$DF42</f>
        <v>0</v>
      </c>
      <c r="BW42" s="22"/>
      <c r="BX42" s="20">
        <f>'Allocators Data'!CA42/'Allocators Data'!$DF42</f>
        <v>0</v>
      </c>
      <c r="BY42" s="20">
        <f>'Allocators Data'!CB42/'Allocators Data'!$DF42</f>
        <v>0</v>
      </c>
      <c r="BZ42" s="20">
        <f>'Allocators Data'!CC42/'Allocators Data'!$DF42</f>
        <v>0</v>
      </c>
      <c r="CA42" s="20">
        <f>'Allocators Data'!CD42/'Allocators Data'!$DF42</f>
        <v>0</v>
      </c>
      <c r="CB42" s="20">
        <f>'Allocators Data'!CE42/'Allocators Data'!$DF42</f>
        <v>0</v>
      </c>
      <c r="CC42" s="20">
        <f>'Allocators Data'!CF42/'Allocators Data'!$DF42</f>
        <v>0</v>
      </c>
      <c r="CD42" s="20">
        <f>'Allocators Data'!CG42/'Allocators Data'!$DF42</f>
        <v>0</v>
      </c>
      <c r="CE42" s="20">
        <f>'Allocators Data'!CH42/'Allocators Data'!$DF42</f>
        <v>0</v>
      </c>
      <c r="CF42" s="20">
        <f>'Allocators Data'!CI42/'Allocators Data'!$DF42</f>
        <v>0</v>
      </c>
      <c r="CG42" s="20">
        <f>'Allocators Data'!CJ42/'Allocators Data'!$DF42</f>
        <v>0</v>
      </c>
      <c r="CH42" s="22"/>
      <c r="CI42" s="20">
        <f>'Allocators Data'!CL42/'Allocators Data'!$DF42</f>
        <v>0</v>
      </c>
      <c r="CJ42" s="20">
        <f>'Allocators Data'!CM42/'Allocators Data'!$DF42</f>
        <v>0</v>
      </c>
      <c r="CK42" s="20">
        <f>'Allocators Data'!CN42/'Allocators Data'!$DF42</f>
        <v>0</v>
      </c>
      <c r="CL42" s="29">
        <f>'Allocators Data'!CO42/'Allocators Data'!$DF42</f>
        <v>0</v>
      </c>
      <c r="CM42" s="20">
        <f>'Allocators Data'!CP42/'Allocators Data'!$DF42</f>
        <v>0</v>
      </c>
      <c r="CN42" s="20">
        <f>'Allocators Data'!CQ42/'Allocators Data'!$DF42</f>
        <v>0</v>
      </c>
      <c r="CO42" s="22"/>
      <c r="CP42" s="20">
        <f>'Allocators Data'!CS42/'Allocators Data'!$DF42</f>
        <v>2.3704513957054234E-4</v>
      </c>
      <c r="CQ42" s="20">
        <f>'Allocators Data'!CT42/'Allocators Data'!$DF42</f>
        <v>1.8919056407887781E-3</v>
      </c>
      <c r="CR42" s="22"/>
      <c r="CS42" s="20">
        <f>'Allocators Data'!CV42/'Allocators Data'!$DF42</f>
        <v>0</v>
      </c>
      <c r="CT42" s="20">
        <f>'Allocators Data'!CW42/'Allocators Data'!$DF42</f>
        <v>0</v>
      </c>
      <c r="CU42" s="20">
        <f>'Allocators Data'!CX42/'Allocators Data'!$DF42</f>
        <v>0</v>
      </c>
      <c r="CV42" s="20">
        <f>'Allocators Data'!CY42/'Allocators Data'!$DF42</f>
        <v>0</v>
      </c>
      <c r="CW42" s="20">
        <f>'Allocators Data'!CZ42/'Allocators Data'!$DF42</f>
        <v>0</v>
      </c>
      <c r="CX42" s="20">
        <f>'Allocators Data'!DA42/'Allocators Data'!$DF42</f>
        <v>0</v>
      </c>
      <c r="CY42" s="20">
        <f>'Allocators Data'!DB42/'Allocators Data'!$DF42</f>
        <v>0</v>
      </c>
      <c r="CZ42" s="20">
        <f>'Allocators Data'!DC42/'Allocators Data'!$DF42</f>
        <v>0</v>
      </c>
      <c r="DA42" s="20">
        <f>'Allocators Data'!DD42/'Allocators Data'!$DF42</f>
        <v>0</v>
      </c>
      <c r="DB42" s="22"/>
      <c r="DC42" s="20">
        <f t="shared" si="13"/>
        <v>0.99999999999999956</v>
      </c>
    </row>
    <row r="43" spans="1:107" x14ac:dyDescent="0.2">
      <c r="A43">
        <v>11</v>
      </c>
      <c r="B43" t="s">
        <v>242</v>
      </c>
      <c r="C43" s="20">
        <f>'Allocators Data'!F43/'Allocators Data'!$DF43</f>
        <v>4.7929718779998379E-5</v>
      </c>
      <c r="D43" s="20">
        <f>'Allocators Data'!G43/'Allocators Data'!$DF43</f>
        <v>6.7291181615652777E-5</v>
      </c>
      <c r="E43" s="20">
        <f>'Allocators Data'!H43/'Allocators Data'!$DF43</f>
        <v>7.0338757044528374E-5</v>
      </c>
      <c r="F43" s="20">
        <f>'Allocators Data'!I43/'Allocators Data'!$DF43</f>
        <v>1.0021917430163713E-4</v>
      </c>
      <c r="G43" s="31">
        <f>'Allocators Data'!J43/'Allocators Data'!$DF43</f>
        <v>3.96121335586341E-6</v>
      </c>
      <c r="H43" s="20">
        <f>'Allocators Data'!K43/'Allocators Data'!$DF43</f>
        <v>0</v>
      </c>
      <c r="I43" s="20">
        <f>'Allocators Data'!L43/'Allocators Data'!$DF43</f>
        <v>0</v>
      </c>
      <c r="J43" s="20">
        <f>'Allocators Data'!M43/'Allocators Data'!$DF43</f>
        <v>0</v>
      </c>
      <c r="K43" s="21">
        <f>'Allocators Data'!N43/'Allocators Data'!$DF43</f>
        <v>0</v>
      </c>
      <c r="L43" s="20">
        <f>'Allocators Data'!O43/'Allocators Data'!$DF43</f>
        <v>0</v>
      </c>
      <c r="M43" s="20">
        <f>'Allocators Data'!P43/'Allocators Data'!$DF43</f>
        <v>0</v>
      </c>
      <c r="N43" s="20">
        <f>'Allocators Data'!Q43/'Allocators Data'!$DF43</f>
        <v>0</v>
      </c>
      <c r="O43" s="21">
        <f>'Allocators Data'!R43/'Allocators Data'!$DF43</f>
        <v>0</v>
      </c>
      <c r="P43" s="20">
        <f>'Allocators Data'!S43/'Allocators Data'!$DF43</f>
        <v>0</v>
      </c>
      <c r="Q43" s="20">
        <f>'Allocators Data'!T43/'Allocators Data'!$DF43</f>
        <v>0</v>
      </c>
      <c r="R43" s="20">
        <f>'Allocators Data'!U43/'Allocators Data'!$DF43</f>
        <v>0</v>
      </c>
      <c r="S43" s="21">
        <f>'Allocators Data'!V43/'Allocators Data'!$DF43</f>
        <v>0</v>
      </c>
      <c r="T43" s="20">
        <f>'Allocators Data'!W43/'Allocators Data'!$DF43</f>
        <v>0</v>
      </c>
      <c r="U43" s="20">
        <f>'Allocators Data'!X43/'Allocators Data'!$DF43</f>
        <v>0</v>
      </c>
      <c r="V43" s="20">
        <f>'Allocators Data'!Y43/'Allocators Data'!$DF43</f>
        <v>0</v>
      </c>
      <c r="W43" s="20">
        <f>'Allocators Data'!Z43/'Allocators Data'!$DF43</f>
        <v>0</v>
      </c>
      <c r="X43" s="22"/>
      <c r="Y43" s="20">
        <f>'Allocators Data'!AB43/'Allocators Data'!$DF43</f>
        <v>0.1642612288054098</v>
      </c>
      <c r="Z43" s="20">
        <f>'Allocators Data'!AC43/'Allocators Data'!$DF43</f>
        <v>0.11925134145588255</v>
      </c>
      <c r="AA43" s="20">
        <f>'Allocators Data'!AD43/'Allocators Data'!$DF43</f>
        <v>1.2593241665255725E-2</v>
      </c>
      <c r="AB43" s="20">
        <f>'Allocators Data'!AE43/'Allocators Data'!$DF43</f>
        <v>0</v>
      </c>
      <c r="AC43" s="20">
        <f>'Allocators Data'!AF43/'Allocators Data'!$DF43</f>
        <v>0.18785097817826368</v>
      </c>
      <c r="AD43" s="20">
        <f>'Allocators Data'!AG43/'Allocators Data'!$DF43</f>
        <v>0.12454202593386833</v>
      </c>
      <c r="AE43" s="20">
        <f>'Allocators Data'!AH43/'Allocators Data'!$DF43</f>
        <v>0.16002106625117524</v>
      </c>
      <c r="AF43" s="22"/>
      <c r="AG43" s="20">
        <f>'Allocators Data'!AJ43/'Allocators Data'!$DF43</f>
        <v>8.3293144773989465E-6</v>
      </c>
      <c r="AH43" s="20">
        <f>'Allocators Data'!AK43/'Allocators Data'!$DF43</f>
        <v>1.7380329952748012E-5</v>
      </c>
      <c r="AI43" s="20">
        <f>'Allocators Data'!AL43/'Allocators Data'!$DF43</f>
        <v>3.4822302020331514E-5</v>
      </c>
      <c r="AJ43" s="20">
        <f>'Allocators Data'!AM43/'Allocators Data'!$DF43</f>
        <v>9.5077306500216709E-3</v>
      </c>
      <c r="AK43" s="20">
        <f>'Allocators Data'!AN43/'Allocators Data'!$DF43</f>
        <v>3.8641190190058135E-3</v>
      </c>
      <c r="AL43" s="21">
        <f>'Allocators Data'!AO43/'Allocators Data'!$DF43</f>
        <v>3.9210954436951972E-3</v>
      </c>
      <c r="AM43" s="20">
        <f>'Allocators Data'!AP43/'Allocators Data'!$DF43</f>
        <v>9.5291929329928238E-6</v>
      </c>
      <c r="AN43" s="20">
        <f>'Allocators Data'!AQ43/'Allocators Data'!$DF43</f>
        <v>2.2234783510316588E-5</v>
      </c>
      <c r="AO43" s="20">
        <f>'Allocators Data'!AR43/'Allocators Data'!$DF43</f>
        <v>4.7645964664964116E-5</v>
      </c>
      <c r="AP43" s="20">
        <f>'Allocators Data'!AS43/'Allocators Data'!$DF43</f>
        <v>2.2920885401492071E-2</v>
      </c>
      <c r="AQ43" s="20">
        <f>'Allocators Data'!AT43/'Allocators Data'!$DF43</f>
        <v>3.7197753264439693E-3</v>
      </c>
      <c r="AR43" s="21">
        <f>'Allocators Data'!AU43/'Allocators Data'!$DF43</f>
        <v>1.7507957299445493E-3</v>
      </c>
      <c r="AS43" s="20">
        <f>'Allocators Data'!AV43/'Allocators Data'!$DF43</f>
        <v>6.1479293938855419E-5</v>
      </c>
      <c r="AT43" s="20">
        <f>'Allocators Data'!AW43/'Allocators Data'!$DF43</f>
        <v>1.4055941793318546E-4</v>
      </c>
      <c r="AU43" s="20">
        <f>'Allocators Data'!AX43/'Allocators Data'!$DF43</f>
        <v>2.8143951878013547E-4</v>
      </c>
      <c r="AV43" s="20">
        <f>'Allocators Data'!AY43/'Allocators Data'!$DF43</f>
        <v>3.1643606896928085E-2</v>
      </c>
      <c r="AW43" s="20">
        <f>'Allocators Data'!AZ43/'Allocators Data'!$DF43</f>
        <v>2.9002873514880761E-2</v>
      </c>
      <c r="AX43" s="21">
        <f>'Allocators Data'!BA43/'Allocators Data'!$DF43</f>
        <v>2.5449876354376633E-3</v>
      </c>
      <c r="AY43" s="20">
        <f>'Allocators Data'!BB43/'Allocators Data'!$DF43</f>
        <v>2.7736301024494639E-3</v>
      </c>
      <c r="AZ43" s="20">
        <f>'Allocators Data'!BC43/'Allocators Data'!$DF43</f>
        <v>5.4761231525764223E-3</v>
      </c>
      <c r="BA43" s="20">
        <f>'Allocators Data'!BD43/'Allocators Data'!$DF43</f>
        <v>8.3070099501001641E-3</v>
      </c>
      <c r="BB43" s="20">
        <f>'Allocators Data'!BE43/'Allocators Data'!$DF43</f>
        <v>5.2374560090970648E-2</v>
      </c>
      <c r="BC43" s="20">
        <f>'Allocators Data'!BF43/'Allocators Data'!$DF43</f>
        <v>2.8879510828371393E-2</v>
      </c>
      <c r="BD43" s="21">
        <f>'Allocators Data'!BG43/'Allocators Data'!$DF43</f>
        <v>2.1162136711115699E-2</v>
      </c>
      <c r="BE43" s="20">
        <f>'Allocators Data'!BH43/'Allocators Data'!$DF43</f>
        <v>0</v>
      </c>
      <c r="BF43" s="20">
        <f>'Allocators Data'!BI43/'Allocators Data'!$DF43</f>
        <v>0</v>
      </c>
      <c r="BG43" s="20">
        <f>'Allocators Data'!BJ43/'Allocators Data'!$DF43</f>
        <v>0</v>
      </c>
      <c r="BH43" s="20">
        <f>'Allocators Data'!BK43/'Allocators Data'!$DF43</f>
        <v>0</v>
      </c>
      <c r="BI43" s="20">
        <f>'Allocators Data'!BL43/'Allocators Data'!$DF43</f>
        <v>0</v>
      </c>
      <c r="BJ43" s="21">
        <f>'Allocators Data'!BM43/'Allocators Data'!$DF43</f>
        <v>0</v>
      </c>
      <c r="BK43" s="20">
        <f>'Allocators Data'!BN43/'Allocators Data'!$DF43</f>
        <v>0</v>
      </c>
      <c r="BL43" s="20">
        <f>'Allocators Data'!BO43/'Allocators Data'!$DF43</f>
        <v>0</v>
      </c>
      <c r="BM43" s="20">
        <f>'Allocators Data'!BP43/'Allocators Data'!$DF43</f>
        <v>0</v>
      </c>
      <c r="BN43" s="20">
        <f>'Allocators Data'!BQ43/'Allocators Data'!$DF43</f>
        <v>0</v>
      </c>
      <c r="BO43" s="20">
        <f>'Allocators Data'!BR43/'Allocators Data'!$DF43</f>
        <v>0</v>
      </c>
      <c r="BP43" s="21">
        <f>'Allocators Data'!BS43/'Allocators Data'!$DF43</f>
        <v>0</v>
      </c>
      <c r="BQ43" s="20">
        <f>'Allocators Data'!BT42/'Allocators Data'!$DF43</f>
        <v>9.5125320580120569E-7</v>
      </c>
      <c r="BR43" s="20">
        <f>'Allocators Data'!BU42/'Allocators Data'!$DF43</f>
        <v>2.2195908135361468E-6</v>
      </c>
      <c r="BS43" s="20">
        <f>'Allocators Data'!BV42/'Allocators Data'!$DF43</f>
        <v>4.7562660290060283E-6</v>
      </c>
      <c r="BT43" s="20">
        <f>'Allocators Data'!BW43/'Allocators Data'!$DF43</f>
        <v>5.850302340997995E-4</v>
      </c>
      <c r="BU43" s="20">
        <f>'Allocators Data'!BX43/'Allocators Data'!$DF43</f>
        <v>0</v>
      </c>
      <c r="BV43" s="21">
        <f>'Allocators Data'!BY43/'Allocators Data'!$DF43</f>
        <v>0</v>
      </c>
      <c r="BW43" s="22"/>
      <c r="BX43" s="20">
        <f>'Allocators Data'!CA43/'Allocators Data'!$DF43</f>
        <v>0</v>
      </c>
      <c r="BY43" s="20">
        <f>'Allocators Data'!CB43/'Allocators Data'!$DF43</f>
        <v>0</v>
      </c>
      <c r="BZ43" s="20">
        <f>'Allocators Data'!CC43/'Allocators Data'!$DF43</f>
        <v>0</v>
      </c>
      <c r="CA43" s="20">
        <f>'Allocators Data'!CD43/'Allocators Data'!$DF43</f>
        <v>0</v>
      </c>
      <c r="CB43" s="20">
        <f>'Allocators Data'!CE43/'Allocators Data'!$DF43</f>
        <v>0</v>
      </c>
      <c r="CC43" s="20">
        <f>'Allocators Data'!CF43/'Allocators Data'!$DF43</f>
        <v>0</v>
      </c>
      <c r="CD43" s="20">
        <f>'Allocators Data'!CG43/'Allocators Data'!$DF43</f>
        <v>0</v>
      </c>
      <c r="CE43" s="20">
        <f>'Allocators Data'!CH43/'Allocators Data'!$DF43</f>
        <v>0</v>
      </c>
      <c r="CF43" s="20">
        <f>'Allocators Data'!CI43/'Allocators Data'!$DF43</f>
        <v>0</v>
      </c>
      <c r="CG43" s="20">
        <f>'Allocators Data'!CJ43/'Allocators Data'!$DF43</f>
        <v>0</v>
      </c>
      <c r="CH43" s="22"/>
      <c r="CI43" s="20">
        <f>'Allocators Data'!CL43/'Allocators Data'!$DF43</f>
        <v>0</v>
      </c>
      <c r="CJ43" s="20">
        <f>'Allocators Data'!CM43/'Allocators Data'!$DF43</f>
        <v>0</v>
      </c>
      <c r="CK43" s="20">
        <f>'Allocators Data'!CN43/'Allocators Data'!$DF43</f>
        <v>0</v>
      </c>
      <c r="CL43" s="29">
        <f>'Allocators Data'!CO43/'Allocators Data'!$DF43</f>
        <v>0</v>
      </c>
      <c r="CM43" s="20">
        <f>'Allocators Data'!CP43/'Allocators Data'!$DF43</f>
        <v>0</v>
      </c>
      <c r="CN43" s="20">
        <f>'Allocators Data'!CQ43/'Allocators Data'!$DF43</f>
        <v>0</v>
      </c>
      <c r="CO43" s="22"/>
      <c r="CP43" s="20">
        <f>'Allocators Data'!CS43/'Allocators Data'!$DF43</f>
        <v>2.3662303234958022E-4</v>
      </c>
      <c r="CQ43" s="20">
        <f>'Allocators Data'!CT43/'Allocators Data'!$DF43</f>
        <v>1.8885367169044799E-3</v>
      </c>
      <c r="CR43" s="22"/>
      <c r="CS43" s="20">
        <f>'Allocators Data'!CV43/'Allocators Data'!$DF43</f>
        <v>0</v>
      </c>
      <c r="CT43" s="20">
        <f>'Allocators Data'!CW43/'Allocators Data'!$DF43</f>
        <v>0</v>
      </c>
      <c r="CU43" s="20">
        <f>'Allocators Data'!CX43/'Allocators Data'!$DF43</f>
        <v>0</v>
      </c>
      <c r="CV43" s="20">
        <f>'Allocators Data'!CY43/'Allocators Data'!$DF43</f>
        <v>0</v>
      </c>
      <c r="CW43" s="20">
        <f>'Allocators Data'!CZ43/'Allocators Data'!$DF43</f>
        <v>0</v>
      </c>
      <c r="CX43" s="20">
        <f>'Allocators Data'!DA43/'Allocators Data'!$DF43</f>
        <v>0</v>
      </c>
      <c r="CY43" s="20">
        <f>'Allocators Data'!DB43/'Allocators Data'!$DF43</f>
        <v>0</v>
      </c>
      <c r="CZ43" s="20">
        <f>'Allocators Data'!DC43/'Allocators Data'!$DF43</f>
        <v>0</v>
      </c>
      <c r="DA43" s="20">
        <f>'Allocators Data'!DD43/'Allocators Data'!$DF43</f>
        <v>0</v>
      </c>
      <c r="DB43" s="22"/>
      <c r="DC43" s="20">
        <f t="shared" si="13"/>
        <v>0.99999999999999967</v>
      </c>
    </row>
    <row r="44" spans="1:107" x14ac:dyDescent="0.2">
      <c r="A44">
        <v>12</v>
      </c>
      <c r="B44" t="s">
        <v>243</v>
      </c>
      <c r="C44" s="20">
        <f>'Allocators Data'!F44/'Allocators Data'!$DF44</f>
        <v>5.5568483081252322E-5</v>
      </c>
      <c r="D44" s="20">
        <f>'Allocators Data'!G44/'Allocators Data'!$DF44</f>
        <v>7.4409074446511224E-5</v>
      </c>
      <c r="E44" s="20">
        <f>'Allocators Data'!H44/'Allocators Data'!$DF44</f>
        <v>8.1361641756650272E-5</v>
      </c>
      <c r="F44" s="20">
        <f>'Allocators Data'!I44/'Allocators Data'!$DF44</f>
        <v>1.1998542729053333E-4</v>
      </c>
      <c r="G44" s="31">
        <f>'Allocators Data'!J44/'Allocators Data'!$DF44</f>
        <v>4.9340279362000423E-6</v>
      </c>
      <c r="H44" s="20">
        <f>'Allocators Data'!K44/'Allocators Data'!$DF44</f>
        <v>0</v>
      </c>
      <c r="I44" s="20">
        <f>'Allocators Data'!L44/'Allocators Data'!$DF44</f>
        <v>0</v>
      </c>
      <c r="J44" s="20">
        <f>'Allocators Data'!M44/'Allocators Data'!$DF44</f>
        <v>0</v>
      </c>
      <c r="K44" s="21">
        <f>'Allocators Data'!N44/'Allocators Data'!$DF44</f>
        <v>0</v>
      </c>
      <c r="L44" s="20">
        <f>'Allocators Data'!O44/'Allocators Data'!$DF44</f>
        <v>0</v>
      </c>
      <c r="M44" s="20">
        <f>'Allocators Data'!P44/'Allocators Data'!$DF44</f>
        <v>0</v>
      </c>
      <c r="N44" s="20">
        <f>'Allocators Data'!Q44/'Allocators Data'!$DF44</f>
        <v>0</v>
      </c>
      <c r="O44" s="21">
        <f>'Allocators Data'!R44/'Allocators Data'!$DF44</f>
        <v>0</v>
      </c>
      <c r="P44" s="20">
        <f>'Allocators Data'!S44/'Allocators Data'!$DF44</f>
        <v>0</v>
      </c>
      <c r="Q44" s="20">
        <f>'Allocators Data'!T44/'Allocators Data'!$DF44</f>
        <v>0</v>
      </c>
      <c r="R44" s="20">
        <f>'Allocators Data'!U44/'Allocators Data'!$DF44</f>
        <v>0</v>
      </c>
      <c r="S44" s="21">
        <f>'Allocators Data'!V44/'Allocators Data'!$DF44</f>
        <v>0</v>
      </c>
      <c r="T44" s="20">
        <f>'Allocators Data'!W44/'Allocators Data'!$DF44</f>
        <v>0</v>
      </c>
      <c r="U44" s="20">
        <f>'Allocators Data'!X44/'Allocators Data'!$DF44</f>
        <v>0</v>
      </c>
      <c r="V44" s="20">
        <f>'Allocators Data'!Y44/'Allocators Data'!$DF44</f>
        <v>0</v>
      </c>
      <c r="W44" s="20">
        <f>'Allocators Data'!Z44/'Allocators Data'!$DF44</f>
        <v>0</v>
      </c>
      <c r="X44" s="22"/>
      <c r="Y44" s="20">
        <f>'Allocators Data'!AB44/'Allocators Data'!$DF44</f>
        <v>0.16356866476225301</v>
      </c>
      <c r="Z44" s="20">
        <f>'Allocators Data'!AC44/'Allocators Data'!$DF44</f>
        <v>0.12330078859335127</v>
      </c>
      <c r="AA44" s="20">
        <f>'Allocators Data'!AD44/'Allocators Data'!$DF44</f>
        <v>1.1738881010772821E-2</v>
      </c>
      <c r="AB44" s="20">
        <f>'Allocators Data'!AE44/'Allocators Data'!$DF44</f>
        <v>0</v>
      </c>
      <c r="AC44" s="20">
        <f>'Allocators Data'!AF44/'Allocators Data'!$DF44</f>
        <v>0.19031251933840071</v>
      </c>
      <c r="AD44" s="20">
        <f>'Allocators Data'!AG44/'Allocators Data'!$DF44</f>
        <v>0.11919963041148764</v>
      </c>
      <c r="AE44" s="20">
        <f>'Allocators Data'!AH44/'Allocators Data'!$DF44</f>
        <v>0.1585173402828122</v>
      </c>
      <c r="AF44" s="22"/>
      <c r="AG44" s="20">
        <f>'Allocators Data'!AJ44/'Allocators Data'!$DF44</f>
        <v>8.4966060840096466E-6</v>
      </c>
      <c r="AH44" s="20">
        <f>'Allocators Data'!AK44/'Allocators Data'!$DF44</f>
        <v>1.7729408298764226E-5</v>
      </c>
      <c r="AI44" s="20">
        <f>'Allocators Data'!AL44/'Allocators Data'!$DF44</f>
        <v>3.5521696774446199E-5</v>
      </c>
      <c r="AJ44" s="20">
        <f>'Allocators Data'!AM44/'Allocators Data'!$DF44</f>
        <v>9.6986903670523844E-3</v>
      </c>
      <c r="AK44" s="20">
        <f>'Allocators Data'!AN44/'Allocators Data'!$DF44</f>
        <v>3.9417286086759493E-3</v>
      </c>
      <c r="AL44" s="21">
        <f>'Allocators Data'!AO44/'Allocators Data'!$DF44</f>
        <v>3.9998493865592332E-3</v>
      </c>
      <c r="AM44" s="20">
        <f>'Allocators Data'!AP44/'Allocators Data'!$DF44</f>
        <v>1.0251793845246883E-5</v>
      </c>
      <c r="AN44" s="20">
        <f>'Allocators Data'!AQ44/'Allocators Data'!$DF44</f>
        <v>2.3920852305576059E-5</v>
      </c>
      <c r="AO44" s="20">
        <f>'Allocators Data'!AR44/'Allocators Data'!$DF44</f>
        <v>5.125896922623441E-5</v>
      </c>
      <c r="AP44" s="20">
        <f>'Allocators Data'!AS44/'Allocators Data'!$DF44</f>
        <v>2.4658981462433838E-2</v>
      </c>
      <c r="AQ44" s="20">
        <f>'Allocators Data'!AT44/'Allocators Data'!$DF44</f>
        <v>4.0018467529718358E-3</v>
      </c>
      <c r="AR44" s="21">
        <f>'Allocators Data'!AU44/'Allocators Data'!$DF44</f>
        <v>1.8835589765830141E-3</v>
      </c>
      <c r="AS44" s="20">
        <f>'Allocators Data'!AV44/'Allocators Data'!$DF44</f>
        <v>6.1909638428395903E-5</v>
      </c>
      <c r="AT44" s="20">
        <f>'Allocators Data'!AW44/'Allocators Data'!$DF44</f>
        <v>1.4154330969714623E-4</v>
      </c>
      <c r="AU44" s="20">
        <f>'Allocators Data'!AX44/'Allocators Data'!$DF44</f>
        <v>2.8340954703332937E-4</v>
      </c>
      <c r="AV44" s="20">
        <f>'Allocators Data'!AY44/'Allocators Data'!$DF44</f>
        <v>3.1865106705803926E-2</v>
      </c>
      <c r="AW44" s="20">
        <f>'Allocators Data'!AZ44/'Allocators Data'!$DF44</f>
        <v>2.9205888644013207E-2</v>
      </c>
      <c r="AX44" s="21">
        <f>'Allocators Data'!BA44/'Allocators Data'!$DF44</f>
        <v>2.5628021114130796E-3</v>
      </c>
      <c r="AY44" s="20">
        <f>'Allocators Data'!BB44/'Allocators Data'!$DF44</f>
        <v>2.7389671943096432E-3</v>
      </c>
      <c r="AZ44" s="20">
        <f>'Allocators Data'!BC44/'Allocators Data'!$DF44</f>
        <v>5.407686357910663E-3</v>
      </c>
      <c r="BA44" s="20">
        <f>'Allocators Data'!BD44/'Allocators Data'!$DF44</f>
        <v>8.2031946927727337E-3</v>
      </c>
      <c r="BB44" s="20">
        <f>'Allocators Data'!BE44/'Allocators Data'!$DF44</f>
        <v>5.1720019111013163E-2</v>
      </c>
      <c r="BC44" s="20">
        <f>'Allocators Data'!BF44/'Allocators Data'!$DF44</f>
        <v>2.8518594702575544E-2</v>
      </c>
      <c r="BD44" s="21">
        <f>'Allocators Data'!BG44/'Allocators Data'!$DF44</f>
        <v>2.0897666982361344E-2</v>
      </c>
      <c r="BE44" s="20">
        <f>'Allocators Data'!BH44/'Allocators Data'!$DF44</f>
        <v>0</v>
      </c>
      <c r="BF44" s="20">
        <f>'Allocators Data'!BI44/'Allocators Data'!$DF44</f>
        <v>0</v>
      </c>
      <c r="BG44" s="20">
        <f>'Allocators Data'!BJ44/'Allocators Data'!$DF44</f>
        <v>0</v>
      </c>
      <c r="BH44" s="20">
        <f>'Allocators Data'!BK44/'Allocators Data'!$DF44</f>
        <v>0</v>
      </c>
      <c r="BI44" s="20">
        <f>'Allocators Data'!BL44/'Allocators Data'!$DF44</f>
        <v>0</v>
      </c>
      <c r="BJ44" s="21">
        <f>'Allocators Data'!BM44/'Allocators Data'!$DF44</f>
        <v>0</v>
      </c>
      <c r="BK44" s="20">
        <f>'Allocators Data'!BN44/'Allocators Data'!$DF44</f>
        <v>0</v>
      </c>
      <c r="BL44" s="20">
        <f>'Allocators Data'!BO44/'Allocators Data'!$DF44</f>
        <v>0</v>
      </c>
      <c r="BM44" s="20">
        <f>'Allocators Data'!BP44/'Allocators Data'!$DF44</f>
        <v>0</v>
      </c>
      <c r="BN44" s="20">
        <f>'Allocators Data'!BQ44/'Allocators Data'!$DF44</f>
        <v>0</v>
      </c>
      <c r="BO44" s="20">
        <f>'Allocators Data'!BR44/'Allocators Data'!$DF44</f>
        <v>0</v>
      </c>
      <c r="BP44" s="21">
        <f>'Allocators Data'!BS44/'Allocators Data'!$DF44</f>
        <v>0</v>
      </c>
      <c r="BQ44" s="20">
        <f>'Allocators Data'!BT44/'Allocators Data'!$DF44</f>
        <v>9.6924068447571145E-7</v>
      </c>
      <c r="BR44" s="20">
        <f>'Allocators Data'!BU44/'Allocators Data'!$DF44</f>
        <v>2.2615615971099936E-6</v>
      </c>
      <c r="BS44" s="20">
        <f>'Allocators Data'!BV44/'Allocators Data'!$DF44</f>
        <v>4.846203422378557E-6</v>
      </c>
      <c r="BT44" s="20">
        <f>'Allocators Data'!BW44/'Allocators Data'!$DF44</f>
        <v>6.1808155368787965E-4</v>
      </c>
      <c r="BU44" s="20">
        <f>'Allocators Data'!BX44/'Allocators Data'!$DF44</f>
        <v>0</v>
      </c>
      <c r="BV44" s="21">
        <f>'Allocators Data'!BY44/'Allocators Data'!$DF44</f>
        <v>0</v>
      </c>
      <c r="BW44" s="22"/>
      <c r="BX44" s="20">
        <f>'Allocators Data'!CA44/'Allocators Data'!$DF44</f>
        <v>0</v>
      </c>
      <c r="BY44" s="20">
        <f>'Allocators Data'!CB44/'Allocators Data'!$DF44</f>
        <v>0</v>
      </c>
      <c r="BZ44" s="20">
        <f>'Allocators Data'!CC44/'Allocators Data'!$DF44</f>
        <v>0</v>
      </c>
      <c r="CA44" s="20">
        <f>'Allocators Data'!CD44/'Allocators Data'!$DF44</f>
        <v>0</v>
      </c>
      <c r="CB44" s="20">
        <f>'Allocators Data'!CE44/'Allocators Data'!$DF44</f>
        <v>0</v>
      </c>
      <c r="CC44" s="20">
        <f>'Allocators Data'!CF44/'Allocators Data'!$DF44</f>
        <v>0</v>
      </c>
      <c r="CD44" s="20">
        <f>'Allocators Data'!CG44/'Allocators Data'!$DF44</f>
        <v>0</v>
      </c>
      <c r="CE44" s="20">
        <f>'Allocators Data'!CH44/'Allocators Data'!$DF44</f>
        <v>0</v>
      </c>
      <c r="CF44" s="20">
        <f>'Allocators Data'!CI44/'Allocators Data'!$DF44</f>
        <v>0</v>
      </c>
      <c r="CG44" s="20">
        <f>'Allocators Data'!CJ44/'Allocators Data'!$DF44</f>
        <v>0</v>
      </c>
      <c r="CH44" s="22"/>
      <c r="CI44" s="20">
        <f>'Allocators Data'!CL44/'Allocators Data'!$DF44</f>
        <v>0</v>
      </c>
      <c r="CJ44" s="20">
        <f>'Allocators Data'!CM44/'Allocators Data'!$DF44</f>
        <v>0</v>
      </c>
      <c r="CK44" s="20">
        <f>'Allocators Data'!CN44/'Allocators Data'!$DF44</f>
        <v>0</v>
      </c>
      <c r="CL44" s="29">
        <f>'Allocators Data'!CO44/'Allocators Data'!$DF44</f>
        <v>0</v>
      </c>
      <c r="CM44" s="20">
        <f>'Allocators Data'!CP44/'Allocators Data'!$DF44</f>
        <v>0</v>
      </c>
      <c r="CN44" s="20">
        <f>'Allocators Data'!CQ44/'Allocators Data'!$DF44</f>
        <v>0</v>
      </c>
      <c r="CO44" s="22"/>
      <c r="CP44" s="20">
        <f>'Allocators Data'!CS44/'Allocators Data'!$DF44</f>
        <v>2.7403168666027323E-4</v>
      </c>
      <c r="CQ44" s="20">
        <f>'Allocators Data'!CT44/'Allocators Data'!$DF44</f>
        <v>2.1871028222164852E-3</v>
      </c>
      <c r="CR44" s="22"/>
      <c r="CS44" s="20">
        <f>'Allocators Data'!CV44/'Allocators Data'!$DF44</f>
        <v>0</v>
      </c>
      <c r="CT44" s="20">
        <f>'Allocators Data'!CW44/'Allocators Data'!$DF44</f>
        <v>0</v>
      </c>
      <c r="CU44" s="20">
        <f>'Allocators Data'!CX44/'Allocators Data'!$DF44</f>
        <v>0</v>
      </c>
      <c r="CV44" s="20">
        <f>'Allocators Data'!CY44/'Allocators Data'!$DF44</f>
        <v>0</v>
      </c>
      <c r="CW44" s="20">
        <f>'Allocators Data'!CZ44/'Allocators Data'!$DF44</f>
        <v>0</v>
      </c>
      <c r="CX44" s="20">
        <f>'Allocators Data'!DA44/'Allocators Data'!$DF44</f>
        <v>0</v>
      </c>
      <c r="CY44" s="20">
        <f>'Allocators Data'!DB44/'Allocators Data'!$DF44</f>
        <v>0</v>
      </c>
      <c r="CZ44" s="20">
        <f>'Allocators Data'!DC44/'Allocators Data'!$DF44</f>
        <v>0</v>
      </c>
      <c r="DA44" s="20">
        <f>'Allocators Data'!DD44/'Allocators Data'!$DF44</f>
        <v>0</v>
      </c>
      <c r="DB44" s="22"/>
      <c r="DC44" s="20">
        <f t="shared" si="13"/>
        <v>1.0000000000000004</v>
      </c>
    </row>
    <row r="45" spans="1:107" x14ac:dyDescent="0.2">
      <c r="A45" s="8"/>
      <c r="B45" s="11"/>
      <c r="C45" s="11"/>
      <c r="D45" s="11"/>
      <c r="E45" s="11"/>
      <c r="F45" s="14"/>
      <c r="G45" s="16"/>
      <c r="H45" s="11"/>
      <c r="I45" s="11"/>
      <c r="J45" s="11"/>
      <c r="K45" s="14"/>
      <c r="L45" s="11"/>
      <c r="M45" s="11"/>
      <c r="N45" s="11"/>
      <c r="O45" s="14"/>
      <c r="P45" s="11"/>
      <c r="Q45" s="11"/>
      <c r="R45" s="11"/>
      <c r="S45" s="14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4"/>
      <c r="AM45" s="11"/>
      <c r="AN45" s="11"/>
      <c r="AO45" s="11"/>
      <c r="AP45" s="11"/>
      <c r="AQ45" s="11"/>
      <c r="AR45" s="14"/>
      <c r="AS45" s="11"/>
      <c r="AT45" s="11"/>
      <c r="AU45" s="11"/>
      <c r="AV45" s="11"/>
      <c r="AW45" s="11"/>
      <c r="AX45" s="14"/>
      <c r="AY45" s="11"/>
      <c r="AZ45" s="11"/>
      <c r="BA45" s="11"/>
      <c r="BB45" s="11"/>
      <c r="BC45" s="11"/>
      <c r="BD45" s="14"/>
      <c r="BE45" s="11"/>
      <c r="BF45" s="11"/>
      <c r="BG45" s="11"/>
      <c r="BH45" s="11"/>
      <c r="BI45" s="11"/>
      <c r="BJ45" s="14"/>
      <c r="BK45" s="11"/>
      <c r="BL45" s="11"/>
      <c r="BM45" s="11"/>
      <c r="BN45" s="11"/>
      <c r="BO45" s="11"/>
      <c r="BP45" s="14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27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20"/>
    </row>
    <row r="46" spans="1:107" x14ac:dyDescent="0.2">
      <c r="B46" t="s">
        <v>30</v>
      </c>
      <c r="C46" s="344" t="str">
        <f>C31</f>
        <v>CSN0</v>
      </c>
      <c r="D46" s="344"/>
      <c r="E46" s="344"/>
      <c r="F46" s="345"/>
      <c r="G46" s="15" t="str">
        <f>G31</f>
        <v>CSN2</v>
      </c>
      <c r="H46" s="343" t="str">
        <f>H31</f>
        <v>CSN7</v>
      </c>
      <c r="I46" s="344"/>
      <c r="J46" s="344"/>
      <c r="K46" s="345"/>
      <c r="L46" s="343" t="str">
        <f>L31</f>
        <v>CSN8</v>
      </c>
      <c r="M46" s="344"/>
      <c r="N46" s="344"/>
      <c r="O46" s="345"/>
      <c r="P46" s="343" t="str">
        <f>P31</f>
        <v>CSN9</v>
      </c>
      <c r="Q46" s="344"/>
      <c r="R46" s="344"/>
      <c r="S46" s="345"/>
      <c r="T46" s="343" t="str">
        <f>T31</f>
        <v>SFOC</v>
      </c>
      <c r="U46" s="344"/>
      <c r="V46" s="344"/>
      <c r="W46" s="344"/>
      <c r="X46" s="11"/>
      <c r="Y46" t="str">
        <f t="shared" ref="Y46:AE46" si="14">Y31</f>
        <v>HBN0</v>
      </c>
      <c r="Z46" t="str">
        <f t="shared" si="14"/>
        <v>HCN0</v>
      </c>
      <c r="AA46" t="str">
        <f t="shared" si="14"/>
        <v>HCN3</v>
      </c>
      <c r="AB46" t="str">
        <f t="shared" si="14"/>
        <v>HSN3</v>
      </c>
      <c r="AC46" t="str">
        <f t="shared" si="14"/>
        <v>HDN0</v>
      </c>
      <c r="AD46" t="str">
        <f t="shared" si="14"/>
        <v>HPN0</v>
      </c>
      <c r="AE46" t="str">
        <f t="shared" si="14"/>
        <v>HSN0</v>
      </c>
      <c r="AF46" s="11"/>
      <c r="AG46" s="343" t="str">
        <f>AG31</f>
        <v>LBN0</v>
      </c>
      <c r="AH46" s="344"/>
      <c r="AI46" s="344"/>
      <c r="AJ46" s="344"/>
      <c r="AK46" s="344"/>
      <c r="AL46" s="345"/>
      <c r="AM46" s="343" t="str">
        <f>AM31</f>
        <v>LDN0</v>
      </c>
      <c r="AN46" s="344"/>
      <c r="AO46" s="344"/>
      <c r="AP46" s="344"/>
      <c r="AQ46" s="344"/>
      <c r="AR46" s="345"/>
      <c r="AS46" s="343" t="str">
        <f>AS31</f>
        <v>LPN0</v>
      </c>
      <c r="AT46" s="344"/>
      <c r="AU46" s="344"/>
      <c r="AV46" s="344"/>
      <c r="AW46" s="344"/>
      <c r="AX46" s="345"/>
      <c r="AY46" s="343" t="str">
        <f>AY31</f>
        <v>LSN0</v>
      </c>
      <c r="AZ46" s="344"/>
      <c r="BA46" s="344"/>
      <c r="BB46" s="344"/>
      <c r="BC46" s="344"/>
      <c r="BD46" s="345"/>
      <c r="BE46" s="343" t="str">
        <f>BE31</f>
        <v>LSN2</v>
      </c>
      <c r="BF46" s="344"/>
      <c r="BG46" s="344"/>
      <c r="BH46" s="344"/>
      <c r="BI46" s="344"/>
      <c r="BJ46" s="345"/>
      <c r="BK46" s="343" t="str">
        <f>BK31</f>
        <v>LSN3 Current</v>
      </c>
      <c r="BL46" s="344"/>
      <c r="BM46" s="344"/>
      <c r="BN46" s="344"/>
      <c r="BO46" s="344"/>
      <c r="BP46" s="344"/>
      <c r="BQ46" s="126"/>
      <c r="BR46" s="126"/>
      <c r="BS46" s="126"/>
      <c r="BT46" s="126"/>
      <c r="BU46" s="126"/>
      <c r="BV46" s="126"/>
      <c r="BW46" s="11"/>
      <c r="BX46" t="str">
        <f>BX31</f>
        <v>NUCF</v>
      </c>
      <c r="BY46" t="str">
        <f t="shared" ref="BY46:CG46" si="15">BY31</f>
        <v>NUIF</v>
      </c>
      <c r="BZ46" t="str">
        <f t="shared" si="15"/>
        <v>NUID</v>
      </c>
      <c r="CA46" t="str">
        <f t="shared" si="15"/>
        <v>NUCS</v>
      </c>
      <c r="CB46" t="str">
        <f t="shared" si="15"/>
        <v>SAES</v>
      </c>
      <c r="CC46" t="str">
        <f t="shared" si="15"/>
        <v>SASN</v>
      </c>
      <c r="CD46" t="str">
        <f t="shared" si="15"/>
        <v>SPUF</v>
      </c>
      <c r="CE46" t="str">
        <f t="shared" si="15"/>
        <v>SPUR</v>
      </c>
      <c r="CF46" t="str">
        <f t="shared" si="15"/>
        <v>SDEH</v>
      </c>
      <c r="CG46" t="str">
        <f t="shared" si="15"/>
        <v>SDED</v>
      </c>
      <c r="CH46" s="11"/>
      <c r="CI46" s="344" t="str">
        <f t="shared" ref="CI46:CN47" si="16">CI31</f>
        <v>RSN0</v>
      </c>
      <c r="CJ46" s="344"/>
      <c r="CK46" s="345"/>
      <c r="CL46" s="343" t="str">
        <f t="shared" si="16"/>
        <v>RSN2</v>
      </c>
      <c r="CM46" s="344"/>
      <c r="CN46" s="345"/>
      <c r="CO46" s="11"/>
      <c r="CP46" s="344" t="str">
        <f t="shared" ref="CP46:CQ47" si="17">CP31</f>
        <v xml:space="preserve">SWP </v>
      </c>
      <c r="CQ46" s="344"/>
      <c r="CR46" s="11"/>
      <c r="CS46" t="str">
        <f>CS31</f>
        <v>MHLS</v>
      </c>
      <c r="CT46" t="str">
        <f>CT31</f>
        <v>FS</v>
      </c>
      <c r="CU46" t="str">
        <f t="shared" ref="CU46:DA46" si="18">CU31</f>
        <v>MOLS</v>
      </c>
      <c r="CV46" t="str">
        <f t="shared" si="18"/>
        <v>MS</v>
      </c>
      <c r="CW46" t="str">
        <f>CW31</f>
        <v>SL</v>
      </c>
      <c r="CX46" t="str">
        <f t="shared" si="18"/>
        <v>TS</v>
      </c>
      <c r="CY46" t="str">
        <f t="shared" si="18"/>
        <v>UOLS</v>
      </c>
      <c r="CZ46" t="str">
        <f t="shared" si="18"/>
        <v>WHTL</v>
      </c>
      <c r="DA46" t="str">
        <f t="shared" si="18"/>
        <v>XLED</v>
      </c>
      <c r="DB46" s="11"/>
      <c r="DC46" s="20"/>
    </row>
    <row r="47" spans="1:107" x14ac:dyDescent="0.2">
      <c r="C47" t="str">
        <f t="shared" ref="C47:W47" si="19">C32</f>
        <v>First 300</v>
      </c>
      <c r="D47" t="str">
        <f t="shared" si="19"/>
        <v>Next 700</v>
      </c>
      <c r="E47" t="str">
        <f t="shared" si="19"/>
        <v>Next 1500</v>
      </c>
      <c r="F47" s="13" t="str">
        <f t="shared" si="19"/>
        <v>Over 2500</v>
      </c>
      <c r="G47" s="15"/>
      <c r="H47" t="str">
        <f t="shared" si="19"/>
        <v>First 300</v>
      </c>
      <c r="I47" t="str">
        <f t="shared" si="19"/>
        <v>Next 700</v>
      </c>
      <c r="J47" t="str">
        <f t="shared" si="19"/>
        <v>Next 1500</v>
      </c>
      <c r="K47" s="13" t="str">
        <f t="shared" si="19"/>
        <v>Over 2500</v>
      </c>
      <c r="L47" t="str">
        <f t="shared" si="19"/>
        <v>First 300</v>
      </c>
      <c r="M47" t="str">
        <f t="shared" si="19"/>
        <v>Next 700</v>
      </c>
      <c r="N47" t="str">
        <f t="shared" si="19"/>
        <v>Next 1500</v>
      </c>
      <c r="O47" s="13" t="str">
        <f t="shared" si="19"/>
        <v>Over 2500</v>
      </c>
      <c r="P47" t="str">
        <f t="shared" si="19"/>
        <v>First 300</v>
      </c>
      <c r="Q47" t="str">
        <f t="shared" si="19"/>
        <v>Next 700</v>
      </c>
      <c r="R47" t="str">
        <f t="shared" si="19"/>
        <v>Next 1500</v>
      </c>
      <c r="S47" s="13" t="str">
        <f t="shared" si="19"/>
        <v>Over 2500</v>
      </c>
      <c r="T47" t="str">
        <f t="shared" si="19"/>
        <v>First 300</v>
      </c>
      <c r="U47" t="str">
        <f t="shared" si="19"/>
        <v>Next 700</v>
      </c>
      <c r="V47" t="str">
        <f t="shared" si="19"/>
        <v>Next 1500</v>
      </c>
      <c r="W47" t="str">
        <f t="shared" si="19"/>
        <v>Over 2500</v>
      </c>
      <c r="X47" s="11"/>
      <c r="AA47" t="str">
        <f>AA32</f>
        <v xml:space="preserve"> </v>
      </c>
      <c r="AB47" t="str">
        <f>AB32</f>
        <v xml:space="preserve"> </v>
      </c>
      <c r="AF47" s="11"/>
      <c r="AG47" t="str">
        <f>AG32</f>
        <v>First 300 kWh</v>
      </c>
      <c r="AH47" t="str">
        <f>AH32</f>
        <v>Next 700 kWh</v>
      </c>
      <c r="AI47" t="str">
        <f>AI32</f>
        <v>Next 1500 kWh</v>
      </c>
      <c r="AJ47" t="str">
        <f>AJ32</f>
        <v>Over 2500 kWh</v>
      </c>
      <c r="AK47" t="str">
        <f>AK32</f>
        <v>KWH_NEXT110</v>
      </c>
      <c r="AL47" s="13" t="str">
        <f>AL32</f>
        <v>KWH_300+</v>
      </c>
      <c r="AM47" t="str">
        <f>AM32</f>
        <v>First 300 kWh</v>
      </c>
      <c r="AN47" t="str">
        <f>AN32</f>
        <v>Next 700 kWh</v>
      </c>
      <c r="AO47" t="str">
        <f>AO32</f>
        <v>Next 1500 kWh</v>
      </c>
      <c r="AP47" t="str">
        <f>AP32</f>
        <v>Over 2500 kWh</v>
      </c>
      <c r="AQ47" t="str">
        <f>AQ32</f>
        <v>KWH_NEXT110</v>
      </c>
      <c r="AR47" s="13" t="str">
        <f>AR32</f>
        <v>KWH_300+</v>
      </c>
      <c r="AS47" t="str">
        <f>AS32</f>
        <v>First 300 kWh</v>
      </c>
      <c r="AT47" t="str">
        <f>AT32</f>
        <v>Next 700 kWh</v>
      </c>
      <c r="AU47" t="str">
        <f>AU32</f>
        <v>Next 1500 kWh</v>
      </c>
      <c r="AV47" t="str">
        <f>AV32</f>
        <v>Over 2500 kWh</v>
      </c>
      <c r="AW47" t="str">
        <f>AW32</f>
        <v>KWH_NEXT110</v>
      </c>
      <c r="AX47" s="13" t="str">
        <f>AX32</f>
        <v>KWH_300+</v>
      </c>
      <c r="AY47" t="str">
        <f>AY32</f>
        <v>First 300 kWh</v>
      </c>
      <c r="AZ47" t="str">
        <f>AZ32</f>
        <v>Next 700 kWh</v>
      </c>
      <c r="BA47" t="str">
        <f>BA32</f>
        <v>Next 1500 kWh</v>
      </c>
      <c r="BB47" t="str">
        <f>BB32</f>
        <v>Over 2500 kWh</v>
      </c>
      <c r="BC47" t="str">
        <f>BC32</f>
        <v>KWH_NEXT110</v>
      </c>
      <c r="BD47" s="13" t="str">
        <f>BD32</f>
        <v>KWH_300+</v>
      </c>
      <c r="BE47" t="str">
        <f>BE32</f>
        <v>First 300 kWh</v>
      </c>
      <c r="BF47" t="str">
        <f>BF32</f>
        <v>Next 700 kWh</v>
      </c>
      <c r="BG47" t="str">
        <f>BG32</f>
        <v>Next 1500 kWh</v>
      </c>
      <c r="BH47" t="str">
        <f>BH32</f>
        <v>Over 2500 kWh</v>
      </c>
      <c r="BI47" t="str">
        <f>BI32</f>
        <v>KWH_NEXT110</v>
      </c>
      <c r="BJ47" s="13" t="str">
        <f>BJ32</f>
        <v>KWH_300+</v>
      </c>
      <c r="BK47" t="str">
        <f>BK32</f>
        <v>First 300 kWh</v>
      </c>
      <c r="BL47" t="str">
        <f>BL32</f>
        <v>Next 700 kWh</v>
      </c>
      <c r="BM47" t="str">
        <f>BM32</f>
        <v>Next 1500 kWh</v>
      </c>
      <c r="BN47" t="str">
        <f>BN32</f>
        <v>Over 2500 kWh</v>
      </c>
      <c r="BO47" t="str">
        <f>BO32</f>
        <v>KWH_NEXT110</v>
      </c>
      <c r="BP47" s="13" t="str">
        <f>BP32</f>
        <v>KWH_300+</v>
      </c>
      <c r="BW47" s="11"/>
      <c r="CH47" s="11"/>
      <c r="CI47" t="str">
        <f t="shared" si="16"/>
        <v>First 300 kWh</v>
      </c>
      <c r="CJ47" t="str">
        <f t="shared" si="16"/>
        <v>Next 700 kWh</v>
      </c>
      <c r="CK47" t="str">
        <f t="shared" si="16"/>
        <v>Over 1000 kWh</v>
      </c>
      <c r="CL47" s="25" t="str">
        <f t="shared" si="16"/>
        <v>First 300 kWh</v>
      </c>
      <c r="CM47" t="str">
        <f t="shared" si="16"/>
        <v>Next 700 kWh</v>
      </c>
      <c r="CN47" s="13" t="str">
        <f t="shared" si="16"/>
        <v>Over 1000 kWh</v>
      </c>
      <c r="CO47" s="11"/>
      <c r="CP47" t="str">
        <f t="shared" si="17"/>
        <v>First 2000</v>
      </c>
      <c r="CQ47" t="str">
        <f t="shared" si="17"/>
        <v>Over 2000</v>
      </c>
      <c r="CR47" s="11"/>
      <c r="DB47" s="11"/>
      <c r="DC47" s="20"/>
    </row>
    <row r="48" spans="1:107" x14ac:dyDescent="0.2">
      <c r="A48">
        <v>1</v>
      </c>
      <c r="B48" t="s">
        <v>232</v>
      </c>
      <c r="C48" s="20">
        <f>'Allocators Data'!F48/'Allocators Data'!$DF48</f>
        <v>6.1992288364832596E-3</v>
      </c>
      <c r="D48" s="20">
        <f>'Allocators Data'!G48/'Allocators Data'!$DF48</f>
        <v>9.0078666486472486E-3</v>
      </c>
      <c r="E48" s="20">
        <f>'Allocators Data'!H48/'Allocators Data'!$DF48</f>
        <v>9.849535486236358E-3</v>
      </c>
      <c r="F48" s="20">
        <f>'Allocators Data'!I48/'Allocators Data'!$DF48</f>
        <v>1.5053101286429052E-2</v>
      </c>
      <c r="G48" s="31">
        <f>'Allocators Data'!J48/'Allocators Data'!$DF48</f>
        <v>8.6144292489387694E-6</v>
      </c>
      <c r="H48" s="20">
        <f>'Allocators Data'!K48/'Allocators Data'!$DF48</f>
        <v>0</v>
      </c>
      <c r="I48" s="20">
        <f>'Allocators Data'!L48/'Allocators Data'!$DF48</f>
        <v>0</v>
      </c>
      <c r="J48" s="20">
        <f>'Allocators Data'!M48/'Allocators Data'!$DF48</f>
        <v>0</v>
      </c>
      <c r="K48" s="21">
        <f>'Allocators Data'!N48/'Allocators Data'!$DF48</f>
        <v>0</v>
      </c>
      <c r="L48" s="20">
        <f>'Allocators Data'!O48/'Allocators Data'!$DF48</f>
        <v>0</v>
      </c>
      <c r="M48" s="20">
        <f>'Allocators Data'!P48/'Allocators Data'!$DF48</f>
        <v>0</v>
      </c>
      <c r="N48" s="20">
        <f>'Allocators Data'!Q48/'Allocators Data'!$DF48</f>
        <v>0</v>
      </c>
      <c r="O48" s="21">
        <f>'Allocators Data'!R48/'Allocators Data'!$DF48</f>
        <v>0</v>
      </c>
      <c r="P48" s="20">
        <f>'Allocators Data'!S48/'Allocators Data'!$DF48</f>
        <v>0</v>
      </c>
      <c r="Q48" s="20">
        <f>'Allocators Data'!T48/'Allocators Data'!$DF48</f>
        <v>0</v>
      </c>
      <c r="R48" s="20">
        <f>'Allocators Data'!U48/'Allocators Data'!$DF48</f>
        <v>0</v>
      </c>
      <c r="S48" s="21">
        <f>'Allocators Data'!V48/'Allocators Data'!$DF48</f>
        <v>0</v>
      </c>
      <c r="T48" s="20">
        <f>'Allocators Data'!W48/'Allocators Data'!$DF48</f>
        <v>0</v>
      </c>
      <c r="U48" s="20">
        <f>'Allocators Data'!X48/'Allocators Data'!$DF48</f>
        <v>0</v>
      </c>
      <c r="V48" s="20">
        <f>'Allocators Data'!Y48/'Allocators Data'!$DF48</f>
        <v>0</v>
      </c>
      <c r="W48" s="20">
        <f>'Allocators Data'!Z48/'Allocators Data'!$DF48</f>
        <v>0</v>
      </c>
      <c r="X48" s="22"/>
      <c r="Y48" s="20">
        <f>'Allocators Data'!AB48/'Allocators Data'!$DF48</f>
        <v>0</v>
      </c>
      <c r="Z48" s="20">
        <f>'Allocators Data'!AC48/'Allocators Data'!$DF48</f>
        <v>5.118963432880886E-2</v>
      </c>
      <c r="AA48" s="20">
        <f>'Allocators Data'!AD48/'Allocators Data'!$DF48</f>
        <v>0</v>
      </c>
      <c r="AB48" s="20">
        <f>'Allocators Data'!AE48/'Allocators Data'!$DF48</f>
        <v>0</v>
      </c>
      <c r="AC48" s="20">
        <f>'Allocators Data'!AF48/'Allocators Data'!$DF48</f>
        <v>0</v>
      </c>
      <c r="AD48" s="20">
        <f>'Allocators Data'!AG48/'Allocators Data'!$DF48</f>
        <v>0.2083631961051266</v>
      </c>
      <c r="AE48" s="20">
        <f>'Allocators Data'!AH48/'Allocators Data'!$DF48</f>
        <v>0.16290318162981435</v>
      </c>
      <c r="AF48" s="22"/>
      <c r="AG48" s="20">
        <f>'Allocators Data'!AJ48/'Allocators Data'!$DF48</f>
        <v>0</v>
      </c>
      <c r="AH48" s="20">
        <f>'Allocators Data'!AK48/'Allocators Data'!$DF48</f>
        <v>0</v>
      </c>
      <c r="AI48" s="20">
        <f>'Allocators Data'!AL48/'Allocators Data'!$DF48</f>
        <v>0</v>
      </c>
      <c r="AJ48" s="20">
        <f>'Allocators Data'!AM48/'Allocators Data'!$DF48</f>
        <v>0</v>
      </c>
      <c r="AK48" s="20">
        <f>'Allocators Data'!AN48/'Allocators Data'!$DF48</f>
        <v>0</v>
      </c>
      <c r="AL48" s="21">
        <f>'Allocators Data'!AO48/'Allocators Data'!$DF48</f>
        <v>0</v>
      </c>
      <c r="AM48" s="20">
        <f>'Allocators Data'!AP48/'Allocators Data'!$DF48</f>
        <v>0</v>
      </c>
      <c r="AN48" s="20">
        <f>'Allocators Data'!AQ48/'Allocators Data'!$DF48</f>
        <v>0</v>
      </c>
      <c r="AO48" s="20">
        <f>'Allocators Data'!AR48/'Allocators Data'!$DF48</f>
        <v>0</v>
      </c>
      <c r="AP48" s="20">
        <f>'Allocators Data'!AS48/'Allocators Data'!$DF48</f>
        <v>0</v>
      </c>
      <c r="AQ48" s="20">
        <f>'Allocators Data'!AT48/'Allocators Data'!$DF48</f>
        <v>0</v>
      </c>
      <c r="AR48" s="21">
        <f>'Allocators Data'!AU48/'Allocators Data'!$DF48</f>
        <v>0</v>
      </c>
      <c r="AS48" s="20">
        <f>'Allocators Data'!AV48/'Allocators Data'!$DF48</f>
        <v>2.7375985481341152E-5</v>
      </c>
      <c r="AT48" s="20">
        <f>'Allocators Data'!AW48/'Allocators Data'!$DF48</f>
        <v>6.2589407556170879E-5</v>
      </c>
      <c r="AU48" s="20">
        <f>'Allocators Data'!AX48/'Allocators Data'!$DF48</f>
        <v>1.2532161133248156E-4</v>
      </c>
      <c r="AV48" s="20">
        <f>'Allocators Data'!AY48/'Allocators Data'!$DF48</f>
        <v>1.409051515538107E-2</v>
      </c>
      <c r="AW48" s="20">
        <f>'Allocators Data'!AZ48/'Allocators Data'!$DF48</f>
        <v>1.291462854225699E-2</v>
      </c>
      <c r="AX48" s="21">
        <f>'Allocators Data'!BA48/'Allocators Data'!$DF48</f>
        <v>1.1332521910096503E-3</v>
      </c>
      <c r="AY48" s="20">
        <f>'Allocators Data'!BB48/'Allocators Data'!$DF48</f>
        <v>9.6237292290683261E-3</v>
      </c>
      <c r="AZ48" s="20">
        <f>'Allocators Data'!BC48/'Allocators Data'!$DF48</f>
        <v>1.9000632564120983E-2</v>
      </c>
      <c r="BA48" s="20">
        <f>'Allocators Data'!BD48/'Allocators Data'!$DF48</f>
        <v>2.8823026687062346E-2</v>
      </c>
      <c r="BB48" s="20">
        <f>'Allocators Data'!BE48/'Allocators Data'!$DF48</f>
        <v>0.18172523595051129</v>
      </c>
      <c r="BC48" s="20">
        <f>'Allocators Data'!BF48/'Allocators Data'!$DF48</f>
        <v>0.10020391408167481</v>
      </c>
      <c r="BD48" s="21">
        <f>'Allocators Data'!BG48/'Allocators Data'!$DF48</f>
        <v>7.3426760632734636E-2</v>
      </c>
      <c r="BE48" s="20">
        <f>'Allocators Data'!BH48/'Allocators Data'!$DF48</f>
        <v>3.3158053592295108E-5</v>
      </c>
      <c r="BF48" s="20">
        <f>'Allocators Data'!BI48/'Allocators Data'!$DF48</f>
        <v>7.5912643141470501E-5</v>
      </c>
      <c r="BG48" s="20">
        <f>'Allocators Data'!BJ48/'Allocators Data'!$DF48</f>
        <v>1.5874815813593258E-4</v>
      </c>
      <c r="BH48" s="20">
        <f>'Allocators Data'!BK48/'Allocators Data'!$DF48</f>
        <v>3.248404327883603E-3</v>
      </c>
      <c r="BI48" s="20">
        <f>'Allocators Data'!BL48/'Allocators Data'!$DF48</f>
        <v>1.8398211794287205E-3</v>
      </c>
      <c r="BJ48" s="21">
        <f>'Allocators Data'!BM48/'Allocators Data'!$DF48</f>
        <v>1.9616734327458567E-3</v>
      </c>
      <c r="BK48" s="20">
        <f>'Allocators Data'!BN48/'Allocators Data'!$DF48</f>
        <v>0</v>
      </c>
      <c r="BL48" s="20">
        <f>'Allocators Data'!BO48/'Allocators Data'!$DF48</f>
        <v>0</v>
      </c>
      <c r="BM48" s="20">
        <f>'Allocators Data'!BP48/'Allocators Data'!$DF48</f>
        <v>0</v>
      </c>
      <c r="BN48" s="20">
        <f>'Allocators Data'!BQ48/'Allocators Data'!$DF48</f>
        <v>0</v>
      </c>
      <c r="BO48" s="20">
        <f>'Allocators Data'!BR48/'Allocators Data'!$DF48</f>
        <v>0</v>
      </c>
      <c r="BP48" s="21">
        <f>'Allocators Data'!BS48/'Allocators Data'!$DF48</f>
        <v>0</v>
      </c>
      <c r="BQ48" s="20">
        <f>'Allocators Data'!BT48/'Allocators Data'!$DF48</f>
        <v>0</v>
      </c>
      <c r="BR48" s="20">
        <f>'Allocators Data'!BU48/'Allocators Data'!$DF48</f>
        <v>0</v>
      </c>
      <c r="BS48" s="20">
        <f>'Allocators Data'!BV48/'Allocators Data'!$DF48</f>
        <v>0</v>
      </c>
      <c r="BT48" s="20">
        <f>'Allocators Data'!BW48/'Allocators Data'!$DF48</f>
        <v>0</v>
      </c>
      <c r="BU48" s="20">
        <f>'Allocators Data'!BX48/'Allocators Data'!$DF48</f>
        <v>0</v>
      </c>
      <c r="BV48" s="21">
        <f>'Allocators Data'!BY48/'Allocators Data'!$DF48</f>
        <v>0</v>
      </c>
      <c r="BW48" s="22"/>
      <c r="BX48" s="20">
        <f>'Allocators Data'!CA48/'Allocators Data'!$DF48</f>
        <v>0</v>
      </c>
      <c r="BY48" s="20">
        <f>'Allocators Data'!CB48/'Allocators Data'!$DF48</f>
        <v>0</v>
      </c>
      <c r="BZ48" s="20">
        <f>'Allocators Data'!CC48/'Allocators Data'!$DF48</f>
        <v>0</v>
      </c>
      <c r="CA48" s="20">
        <f>'Allocators Data'!CD48/'Allocators Data'!$DF48</f>
        <v>0</v>
      </c>
      <c r="CB48" s="20">
        <f>'Allocators Data'!CE48/'Allocators Data'!$DF48</f>
        <v>0</v>
      </c>
      <c r="CC48" s="20">
        <f>'Allocators Data'!CF48/'Allocators Data'!$DF48</f>
        <v>0</v>
      </c>
      <c r="CD48" s="20">
        <f>'Allocators Data'!CG48/'Allocators Data'!$DF48</f>
        <v>0</v>
      </c>
      <c r="CE48" s="20">
        <f>'Allocators Data'!CH48/'Allocators Data'!$DF48</f>
        <v>0</v>
      </c>
      <c r="CF48" s="20">
        <f>'Allocators Data'!CI48/'Allocators Data'!$DF48</f>
        <v>0</v>
      </c>
      <c r="CG48" s="20">
        <f>'Allocators Data'!CJ48/'Allocators Data'!$DF48</f>
        <v>0</v>
      </c>
      <c r="CH48" s="22"/>
      <c r="CI48" s="20">
        <f>'Allocators Data'!CL48/'Allocators Data'!$DF48</f>
        <v>0</v>
      </c>
      <c r="CJ48" s="20">
        <f>'Allocators Data'!CM48/'Allocators Data'!$DF48</f>
        <v>0</v>
      </c>
      <c r="CK48" s="20">
        <f>'Allocators Data'!CN48/'Allocators Data'!$DF48</f>
        <v>0</v>
      </c>
      <c r="CL48" s="29">
        <f>'Allocators Data'!CO48/'Allocators Data'!$DF48</f>
        <v>0</v>
      </c>
      <c r="CM48" s="20">
        <f>'Allocators Data'!CP48/'Allocators Data'!$DF48</f>
        <v>0</v>
      </c>
      <c r="CN48" s="20">
        <f>'Allocators Data'!CQ48/'Allocators Data'!$DF48</f>
        <v>0</v>
      </c>
      <c r="CO48" s="22"/>
      <c r="CP48" s="20">
        <f>'Allocators Data'!CS48/'Allocators Data'!$DF48</f>
        <v>9.2326456546641435E-3</v>
      </c>
      <c r="CQ48" s="20">
        <f>'Allocators Data'!CT48/'Allocators Data'!$DF48</f>
        <v>7.3687629390371837E-2</v>
      </c>
      <c r="CR48" s="22"/>
      <c r="CS48" s="20">
        <f>'Allocators Data'!CV48/'Allocators Data'!$DF48</f>
        <v>0</v>
      </c>
      <c r="CT48" s="20">
        <f>'Allocators Data'!CW48/'Allocators Data'!$DF48</f>
        <v>0</v>
      </c>
      <c r="CU48" s="20">
        <f>'Allocators Data'!CX48/'Allocators Data'!$DF48</f>
        <v>1.0807938552858201E-3</v>
      </c>
      <c r="CV48" s="20">
        <f>'Allocators Data'!CY48/'Allocators Data'!$DF48</f>
        <v>0</v>
      </c>
      <c r="CW48" s="20">
        <f>'Allocators Data'!CZ48/'Allocators Data'!$DF48</f>
        <v>0</v>
      </c>
      <c r="CX48" s="20">
        <f>'Allocators Data'!DA48/'Allocators Data'!$DF48</f>
        <v>0</v>
      </c>
      <c r="CY48" s="20">
        <f>'Allocators Data'!DB48/'Allocators Data'!$DF48</f>
        <v>4.8573964300040861E-3</v>
      </c>
      <c r="CZ48" s="20">
        <f>'Allocators Data'!DC48/'Allocators Data'!$DF48</f>
        <v>0</v>
      </c>
      <c r="DA48" s="20">
        <f>'Allocators Data'!DD48/'Allocators Data'!$DF48</f>
        <v>9.2476085761436174E-5</v>
      </c>
      <c r="DB48" s="22"/>
      <c r="DC48" s="20">
        <f t="shared" ref="DC48:DC59" si="20">SUM(C48:DA48)</f>
        <v>1</v>
      </c>
    </row>
    <row r="49" spans="1:107" x14ac:dyDescent="0.2">
      <c r="A49">
        <v>2</v>
      </c>
      <c r="B49" t="s">
        <v>233</v>
      </c>
      <c r="C49" s="20">
        <f>'Allocators Data'!F49/'Allocators Data'!$DF49</f>
        <v>6.1153369367866273E-3</v>
      </c>
      <c r="D49" s="20">
        <f>'Allocators Data'!G49/'Allocators Data'!$DF49</f>
        <v>8.7230148067339447E-3</v>
      </c>
      <c r="E49" s="20">
        <f>'Allocators Data'!H49/'Allocators Data'!$DF49</f>
        <v>9.2876200978934641E-3</v>
      </c>
      <c r="F49" s="20">
        <f>'Allocators Data'!I49/'Allocators Data'!$DF49</f>
        <v>1.3655854445393875E-2</v>
      </c>
      <c r="G49" s="31">
        <f>'Allocators Data'!J49/'Allocators Data'!$DF49</f>
        <v>7.7866728930780424E-6</v>
      </c>
      <c r="H49" s="20">
        <f>'Allocators Data'!K49/'Allocators Data'!$DF49</f>
        <v>0</v>
      </c>
      <c r="I49" s="20">
        <f>'Allocators Data'!L49/'Allocators Data'!$DF49</f>
        <v>0</v>
      </c>
      <c r="J49" s="20">
        <f>'Allocators Data'!M49/'Allocators Data'!$DF49</f>
        <v>0</v>
      </c>
      <c r="K49" s="21">
        <f>'Allocators Data'!N49/'Allocators Data'!$DF49</f>
        <v>0</v>
      </c>
      <c r="L49" s="20">
        <f>'Allocators Data'!O49/'Allocators Data'!$DF49</f>
        <v>0</v>
      </c>
      <c r="M49" s="20">
        <f>'Allocators Data'!P49/'Allocators Data'!$DF49</f>
        <v>0</v>
      </c>
      <c r="N49" s="20">
        <f>'Allocators Data'!Q49/'Allocators Data'!$DF49</f>
        <v>0</v>
      </c>
      <c r="O49" s="21">
        <f>'Allocators Data'!R49/'Allocators Data'!$DF49</f>
        <v>0</v>
      </c>
      <c r="P49" s="20">
        <f>'Allocators Data'!S49/'Allocators Data'!$DF49</f>
        <v>0</v>
      </c>
      <c r="Q49" s="20">
        <f>'Allocators Data'!T49/'Allocators Data'!$DF49</f>
        <v>0</v>
      </c>
      <c r="R49" s="20">
        <f>'Allocators Data'!U49/'Allocators Data'!$DF49</f>
        <v>0</v>
      </c>
      <c r="S49" s="21">
        <f>'Allocators Data'!V49/'Allocators Data'!$DF49</f>
        <v>0</v>
      </c>
      <c r="T49" s="20">
        <f>'Allocators Data'!W49/'Allocators Data'!$DF49</f>
        <v>0</v>
      </c>
      <c r="U49" s="20">
        <f>'Allocators Data'!X49/'Allocators Data'!$DF49</f>
        <v>0</v>
      </c>
      <c r="V49" s="20">
        <f>'Allocators Data'!Y49/'Allocators Data'!$DF49</f>
        <v>0</v>
      </c>
      <c r="W49" s="20">
        <f>'Allocators Data'!Z49/'Allocators Data'!$DF49</f>
        <v>0</v>
      </c>
      <c r="X49" s="22"/>
      <c r="Y49" s="20">
        <f>'Allocators Data'!AB49/'Allocators Data'!$DF49</f>
        <v>0</v>
      </c>
      <c r="Z49" s="20">
        <f>'Allocators Data'!AC49/'Allocators Data'!$DF49</f>
        <v>4.8174387588821498E-2</v>
      </c>
      <c r="AA49" s="20">
        <f>'Allocators Data'!AD49/'Allocators Data'!$DF49</f>
        <v>0</v>
      </c>
      <c r="AB49" s="20">
        <f>'Allocators Data'!AE49/'Allocators Data'!$DF49</f>
        <v>0</v>
      </c>
      <c r="AC49" s="20">
        <f>'Allocators Data'!AF49/'Allocators Data'!$DF49</f>
        <v>0</v>
      </c>
      <c r="AD49" s="20">
        <f>'Allocators Data'!AG49/'Allocators Data'!$DF49</f>
        <v>0.22118545282542773</v>
      </c>
      <c r="AE49" s="20">
        <f>'Allocators Data'!AH49/'Allocators Data'!$DF49</f>
        <v>0.15548905781884295</v>
      </c>
      <c r="AF49" s="22"/>
      <c r="AG49" s="20">
        <f>'Allocators Data'!AJ49/'Allocators Data'!$DF49</f>
        <v>0</v>
      </c>
      <c r="AH49" s="20">
        <f>'Allocators Data'!AK49/'Allocators Data'!$DF49</f>
        <v>0</v>
      </c>
      <c r="AI49" s="20">
        <f>'Allocators Data'!AL49/'Allocators Data'!$DF49</f>
        <v>0</v>
      </c>
      <c r="AJ49" s="20">
        <f>'Allocators Data'!AM49/'Allocators Data'!$DF49</f>
        <v>0</v>
      </c>
      <c r="AK49" s="20">
        <f>'Allocators Data'!AN49/'Allocators Data'!$DF49</f>
        <v>0</v>
      </c>
      <c r="AL49" s="21">
        <f>'Allocators Data'!AO49/'Allocators Data'!$DF49</f>
        <v>0</v>
      </c>
      <c r="AM49" s="20">
        <f>'Allocators Data'!AP49/'Allocators Data'!$DF49</f>
        <v>0</v>
      </c>
      <c r="AN49" s="20">
        <f>'Allocators Data'!AQ49/'Allocators Data'!$DF49</f>
        <v>0</v>
      </c>
      <c r="AO49" s="20">
        <f>'Allocators Data'!AR49/'Allocators Data'!$DF49</f>
        <v>0</v>
      </c>
      <c r="AP49" s="20">
        <f>'Allocators Data'!AS49/'Allocators Data'!$DF49</f>
        <v>0</v>
      </c>
      <c r="AQ49" s="20">
        <f>'Allocators Data'!AT49/'Allocators Data'!$DF49</f>
        <v>0</v>
      </c>
      <c r="AR49" s="21">
        <f>'Allocators Data'!AU49/'Allocators Data'!$DF49</f>
        <v>0</v>
      </c>
      <c r="AS49" s="20">
        <f>'Allocators Data'!AV49/'Allocators Data'!$DF49</f>
        <v>2.8608774718300448E-5</v>
      </c>
      <c r="AT49" s="20">
        <f>'Allocators Data'!AW49/'Allocators Data'!$DF49</f>
        <v>6.5407919716600559E-5</v>
      </c>
      <c r="AU49" s="20">
        <f>'Allocators Data'!AX49/'Allocators Data'!$DF49</f>
        <v>1.3096506602069288E-4</v>
      </c>
      <c r="AV49" s="20">
        <f>'Allocators Data'!AY49/'Allocators Data'!$DF49</f>
        <v>1.472503607294238E-2</v>
      </c>
      <c r="AW49" s="20">
        <f>'Allocators Data'!AZ49/'Allocators Data'!$DF49</f>
        <v>1.3496197197641951E-2</v>
      </c>
      <c r="AX49" s="21">
        <f>'Allocators Data'!BA49/'Allocators Data'!$DF49</f>
        <v>1.1842845494534932E-3</v>
      </c>
      <c r="AY49" s="20">
        <f>'Allocators Data'!BB49/'Allocators Data'!$DF49</f>
        <v>9.569416089404684E-3</v>
      </c>
      <c r="AZ49" s="20">
        <f>'Allocators Data'!BC49/'Allocators Data'!$DF49</f>
        <v>1.8893399288372161E-2</v>
      </c>
      <c r="BA49" s="20">
        <f>'Allocators Data'!BD49/'Allocators Data'!$DF49</f>
        <v>2.8660359072801667E-2</v>
      </c>
      <c r="BB49" s="20">
        <f>'Allocators Data'!BE49/'Allocators Data'!$DF49</f>
        <v>0.18069963891991572</v>
      </c>
      <c r="BC49" s="20">
        <f>'Allocators Data'!BF49/'Allocators Data'!$DF49</f>
        <v>9.9638396385694453E-2</v>
      </c>
      <c r="BD49" s="21">
        <f>'Allocators Data'!BG49/'Allocators Data'!$DF49</f>
        <v>7.3012364320206552E-2</v>
      </c>
      <c r="BE49" s="20">
        <f>'Allocators Data'!BH49/'Allocators Data'!$DF49</f>
        <v>3.1527489819033232E-5</v>
      </c>
      <c r="BF49" s="20">
        <f>'Allocators Data'!BI49/'Allocators Data'!$DF49</f>
        <v>7.2179601167384266E-5</v>
      </c>
      <c r="BG49" s="20">
        <f>'Allocators Data'!BJ49/'Allocators Data'!$DF49</f>
        <v>1.5094163852198735E-4</v>
      </c>
      <c r="BH49" s="20">
        <f>'Allocators Data'!BK49/'Allocators Data'!$DF49</f>
        <v>3.088662429789051E-3</v>
      </c>
      <c r="BI49" s="20">
        <f>'Allocators Data'!BL49/'Allocators Data'!$DF49</f>
        <v>1.7493470580781988E-3</v>
      </c>
      <c r="BJ49" s="21">
        <f>'Allocators Data'!BM49/'Allocators Data'!$DF49</f>
        <v>1.8652071662473636E-3</v>
      </c>
      <c r="BK49" s="20">
        <f>'Allocators Data'!BN49/'Allocators Data'!$DF49</f>
        <v>0</v>
      </c>
      <c r="BL49" s="20">
        <f>'Allocators Data'!BO49/'Allocators Data'!$DF49</f>
        <v>0</v>
      </c>
      <c r="BM49" s="20">
        <f>'Allocators Data'!BP49/'Allocators Data'!$DF49</f>
        <v>0</v>
      </c>
      <c r="BN49" s="20">
        <f>'Allocators Data'!BQ49/'Allocators Data'!$DF49</f>
        <v>0</v>
      </c>
      <c r="BO49" s="20">
        <f>'Allocators Data'!BR49/'Allocators Data'!$DF49</f>
        <v>0</v>
      </c>
      <c r="BP49" s="21">
        <f>'Allocators Data'!BS49/'Allocators Data'!$DF49</f>
        <v>0</v>
      </c>
      <c r="BQ49" s="20">
        <f>'Allocators Data'!BT49/'Allocators Data'!$DF49</f>
        <v>0</v>
      </c>
      <c r="BR49" s="20">
        <f>'Allocators Data'!BU49/'Allocators Data'!$DF49</f>
        <v>0</v>
      </c>
      <c r="BS49" s="20">
        <f>'Allocators Data'!BV49/'Allocators Data'!$DF49</f>
        <v>0</v>
      </c>
      <c r="BT49" s="20">
        <f>'Allocators Data'!BW49/'Allocators Data'!$DF49</f>
        <v>0</v>
      </c>
      <c r="BU49" s="20">
        <f>'Allocators Data'!BX49/'Allocators Data'!$DF49</f>
        <v>0</v>
      </c>
      <c r="BV49" s="21">
        <f>'Allocators Data'!BY49/'Allocators Data'!$DF49</f>
        <v>0</v>
      </c>
      <c r="BW49" s="22"/>
      <c r="BX49" s="20">
        <f>'Allocators Data'!CA49/'Allocators Data'!$DF49</f>
        <v>0</v>
      </c>
      <c r="BY49" s="20">
        <f>'Allocators Data'!CB49/'Allocators Data'!$DF49</f>
        <v>0</v>
      </c>
      <c r="BZ49" s="20">
        <f>'Allocators Data'!CC49/'Allocators Data'!$DF49</f>
        <v>0</v>
      </c>
      <c r="CA49" s="20">
        <f>'Allocators Data'!CD49/'Allocators Data'!$DF49</f>
        <v>0</v>
      </c>
      <c r="CB49" s="20">
        <f>'Allocators Data'!CE49/'Allocators Data'!$DF49</f>
        <v>0</v>
      </c>
      <c r="CC49" s="20">
        <f>'Allocators Data'!CF49/'Allocators Data'!$DF49</f>
        <v>0</v>
      </c>
      <c r="CD49" s="20">
        <f>'Allocators Data'!CG49/'Allocators Data'!$DF49</f>
        <v>0</v>
      </c>
      <c r="CE49" s="20">
        <f>'Allocators Data'!CH49/'Allocators Data'!$DF49</f>
        <v>0</v>
      </c>
      <c r="CF49" s="20">
        <f>'Allocators Data'!CI49/'Allocators Data'!$DF49</f>
        <v>0</v>
      </c>
      <c r="CG49" s="20">
        <f>'Allocators Data'!CJ49/'Allocators Data'!$DF49</f>
        <v>0</v>
      </c>
      <c r="CH49" s="22"/>
      <c r="CI49" s="20">
        <f>'Allocators Data'!CL49/'Allocators Data'!$DF49</f>
        <v>0</v>
      </c>
      <c r="CJ49" s="20">
        <f>'Allocators Data'!CM49/'Allocators Data'!$DF49</f>
        <v>0</v>
      </c>
      <c r="CK49" s="20">
        <f>'Allocators Data'!CN49/'Allocators Data'!$DF49</f>
        <v>0</v>
      </c>
      <c r="CL49" s="29">
        <f>'Allocators Data'!CO49/'Allocators Data'!$DF49</f>
        <v>0</v>
      </c>
      <c r="CM49" s="20">
        <f>'Allocators Data'!CP49/'Allocators Data'!$DF49</f>
        <v>0</v>
      </c>
      <c r="CN49" s="20">
        <f>'Allocators Data'!CQ49/'Allocators Data'!$DF49</f>
        <v>0</v>
      </c>
      <c r="CO49" s="22"/>
      <c r="CP49" s="20">
        <f>'Allocators Data'!CS49/'Allocators Data'!$DF49</f>
        <v>9.3940535050420996E-3</v>
      </c>
      <c r="CQ49" s="20">
        <f>'Allocators Data'!CT49/'Allocators Data'!$DF49</f>
        <v>7.4975858388236505E-2</v>
      </c>
      <c r="CR49" s="22"/>
      <c r="CS49" s="20">
        <f>'Allocators Data'!CV49/'Allocators Data'!$DF49</f>
        <v>0</v>
      </c>
      <c r="CT49" s="20">
        <f>'Allocators Data'!CW49/'Allocators Data'!$DF49</f>
        <v>0</v>
      </c>
      <c r="CU49" s="20">
        <f>'Allocators Data'!CX49/'Allocators Data'!$DF49</f>
        <v>9.183838153407882E-4</v>
      </c>
      <c r="CV49" s="20">
        <f>'Allocators Data'!CY49/'Allocators Data'!$DF49</f>
        <v>0</v>
      </c>
      <c r="CW49" s="20">
        <f>'Allocators Data'!CZ49/'Allocators Data'!$DF49</f>
        <v>0</v>
      </c>
      <c r="CX49" s="20">
        <f>'Allocators Data'!DA49/'Allocators Data'!$DF49</f>
        <v>0</v>
      </c>
      <c r="CY49" s="20">
        <f>'Allocators Data'!DB49/'Allocators Data'!$DF49</f>
        <v>4.9125406295838807E-3</v>
      </c>
      <c r="CZ49" s="20">
        <f>'Allocators Data'!DC49/'Allocators Data'!$DF49</f>
        <v>0</v>
      </c>
      <c r="DA49" s="20">
        <f>'Allocators Data'!DD49/'Allocators Data'!$DF49</f>
        <v>9.8713428491948373E-5</v>
      </c>
      <c r="DB49" s="22"/>
      <c r="DC49" s="20">
        <f t="shared" si="20"/>
        <v>1</v>
      </c>
    </row>
    <row r="50" spans="1:107" x14ac:dyDescent="0.2">
      <c r="A50">
        <v>3</v>
      </c>
      <c r="B50" t="s">
        <v>234</v>
      </c>
      <c r="C50" s="20">
        <f>'Allocators Data'!F50/'Allocators Data'!$DF50</f>
        <v>6.0612783635221124E-3</v>
      </c>
      <c r="D50" s="20">
        <f>'Allocators Data'!G50/'Allocators Data'!$DF50</f>
        <v>8.3218954343495747E-3</v>
      </c>
      <c r="E50" s="20">
        <f>'Allocators Data'!H50/'Allocators Data'!$DF50</f>
        <v>8.3993162044229495E-3</v>
      </c>
      <c r="F50" s="20">
        <f>'Allocators Data'!I50/'Allocators Data'!$DF50</f>
        <v>1.187727518506993E-2</v>
      </c>
      <c r="G50" s="31">
        <f>'Allocators Data'!J50/'Allocators Data'!$DF50</f>
        <v>5.9000609067499637E-6</v>
      </c>
      <c r="H50" s="20">
        <f>'Allocators Data'!K50/'Allocators Data'!$DF50</f>
        <v>0</v>
      </c>
      <c r="I50" s="20">
        <f>'Allocators Data'!L50/'Allocators Data'!$DF50</f>
        <v>0</v>
      </c>
      <c r="J50" s="20">
        <f>'Allocators Data'!M50/'Allocators Data'!$DF50</f>
        <v>0</v>
      </c>
      <c r="K50" s="21">
        <f>'Allocators Data'!N50/'Allocators Data'!$DF50</f>
        <v>0</v>
      </c>
      <c r="L50" s="20">
        <f>'Allocators Data'!O50/'Allocators Data'!$DF50</f>
        <v>0</v>
      </c>
      <c r="M50" s="20">
        <f>'Allocators Data'!P50/'Allocators Data'!$DF50</f>
        <v>0</v>
      </c>
      <c r="N50" s="20">
        <f>'Allocators Data'!Q50/'Allocators Data'!$DF50</f>
        <v>0</v>
      </c>
      <c r="O50" s="21">
        <f>'Allocators Data'!R50/'Allocators Data'!$DF50</f>
        <v>0</v>
      </c>
      <c r="P50" s="20">
        <f>'Allocators Data'!S50/'Allocators Data'!$DF50</f>
        <v>0</v>
      </c>
      <c r="Q50" s="20">
        <f>'Allocators Data'!T50/'Allocators Data'!$DF50</f>
        <v>0</v>
      </c>
      <c r="R50" s="20">
        <f>'Allocators Data'!U50/'Allocators Data'!$DF50</f>
        <v>0</v>
      </c>
      <c r="S50" s="21">
        <f>'Allocators Data'!V50/'Allocators Data'!$DF50</f>
        <v>0</v>
      </c>
      <c r="T50" s="20">
        <f>'Allocators Data'!W50/'Allocators Data'!$DF50</f>
        <v>0</v>
      </c>
      <c r="U50" s="20">
        <f>'Allocators Data'!X50/'Allocators Data'!$DF50</f>
        <v>0</v>
      </c>
      <c r="V50" s="20">
        <f>'Allocators Data'!Y50/'Allocators Data'!$DF50</f>
        <v>0</v>
      </c>
      <c r="W50" s="20">
        <f>'Allocators Data'!Z50/'Allocators Data'!$DF50</f>
        <v>0</v>
      </c>
      <c r="X50" s="22"/>
      <c r="Y50" s="20">
        <f>'Allocators Data'!AB50/'Allocators Data'!$DF50</f>
        <v>0</v>
      </c>
      <c r="Z50" s="20">
        <f>'Allocators Data'!AC50/'Allocators Data'!$DF50</f>
        <v>5.4953505348914258E-2</v>
      </c>
      <c r="AA50" s="20">
        <f>'Allocators Data'!AD50/'Allocators Data'!$DF50</f>
        <v>0</v>
      </c>
      <c r="AB50" s="20">
        <f>'Allocators Data'!AE50/'Allocators Data'!$DF50</f>
        <v>0</v>
      </c>
      <c r="AC50" s="20">
        <f>'Allocators Data'!AF50/'Allocators Data'!$DF50</f>
        <v>0</v>
      </c>
      <c r="AD50" s="20">
        <f>'Allocators Data'!AG50/'Allocators Data'!$DF50</f>
        <v>0.2168590486422686</v>
      </c>
      <c r="AE50" s="20">
        <f>'Allocators Data'!AH50/'Allocators Data'!$DF50</f>
        <v>0.15957322128445883</v>
      </c>
      <c r="AF50" s="22"/>
      <c r="AG50" s="20">
        <f>'Allocators Data'!AJ50/'Allocators Data'!$DF50</f>
        <v>0</v>
      </c>
      <c r="AH50" s="20">
        <f>'Allocators Data'!AK50/'Allocators Data'!$DF50</f>
        <v>0</v>
      </c>
      <c r="AI50" s="20">
        <f>'Allocators Data'!AL50/'Allocators Data'!$DF50</f>
        <v>0</v>
      </c>
      <c r="AJ50" s="20">
        <f>'Allocators Data'!AM50/'Allocators Data'!$DF50</f>
        <v>0</v>
      </c>
      <c r="AK50" s="20">
        <f>'Allocators Data'!AN50/'Allocators Data'!$DF50</f>
        <v>0</v>
      </c>
      <c r="AL50" s="21">
        <f>'Allocators Data'!AO50/'Allocators Data'!$DF50</f>
        <v>0</v>
      </c>
      <c r="AM50" s="20">
        <f>'Allocators Data'!AP50/'Allocators Data'!$DF50</f>
        <v>0</v>
      </c>
      <c r="AN50" s="20">
        <f>'Allocators Data'!AQ50/'Allocators Data'!$DF50</f>
        <v>0</v>
      </c>
      <c r="AO50" s="20">
        <f>'Allocators Data'!AR50/'Allocators Data'!$DF50</f>
        <v>0</v>
      </c>
      <c r="AP50" s="20">
        <f>'Allocators Data'!AS50/'Allocators Data'!$DF50</f>
        <v>0</v>
      </c>
      <c r="AQ50" s="20">
        <f>'Allocators Data'!AT50/'Allocators Data'!$DF50</f>
        <v>0</v>
      </c>
      <c r="AR50" s="21">
        <f>'Allocators Data'!AU50/'Allocators Data'!$DF50</f>
        <v>0</v>
      </c>
      <c r="AS50" s="20">
        <f>'Allocators Data'!AV50/'Allocators Data'!$DF50</f>
        <v>2.8997585337793952E-5</v>
      </c>
      <c r="AT50" s="20">
        <f>'Allocators Data'!AW50/'Allocators Data'!$DF50</f>
        <v>6.629685306083515E-5</v>
      </c>
      <c r="AU50" s="20">
        <f>'Allocators Data'!AX50/'Allocators Data'!$DF50</f>
        <v>1.3274496078909554E-4</v>
      </c>
      <c r="AV50" s="20">
        <f>'Allocators Data'!AY50/'Allocators Data'!$DF50</f>
        <v>1.4925158254124873E-2</v>
      </c>
      <c r="AW50" s="20">
        <f>'Allocators Data'!AZ50/'Allocators Data'!$DF50</f>
        <v>1.3679618712365718E-2</v>
      </c>
      <c r="AX50" s="21">
        <f>'Allocators Data'!BA50/'Allocators Data'!$DF50</f>
        <v>1.2003796955708504E-3</v>
      </c>
      <c r="AY50" s="20">
        <f>'Allocators Data'!BB50/'Allocators Data'!$DF50</f>
        <v>9.4603350745645874E-3</v>
      </c>
      <c r="AZ50" s="20">
        <f>'Allocators Data'!BC50/'Allocators Data'!$DF50</f>
        <v>1.8678034928739328E-2</v>
      </c>
      <c r="BA50" s="20">
        <f>'Allocators Data'!BD50/'Allocators Data'!$DF50</f>
        <v>2.8333661913420728E-2</v>
      </c>
      <c r="BB50" s="20">
        <f>'Allocators Data'!BE50/'Allocators Data'!$DF50</f>
        <v>0.17863985807117122</v>
      </c>
      <c r="BC50" s="20">
        <f>'Allocators Data'!BF50/'Allocators Data'!$DF50</f>
        <v>9.8502626209829178E-2</v>
      </c>
      <c r="BD50" s="21">
        <f>'Allocators Data'!BG50/'Allocators Data'!$DF50</f>
        <v>7.2180102171553517E-2</v>
      </c>
      <c r="BE50" s="20">
        <f>'Allocators Data'!BH50/'Allocators Data'!$DF50</f>
        <v>3.0300035163464684E-5</v>
      </c>
      <c r="BF50" s="20">
        <f>'Allocators Data'!BI50/'Allocators Data'!$DF50</f>
        <v>6.9369444443885767E-5</v>
      </c>
      <c r="BG50" s="20">
        <f>'Allocators Data'!BJ50/'Allocators Data'!$DF50</f>
        <v>1.4506505215287186E-4</v>
      </c>
      <c r="BH50" s="20">
        <f>'Allocators Data'!BK50/'Allocators Data'!$DF50</f>
        <v>2.9684120355874975E-3</v>
      </c>
      <c r="BI50" s="20">
        <f>'Allocators Data'!BL50/'Allocators Data'!$DF50</f>
        <v>1.6812400123549797E-3</v>
      </c>
      <c r="BJ50" s="21">
        <f>'Allocators Data'!BM50/'Allocators Data'!$DF50</f>
        <v>1.7925893576951591E-3</v>
      </c>
      <c r="BK50" s="20">
        <f>'Allocators Data'!BN50/'Allocators Data'!$DF50</f>
        <v>0</v>
      </c>
      <c r="BL50" s="20">
        <f>'Allocators Data'!BO50/'Allocators Data'!$DF50</f>
        <v>0</v>
      </c>
      <c r="BM50" s="20">
        <f>'Allocators Data'!BP50/'Allocators Data'!$DF50</f>
        <v>0</v>
      </c>
      <c r="BN50" s="20">
        <f>'Allocators Data'!BQ50/'Allocators Data'!$DF50</f>
        <v>0</v>
      </c>
      <c r="BO50" s="20">
        <f>'Allocators Data'!BR50/'Allocators Data'!$DF50</f>
        <v>0</v>
      </c>
      <c r="BP50" s="21">
        <f>'Allocators Data'!BS50/'Allocators Data'!$DF50</f>
        <v>0</v>
      </c>
      <c r="BQ50" s="20">
        <f>'Allocators Data'!BT50/'Allocators Data'!$DF50</f>
        <v>0</v>
      </c>
      <c r="BR50" s="20">
        <f>'Allocators Data'!BU50/'Allocators Data'!$DF50</f>
        <v>0</v>
      </c>
      <c r="BS50" s="20">
        <f>'Allocators Data'!BV50/'Allocators Data'!$DF50</f>
        <v>0</v>
      </c>
      <c r="BT50" s="20">
        <f>'Allocators Data'!BW50/'Allocators Data'!$DF50</f>
        <v>0</v>
      </c>
      <c r="BU50" s="20">
        <f>'Allocators Data'!BX50/'Allocators Data'!$DF50</f>
        <v>0</v>
      </c>
      <c r="BV50" s="21">
        <f>'Allocators Data'!BY50/'Allocators Data'!$DF50</f>
        <v>0</v>
      </c>
      <c r="BW50" s="22"/>
      <c r="BX50" s="20">
        <f>'Allocators Data'!CA50/'Allocators Data'!$DF50</f>
        <v>0</v>
      </c>
      <c r="BY50" s="20">
        <f>'Allocators Data'!CB50/'Allocators Data'!$DF50</f>
        <v>0</v>
      </c>
      <c r="BZ50" s="20">
        <f>'Allocators Data'!CC50/'Allocators Data'!$DF50</f>
        <v>0</v>
      </c>
      <c r="CA50" s="20">
        <f>'Allocators Data'!CD50/'Allocators Data'!$DF50</f>
        <v>0</v>
      </c>
      <c r="CB50" s="20">
        <f>'Allocators Data'!CE50/'Allocators Data'!$DF50</f>
        <v>0</v>
      </c>
      <c r="CC50" s="20">
        <f>'Allocators Data'!CF50/'Allocators Data'!$DF50</f>
        <v>0</v>
      </c>
      <c r="CD50" s="20">
        <f>'Allocators Data'!CG50/'Allocators Data'!$DF50</f>
        <v>0</v>
      </c>
      <c r="CE50" s="20">
        <f>'Allocators Data'!CH50/'Allocators Data'!$DF50</f>
        <v>0</v>
      </c>
      <c r="CF50" s="20">
        <f>'Allocators Data'!CI50/'Allocators Data'!$DF50</f>
        <v>0</v>
      </c>
      <c r="CG50" s="20">
        <f>'Allocators Data'!CJ50/'Allocators Data'!$DF50</f>
        <v>0</v>
      </c>
      <c r="CH50" s="22"/>
      <c r="CI50" s="20">
        <f>'Allocators Data'!CL50/'Allocators Data'!$DF50</f>
        <v>0</v>
      </c>
      <c r="CJ50" s="20">
        <f>'Allocators Data'!CM50/'Allocators Data'!$DF50</f>
        <v>0</v>
      </c>
      <c r="CK50" s="20">
        <f>'Allocators Data'!CN50/'Allocators Data'!$DF50</f>
        <v>0</v>
      </c>
      <c r="CL50" s="29">
        <f>'Allocators Data'!CO50/'Allocators Data'!$DF50</f>
        <v>0</v>
      </c>
      <c r="CM50" s="20">
        <f>'Allocators Data'!CP50/'Allocators Data'!$DF50</f>
        <v>0</v>
      </c>
      <c r="CN50" s="20">
        <f>'Allocators Data'!CQ50/'Allocators Data'!$DF50</f>
        <v>0</v>
      </c>
      <c r="CO50" s="22"/>
      <c r="CP50" s="20">
        <f>'Allocators Data'!CS50/'Allocators Data'!$DF50</f>
        <v>9.5124202813319063E-3</v>
      </c>
      <c r="CQ50" s="20">
        <f>'Allocators Data'!CT50/'Allocators Data'!$DF50</f>
        <v>7.5920567788945487E-2</v>
      </c>
      <c r="CR50" s="22"/>
      <c r="CS50" s="20">
        <f>'Allocators Data'!CV50/'Allocators Data'!$DF50</f>
        <v>0</v>
      </c>
      <c r="CT50" s="20">
        <f>'Allocators Data'!CW50/'Allocators Data'!$DF50</f>
        <v>0</v>
      </c>
      <c r="CU50" s="20">
        <f>'Allocators Data'!CX50/'Allocators Data'!$DF50</f>
        <v>8.632063921145916E-4</v>
      </c>
      <c r="CV50" s="20">
        <f>'Allocators Data'!CY50/'Allocators Data'!$DF50</f>
        <v>0</v>
      </c>
      <c r="CW50" s="20">
        <f>'Allocators Data'!CZ50/'Allocators Data'!$DF50</f>
        <v>0</v>
      </c>
      <c r="CX50" s="20">
        <f>'Allocators Data'!DA50/'Allocators Data'!$DF50</f>
        <v>0</v>
      </c>
      <c r="CY50" s="20">
        <f>'Allocators Data'!DB50/'Allocators Data'!$DF50</f>
        <v>5.0320267064372778E-3</v>
      </c>
      <c r="CZ50" s="20">
        <f>'Allocators Data'!DC50/'Allocators Data'!$DF50</f>
        <v>0</v>
      </c>
      <c r="DA50" s="20">
        <f>'Allocators Data'!DD50/'Allocators Data'!$DF50</f>
        <v>1.055479393323285E-4</v>
      </c>
      <c r="DB50" s="22"/>
      <c r="DC50" s="20">
        <f t="shared" si="20"/>
        <v>1.0000000000000002</v>
      </c>
    </row>
    <row r="51" spans="1:107" x14ac:dyDescent="0.2">
      <c r="A51">
        <v>4</v>
      </c>
      <c r="B51" t="s">
        <v>235</v>
      </c>
      <c r="C51" s="20">
        <f>'Allocators Data'!F51/'Allocators Data'!$DF51</f>
        <v>5.7240974535204842E-3</v>
      </c>
      <c r="D51" s="20">
        <f>'Allocators Data'!G51/'Allocators Data'!$DF51</f>
        <v>7.6425948877610851E-3</v>
      </c>
      <c r="E51" s="20">
        <f>'Allocators Data'!H51/'Allocators Data'!$DF51</f>
        <v>7.4573056440422024E-3</v>
      </c>
      <c r="F51" s="20">
        <f>'Allocators Data'!I51/'Allocators Data'!$DF51</f>
        <v>1.0543573369115496E-2</v>
      </c>
      <c r="G51" s="31">
        <f>'Allocators Data'!J51/'Allocators Data'!$DF51</f>
        <v>6.7636030836641147E-6</v>
      </c>
      <c r="H51" s="20">
        <f>'Allocators Data'!K51/'Allocators Data'!$DF51</f>
        <v>0</v>
      </c>
      <c r="I51" s="20">
        <f>'Allocators Data'!L51/'Allocators Data'!$DF51</f>
        <v>0</v>
      </c>
      <c r="J51" s="20">
        <f>'Allocators Data'!M51/'Allocators Data'!$DF51</f>
        <v>0</v>
      </c>
      <c r="K51" s="21">
        <f>'Allocators Data'!N51/'Allocators Data'!$DF51</f>
        <v>0</v>
      </c>
      <c r="L51" s="20">
        <f>'Allocators Data'!O51/'Allocators Data'!$DF51</f>
        <v>0</v>
      </c>
      <c r="M51" s="20">
        <f>'Allocators Data'!P51/'Allocators Data'!$DF51</f>
        <v>0</v>
      </c>
      <c r="N51" s="20">
        <f>'Allocators Data'!Q51/'Allocators Data'!$DF51</f>
        <v>0</v>
      </c>
      <c r="O51" s="21">
        <f>'Allocators Data'!R51/'Allocators Data'!$DF51</f>
        <v>0</v>
      </c>
      <c r="P51" s="20">
        <f>'Allocators Data'!S51/'Allocators Data'!$DF51</f>
        <v>0</v>
      </c>
      <c r="Q51" s="20">
        <f>'Allocators Data'!T51/'Allocators Data'!$DF51</f>
        <v>0</v>
      </c>
      <c r="R51" s="20">
        <f>'Allocators Data'!U51/'Allocators Data'!$DF51</f>
        <v>0</v>
      </c>
      <c r="S51" s="21">
        <f>'Allocators Data'!V51/'Allocators Data'!$DF51</f>
        <v>0</v>
      </c>
      <c r="T51" s="20">
        <f>'Allocators Data'!W51/'Allocators Data'!$DF51</f>
        <v>0</v>
      </c>
      <c r="U51" s="20">
        <f>'Allocators Data'!X51/'Allocators Data'!$DF51</f>
        <v>0</v>
      </c>
      <c r="V51" s="20">
        <f>'Allocators Data'!Y51/'Allocators Data'!$DF51</f>
        <v>0</v>
      </c>
      <c r="W51" s="20">
        <f>'Allocators Data'!Z51/'Allocators Data'!$DF51</f>
        <v>0</v>
      </c>
      <c r="X51" s="22"/>
      <c r="Y51" s="20">
        <f>'Allocators Data'!AB51/'Allocators Data'!$DF51</f>
        <v>0</v>
      </c>
      <c r="Z51" s="20">
        <f>'Allocators Data'!AC51/'Allocators Data'!$DF51</f>
        <v>5.083180428773517E-2</v>
      </c>
      <c r="AA51" s="20">
        <f>'Allocators Data'!AD51/'Allocators Data'!$DF51</f>
        <v>0</v>
      </c>
      <c r="AB51" s="20">
        <f>'Allocators Data'!AE51/'Allocators Data'!$DF51</f>
        <v>0</v>
      </c>
      <c r="AC51" s="20">
        <f>'Allocators Data'!AF51/'Allocators Data'!$DF51</f>
        <v>0</v>
      </c>
      <c r="AD51" s="20">
        <f>'Allocators Data'!AG51/'Allocators Data'!$DF51</f>
        <v>0.23075842914285399</v>
      </c>
      <c r="AE51" s="20">
        <f>'Allocators Data'!AH51/'Allocators Data'!$DF51</f>
        <v>0.16204535940772968</v>
      </c>
      <c r="AF51" s="22"/>
      <c r="AG51" s="20">
        <f>'Allocators Data'!AJ51/'Allocators Data'!$DF51</f>
        <v>0</v>
      </c>
      <c r="AH51" s="20">
        <f>'Allocators Data'!AK51/'Allocators Data'!$DF51</f>
        <v>0</v>
      </c>
      <c r="AI51" s="20">
        <f>'Allocators Data'!AL51/'Allocators Data'!$DF51</f>
        <v>0</v>
      </c>
      <c r="AJ51" s="20">
        <f>'Allocators Data'!AM51/'Allocators Data'!$DF51</f>
        <v>0</v>
      </c>
      <c r="AK51" s="20">
        <f>'Allocators Data'!AN51/'Allocators Data'!$DF51</f>
        <v>0</v>
      </c>
      <c r="AL51" s="21">
        <f>'Allocators Data'!AO51/'Allocators Data'!$DF51</f>
        <v>0</v>
      </c>
      <c r="AM51" s="20">
        <f>'Allocators Data'!AP51/'Allocators Data'!$DF51</f>
        <v>0</v>
      </c>
      <c r="AN51" s="20">
        <f>'Allocators Data'!AQ51/'Allocators Data'!$DF51</f>
        <v>0</v>
      </c>
      <c r="AO51" s="20">
        <f>'Allocators Data'!AR51/'Allocators Data'!$DF51</f>
        <v>0</v>
      </c>
      <c r="AP51" s="20">
        <f>'Allocators Data'!AS51/'Allocators Data'!$DF51</f>
        <v>0</v>
      </c>
      <c r="AQ51" s="20">
        <f>'Allocators Data'!AT51/'Allocators Data'!$DF51</f>
        <v>0</v>
      </c>
      <c r="AR51" s="21">
        <f>'Allocators Data'!AU51/'Allocators Data'!$DF51</f>
        <v>0</v>
      </c>
      <c r="AS51" s="20">
        <f>'Allocators Data'!AV51/'Allocators Data'!$DF51</f>
        <v>2.7737768089306336E-5</v>
      </c>
      <c r="AT51" s="20">
        <f>'Allocators Data'!AW51/'Allocators Data'!$DF51</f>
        <v>6.3416547061782489E-5</v>
      </c>
      <c r="AU51" s="20">
        <f>'Allocators Data'!AX51/'Allocators Data'!$DF51</f>
        <v>1.2697777744248941E-4</v>
      </c>
      <c r="AV51" s="20">
        <f>'Allocators Data'!AY51/'Allocators Data'!$DF51</f>
        <v>1.4276725924814784E-2</v>
      </c>
      <c r="AW51" s="20">
        <f>'Allocators Data'!AZ51/'Allocators Data'!$DF51</f>
        <v>1.308529958524479E-2</v>
      </c>
      <c r="AX51" s="21">
        <f>'Allocators Data'!BA51/'Allocators Data'!$DF51</f>
        <v>1.1482284896135917E-3</v>
      </c>
      <c r="AY51" s="20">
        <f>'Allocators Data'!BB51/'Allocators Data'!$DF51</f>
        <v>9.3697458375718006E-3</v>
      </c>
      <c r="AZ51" s="20">
        <f>'Allocators Data'!BC51/'Allocators Data'!$DF51</f>
        <v>1.8499179854433518E-2</v>
      </c>
      <c r="BA51" s="20">
        <f>'Allocators Data'!BD51/'Allocators Data'!$DF51</f>
        <v>2.806234754731023E-2</v>
      </c>
      <c r="BB51" s="20">
        <f>'Allocators Data'!BE51/'Allocators Data'!$DF51</f>
        <v>0.17692925814932731</v>
      </c>
      <c r="BC51" s="20">
        <f>'Allocators Data'!BF51/'Allocators Data'!$DF51</f>
        <v>9.7559395586410164E-2</v>
      </c>
      <c r="BD51" s="21">
        <f>'Allocators Data'!BG51/'Allocators Data'!$DF51</f>
        <v>7.1488927881187964E-2</v>
      </c>
      <c r="BE51" s="20">
        <f>'Allocators Data'!BH51/'Allocators Data'!$DF51</f>
        <v>2.605710181073347E-5</v>
      </c>
      <c r="BF51" s="20">
        <f>'Allocators Data'!BI51/'Allocators Data'!$DF51</f>
        <v>5.9655596657784958E-5</v>
      </c>
      <c r="BG51" s="20">
        <f>'Allocators Data'!BJ51/'Allocators Data'!$DF51</f>
        <v>1.2475149988223702E-4</v>
      </c>
      <c r="BH51" s="20">
        <f>'Allocators Data'!BK51/'Allocators Data'!$DF51</f>
        <v>2.5527433948583423E-3</v>
      </c>
      <c r="BI51" s="20">
        <f>'Allocators Data'!BL51/'Allocators Data'!$DF51</f>
        <v>1.4458148953911381E-3</v>
      </c>
      <c r="BJ51" s="21">
        <f>'Allocators Data'!BM51/'Allocators Data'!$DF51</f>
        <v>1.5415719205046298E-3</v>
      </c>
      <c r="BK51" s="20">
        <f>'Allocators Data'!BN51/'Allocators Data'!$DF51</f>
        <v>0</v>
      </c>
      <c r="BL51" s="20">
        <f>'Allocators Data'!BO51/'Allocators Data'!$DF51</f>
        <v>0</v>
      </c>
      <c r="BM51" s="20">
        <f>'Allocators Data'!BP51/'Allocators Data'!$DF51</f>
        <v>0</v>
      </c>
      <c r="BN51" s="20">
        <f>'Allocators Data'!BQ51/'Allocators Data'!$DF51</f>
        <v>0</v>
      </c>
      <c r="BO51" s="20">
        <f>'Allocators Data'!BR51/'Allocators Data'!$DF51</f>
        <v>0</v>
      </c>
      <c r="BP51" s="21">
        <f>'Allocators Data'!BS51/'Allocators Data'!$DF51</f>
        <v>0</v>
      </c>
      <c r="BQ51" s="20">
        <f>'Allocators Data'!BT51/'Allocators Data'!$DF51</f>
        <v>0</v>
      </c>
      <c r="BR51" s="20">
        <f>'Allocators Data'!BU51/'Allocators Data'!$DF51</f>
        <v>0</v>
      </c>
      <c r="BS51" s="20">
        <f>'Allocators Data'!BV51/'Allocators Data'!$DF51</f>
        <v>0</v>
      </c>
      <c r="BT51" s="20">
        <f>'Allocators Data'!BW51/'Allocators Data'!$DF51</f>
        <v>0</v>
      </c>
      <c r="BU51" s="20">
        <f>'Allocators Data'!BX51/'Allocators Data'!$DF51</f>
        <v>0</v>
      </c>
      <c r="BV51" s="21">
        <f>'Allocators Data'!BY51/'Allocators Data'!$DF51</f>
        <v>0</v>
      </c>
      <c r="BW51" s="22"/>
      <c r="BX51" s="20">
        <f>'Allocators Data'!CA51/'Allocators Data'!$DF51</f>
        <v>0</v>
      </c>
      <c r="BY51" s="20">
        <f>'Allocators Data'!CB51/'Allocators Data'!$DF51</f>
        <v>0</v>
      </c>
      <c r="BZ51" s="20">
        <f>'Allocators Data'!CC51/'Allocators Data'!$DF51</f>
        <v>0</v>
      </c>
      <c r="CA51" s="20">
        <f>'Allocators Data'!CD51/'Allocators Data'!$DF51</f>
        <v>0</v>
      </c>
      <c r="CB51" s="20">
        <f>'Allocators Data'!CE51/'Allocators Data'!$DF51</f>
        <v>0</v>
      </c>
      <c r="CC51" s="20">
        <f>'Allocators Data'!CF51/'Allocators Data'!$DF51</f>
        <v>0</v>
      </c>
      <c r="CD51" s="20">
        <f>'Allocators Data'!CG51/'Allocators Data'!$DF51</f>
        <v>0</v>
      </c>
      <c r="CE51" s="20">
        <f>'Allocators Data'!CH51/'Allocators Data'!$DF51</f>
        <v>0</v>
      </c>
      <c r="CF51" s="20">
        <f>'Allocators Data'!CI51/'Allocators Data'!$DF51</f>
        <v>0</v>
      </c>
      <c r="CG51" s="20">
        <f>'Allocators Data'!CJ51/'Allocators Data'!$DF51</f>
        <v>0</v>
      </c>
      <c r="CH51" s="22"/>
      <c r="CI51" s="20">
        <f>'Allocators Data'!CL51/'Allocators Data'!$DF51</f>
        <v>0</v>
      </c>
      <c r="CJ51" s="20">
        <f>'Allocators Data'!CM51/'Allocators Data'!$DF51</f>
        <v>0</v>
      </c>
      <c r="CK51" s="20">
        <f>'Allocators Data'!CN51/'Allocators Data'!$DF51</f>
        <v>0</v>
      </c>
      <c r="CL51" s="29">
        <f>'Allocators Data'!CO51/'Allocators Data'!$DF51</f>
        <v>0</v>
      </c>
      <c r="CM51" s="20">
        <f>'Allocators Data'!CP51/'Allocators Data'!$DF51</f>
        <v>0</v>
      </c>
      <c r="CN51" s="20">
        <f>'Allocators Data'!CQ51/'Allocators Data'!$DF51</f>
        <v>0</v>
      </c>
      <c r="CO51" s="22"/>
      <c r="CP51" s="20">
        <f>'Allocators Data'!CS51/'Allocators Data'!$DF51</f>
        <v>9.2070589842007024E-3</v>
      </c>
      <c r="CQ51" s="20">
        <f>'Allocators Data'!CT51/'Allocators Data'!$DF51</f>
        <v>7.3483416951059699E-2</v>
      </c>
      <c r="CR51" s="22"/>
      <c r="CS51" s="20">
        <f>'Allocators Data'!CV51/'Allocators Data'!$DF51</f>
        <v>0</v>
      </c>
      <c r="CT51" s="20">
        <f>'Allocators Data'!CW51/'Allocators Data'!$DF51</f>
        <v>0</v>
      </c>
      <c r="CU51" s="20">
        <f>'Allocators Data'!CX51/'Allocators Data'!$DF51</f>
        <v>7.8346449304451558E-4</v>
      </c>
      <c r="CV51" s="20">
        <f>'Allocators Data'!CY51/'Allocators Data'!$DF51</f>
        <v>0</v>
      </c>
      <c r="CW51" s="20">
        <f>'Allocators Data'!CZ51/'Allocators Data'!$DF51</f>
        <v>0</v>
      </c>
      <c r="CX51" s="20">
        <f>'Allocators Data'!DA51/'Allocators Data'!$DF51</f>
        <v>0</v>
      </c>
      <c r="CY51" s="20">
        <f>'Allocators Data'!DB51/'Allocators Data'!$DF51</f>
        <v>5.0213936738555849E-3</v>
      </c>
      <c r="CZ51" s="20">
        <f>'Allocators Data'!DC51/'Allocators Data'!$DF51</f>
        <v>0</v>
      </c>
      <c r="DA51" s="20">
        <f>'Allocators Data'!DD51/'Allocators Data'!$DF51</f>
        <v>1.0690274438538661E-4</v>
      </c>
      <c r="DB51" s="22"/>
      <c r="DC51" s="20">
        <f t="shared" si="20"/>
        <v>1</v>
      </c>
    </row>
    <row r="52" spans="1:107" x14ac:dyDescent="0.2">
      <c r="A52">
        <v>5</v>
      </c>
      <c r="B52" t="s">
        <v>236</v>
      </c>
      <c r="C52" s="20">
        <f>'Allocators Data'!F52/'Allocators Data'!$DF52</f>
        <v>5.3795997685773455E-3</v>
      </c>
      <c r="D52" s="20">
        <f>'Allocators Data'!G52/'Allocators Data'!$DF52</f>
        <v>6.7833413903904205E-3</v>
      </c>
      <c r="E52" s="20">
        <f>'Allocators Data'!H52/'Allocators Data'!$DF52</f>
        <v>6.4296078491930383E-3</v>
      </c>
      <c r="F52" s="20">
        <f>'Allocators Data'!I52/'Allocators Data'!$DF52</f>
        <v>9.068910087359593E-3</v>
      </c>
      <c r="G52" s="31">
        <f>'Allocators Data'!J52/'Allocators Data'!$DF52</f>
        <v>3.7267684791657598E-6</v>
      </c>
      <c r="H52" s="20">
        <f>'Allocators Data'!K52/'Allocators Data'!$DF52</f>
        <v>0</v>
      </c>
      <c r="I52" s="20">
        <f>'Allocators Data'!L52/'Allocators Data'!$DF52</f>
        <v>0</v>
      </c>
      <c r="J52" s="20">
        <f>'Allocators Data'!M52/'Allocators Data'!$DF52</f>
        <v>0</v>
      </c>
      <c r="K52" s="21">
        <f>'Allocators Data'!N52/'Allocators Data'!$DF52</f>
        <v>0</v>
      </c>
      <c r="L52" s="20">
        <f>'Allocators Data'!O52/'Allocators Data'!$DF52</f>
        <v>0</v>
      </c>
      <c r="M52" s="20">
        <f>'Allocators Data'!P52/'Allocators Data'!$DF52</f>
        <v>0</v>
      </c>
      <c r="N52" s="20">
        <f>'Allocators Data'!Q52/'Allocators Data'!$DF52</f>
        <v>0</v>
      </c>
      <c r="O52" s="21">
        <f>'Allocators Data'!R52/'Allocators Data'!$DF52</f>
        <v>0</v>
      </c>
      <c r="P52" s="20">
        <f>'Allocators Data'!S52/'Allocators Data'!$DF52</f>
        <v>0</v>
      </c>
      <c r="Q52" s="20">
        <f>'Allocators Data'!T52/'Allocators Data'!$DF52</f>
        <v>0</v>
      </c>
      <c r="R52" s="20">
        <f>'Allocators Data'!U52/'Allocators Data'!$DF52</f>
        <v>0</v>
      </c>
      <c r="S52" s="21">
        <f>'Allocators Data'!V52/'Allocators Data'!$DF52</f>
        <v>0</v>
      </c>
      <c r="T52" s="20">
        <f>'Allocators Data'!W52/'Allocators Data'!$DF52</f>
        <v>0</v>
      </c>
      <c r="U52" s="20">
        <f>'Allocators Data'!X52/'Allocators Data'!$DF52</f>
        <v>0</v>
      </c>
      <c r="V52" s="20">
        <f>'Allocators Data'!Y52/'Allocators Data'!$DF52</f>
        <v>0</v>
      </c>
      <c r="W52" s="20">
        <f>'Allocators Data'!Z52/'Allocators Data'!$DF52</f>
        <v>0</v>
      </c>
      <c r="X52" s="22"/>
      <c r="Y52" s="20">
        <f>'Allocators Data'!AB52/'Allocators Data'!$DF52</f>
        <v>0</v>
      </c>
      <c r="Z52" s="20">
        <f>'Allocators Data'!AC52/'Allocators Data'!$DF52</f>
        <v>5.4462820709694069E-2</v>
      </c>
      <c r="AA52" s="20">
        <f>'Allocators Data'!AD52/'Allocators Data'!$DF52</f>
        <v>0</v>
      </c>
      <c r="AB52" s="20">
        <f>'Allocators Data'!AE52/'Allocators Data'!$DF52</f>
        <v>0</v>
      </c>
      <c r="AC52" s="20">
        <f>'Allocators Data'!AF52/'Allocators Data'!$DF52</f>
        <v>0</v>
      </c>
      <c r="AD52" s="20">
        <f>'Allocators Data'!AG52/'Allocators Data'!$DF52</f>
        <v>0.22674100378152864</v>
      </c>
      <c r="AE52" s="20">
        <f>'Allocators Data'!AH52/'Allocators Data'!$DF52</f>
        <v>0.15769226046588239</v>
      </c>
      <c r="AF52" s="22"/>
      <c r="AG52" s="20">
        <f>'Allocators Data'!AJ52/'Allocators Data'!$DF52</f>
        <v>0</v>
      </c>
      <c r="AH52" s="20">
        <f>'Allocators Data'!AK52/'Allocators Data'!$DF52</f>
        <v>0</v>
      </c>
      <c r="AI52" s="20">
        <f>'Allocators Data'!AL52/'Allocators Data'!$DF52</f>
        <v>0</v>
      </c>
      <c r="AJ52" s="20">
        <f>'Allocators Data'!AM52/'Allocators Data'!$DF52</f>
        <v>0</v>
      </c>
      <c r="AK52" s="20">
        <f>'Allocators Data'!AN52/'Allocators Data'!$DF52</f>
        <v>0</v>
      </c>
      <c r="AL52" s="21">
        <f>'Allocators Data'!AO52/'Allocators Data'!$DF52</f>
        <v>0</v>
      </c>
      <c r="AM52" s="20">
        <f>'Allocators Data'!AP52/'Allocators Data'!$DF52</f>
        <v>0</v>
      </c>
      <c r="AN52" s="20">
        <f>'Allocators Data'!AQ52/'Allocators Data'!$DF52</f>
        <v>0</v>
      </c>
      <c r="AO52" s="20">
        <f>'Allocators Data'!AR52/'Allocators Data'!$DF52</f>
        <v>0</v>
      </c>
      <c r="AP52" s="20">
        <f>'Allocators Data'!AS52/'Allocators Data'!$DF52</f>
        <v>0</v>
      </c>
      <c r="AQ52" s="20">
        <f>'Allocators Data'!AT52/'Allocators Data'!$DF52</f>
        <v>0</v>
      </c>
      <c r="AR52" s="21">
        <f>'Allocators Data'!AU52/'Allocators Data'!$DF52</f>
        <v>0</v>
      </c>
      <c r="AS52" s="20">
        <f>'Allocators Data'!AV52/'Allocators Data'!$DF52</f>
        <v>2.9182495444078825E-5</v>
      </c>
      <c r="AT52" s="20">
        <f>'Allocators Data'!AW52/'Allocators Data'!$DF52</f>
        <v>6.6719610956122861E-5</v>
      </c>
      <c r="AU52" s="20">
        <f>'Allocators Data'!AX52/'Allocators Data'!$DF52</f>
        <v>1.3359144109158821E-4</v>
      </c>
      <c r="AV52" s="20">
        <f>'Allocators Data'!AY52/'Allocators Data'!$DF52</f>
        <v>1.5020332130395593E-2</v>
      </c>
      <c r="AW52" s="20">
        <f>'Allocators Data'!AZ52/'Allocators Data'!$DF52</f>
        <v>1.3766850104930783E-2</v>
      </c>
      <c r="AX52" s="21">
        <f>'Allocators Data'!BA52/'Allocators Data'!$DF52</f>
        <v>1.2080342066104614E-3</v>
      </c>
      <c r="AY52" s="20">
        <f>'Allocators Data'!BB52/'Allocators Data'!$DF52</f>
        <v>9.7257685469855325E-3</v>
      </c>
      <c r="AZ52" s="20">
        <f>'Allocators Data'!BC52/'Allocators Data'!$DF52</f>
        <v>1.9202094132780064E-2</v>
      </c>
      <c r="BA52" s="20">
        <f>'Allocators Data'!BD52/'Allocators Data'!$DF52</f>
        <v>2.9128633995149714E-2</v>
      </c>
      <c r="BB52" s="20">
        <f>'Allocators Data'!BE52/'Allocators Data'!$DF52</f>
        <v>0.18365204817510344</v>
      </c>
      <c r="BC52" s="20">
        <f>'Allocators Data'!BF52/'Allocators Data'!$DF52</f>
        <v>0.10126636490527496</v>
      </c>
      <c r="BD52" s="21">
        <f>'Allocators Data'!BG52/'Allocators Data'!$DF52</f>
        <v>7.420529631193927E-2</v>
      </c>
      <c r="BE52" s="20">
        <f>'Allocators Data'!BH52/'Allocators Data'!$DF52</f>
        <v>2.4355049221055356E-5</v>
      </c>
      <c r="BF52" s="20">
        <f>'Allocators Data'!BI52/'Allocators Data'!$DF52</f>
        <v>5.5758886904041328E-5</v>
      </c>
      <c r="BG52" s="20">
        <f>'Allocators Data'!BJ52/'Allocators Data'!$DF52</f>
        <v>1.1660271898622325E-4</v>
      </c>
      <c r="BH52" s="20">
        <f>'Allocators Data'!BK52/'Allocators Data'!$DF52</f>
        <v>2.3859979318532213E-3</v>
      </c>
      <c r="BI52" s="20">
        <f>'Allocators Data'!BL52/'Allocators Data'!$DF52</f>
        <v>1.3513741166441327E-3</v>
      </c>
      <c r="BJ52" s="21">
        <f>'Allocators Data'!BM52/'Allocators Data'!$DF52</f>
        <v>1.440876282957205E-3</v>
      </c>
      <c r="BK52" s="20">
        <f>'Allocators Data'!BN52/'Allocators Data'!$DF52</f>
        <v>0</v>
      </c>
      <c r="BL52" s="20">
        <f>'Allocators Data'!BO52/'Allocators Data'!$DF52</f>
        <v>0</v>
      </c>
      <c r="BM52" s="20">
        <f>'Allocators Data'!BP52/'Allocators Data'!$DF52</f>
        <v>0</v>
      </c>
      <c r="BN52" s="20">
        <f>'Allocators Data'!BQ52/'Allocators Data'!$DF52</f>
        <v>0</v>
      </c>
      <c r="BO52" s="20">
        <f>'Allocators Data'!BR52/'Allocators Data'!$DF52</f>
        <v>0</v>
      </c>
      <c r="BP52" s="21">
        <f>'Allocators Data'!BS52/'Allocators Data'!$DF52</f>
        <v>0</v>
      </c>
      <c r="BQ52" s="20">
        <f>'Allocators Data'!BT52/'Allocators Data'!$DF52</f>
        <v>0</v>
      </c>
      <c r="BR52" s="20">
        <f>'Allocators Data'!BU52/'Allocators Data'!$DF52</f>
        <v>0</v>
      </c>
      <c r="BS52" s="20">
        <f>'Allocators Data'!BV52/'Allocators Data'!$DF52</f>
        <v>0</v>
      </c>
      <c r="BT52" s="20">
        <f>'Allocators Data'!BW52/'Allocators Data'!$DF52</f>
        <v>0</v>
      </c>
      <c r="BU52" s="20">
        <f>'Allocators Data'!BX52/'Allocators Data'!$DF52</f>
        <v>0</v>
      </c>
      <c r="BV52" s="21">
        <f>'Allocators Data'!BY52/'Allocators Data'!$DF52</f>
        <v>0</v>
      </c>
      <c r="BW52" s="22"/>
      <c r="BX52" s="20">
        <f>'Allocators Data'!CA52/'Allocators Data'!$DF52</f>
        <v>0</v>
      </c>
      <c r="BY52" s="20">
        <f>'Allocators Data'!CB52/'Allocators Data'!$DF52</f>
        <v>0</v>
      </c>
      <c r="BZ52" s="20">
        <f>'Allocators Data'!CC52/'Allocators Data'!$DF52</f>
        <v>0</v>
      </c>
      <c r="CA52" s="20">
        <f>'Allocators Data'!CD52/'Allocators Data'!$DF52</f>
        <v>0</v>
      </c>
      <c r="CB52" s="20">
        <f>'Allocators Data'!CE52/'Allocators Data'!$DF52</f>
        <v>0</v>
      </c>
      <c r="CC52" s="20">
        <f>'Allocators Data'!CF52/'Allocators Data'!$DF52</f>
        <v>0</v>
      </c>
      <c r="CD52" s="20">
        <f>'Allocators Data'!CG52/'Allocators Data'!$DF52</f>
        <v>0</v>
      </c>
      <c r="CE52" s="20">
        <f>'Allocators Data'!CH52/'Allocators Data'!$DF52</f>
        <v>0</v>
      </c>
      <c r="CF52" s="20">
        <f>'Allocators Data'!CI52/'Allocators Data'!$DF52</f>
        <v>0</v>
      </c>
      <c r="CG52" s="20">
        <f>'Allocators Data'!CJ52/'Allocators Data'!$DF52</f>
        <v>0</v>
      </c>
      <c r="CH52" s="22"/>
      <c r="CI52" s="20">
        <f>'Allocators Data'!CL52/'Allocators Data'!$DF52</f>
        <v>0</v>
      </c>
      <c r="CJ52" s="20">
        <f>'Allocators Data'!CM52/'Allocators Data'!$DF52</f>
        <v>0</v>
      </c>
      <c r="CK52" s="20">
        <f>'Allocators Data'!CN52/'Allocators Data'!$DF52</f>
        <v>0</v>
      </c>
      <c r="CL52" s="29">
        <f>'Allocators Data'!CO52/'Allocators Data'!$DF52</f>
        <v>0</v>
      </c>
      <c r="CM52" s="20">
        <f>'Allocators Data'!CP52/'Allocators Data'!$DF52</f>
        <v>0</v>
      </c>
      <c r="CN52" s="20">
        <f>'Allocators Data'!CQ52/'Allocators Data'!$DF52</f>
        <v>0</v>
      </c>
      <c r="CO52" s="22"/>
      <c r="CP52" s="20">
        <f>'Allocators Data'!CS52/'Allocators Data'!$DF52</f>
        <v>8.3387107576728681E-3</v>
      </c>
      <c r="CQ52" s="20">
        <f>'Allocators Data'!CT52/'Allocators Data'!$DF52</f>
        <v>6.6552952521739261E-2</v>
      </c>
      <c r="CR52" s="22"/>
      <c r="CS52" s="20">
        <f>'Allocators Data'!CV52/'Allocators Data'!$DF52</f>
        <v>0</v>
      </c>
      <c r="CT52" s="20">
        <f>'Allocators Data'!CW52/'Allocators Data'!$DF52</f>
        <v>0</v>
      </c>
      <c r="CU52" s="20">
        <f>'Allocators Data'!CX52/'Allocators Data'!$DF52</f>
        <v>6.8053816542098296E-4</v>
      </c>
      <c r="CV52" s="20">
        <f>'Allocators Data'!CY52/'Allocators Data'!$DF52</f>
        <v>0</v>
      </c>
      <c r="CW52" s="20">
        <f>'Allocators Data'!CZ52/'Allocators Data'!$DF52</f>
        <v>0</v>
      </c>
      <c r="CX52" s="20">
        <f>'Allocators Data'!DA52/'Allocators Data'!$DF52</f>
        <v>0</v>
      </c>
      <c r="CY52" s="20">
        <f>'Allocators Data'!DB52/'Allocators Data'!$DF52</f>
        <v>4.9795264270080233E-3</v>
      </c>
      <c r="CZ52" s="20">
        <f>'Allocators Data'!DC52/'Allocators Data'!$DF52</f>
        <v>0</v>
      </c>
      <c r="DA52" s="20">
        <f>'Allocators Data'!DD52/'Allocators Data'!$DF52</f>
        <v>1.0712026382645125E-4</v>
      </c>
      <c r="DB52" s="22"/>
      <c r="DC52" s="20">
        <f t="shared" si="20"/>
        <v>0.99999999999999978</v>
      </c>
    </row>
    <row r="53" spans="1:107" x14ac:dyDescent="0.2">
      <c r="A53">
        <v>6</v>
      </c>
      <c r="B53" t="s">
        <v>237</v>
      </c>
      <c r="C53" s="20">
        <f>'Allocators Data'!F53/'Allocators Data'!$DF53</f>
        <v>4.5059752285725495E-3</v>
      </c>
      <c r="D53" s="20">
        <f>'Allocators Data'!G53/'Allocators Data'!$DF53</f>
        <v>6.1671969772787612E-3</v>
      </c>
      <c r="E53" s="20">
        <f>'Allocators Data'!H53/'Allocators Data'!$DF53</f>
        <v>6.5735961337713674E-3</v>
      </c>
      <c r="F53" s="20">
        <f>'Allocators Data'!I53/'Allocators Data'!$DF53</f>
        <v>1.0739377144920573E-2</v>
      </c>
      <c r="G53" s="31">
        <f>'Allocators Data'!J53/'Allocators Data'!$DF53</f>
        <v>2.5102346947825398E-6</v>
      </c>
      <c r="H53" s="20">
        <f>'Allocators Data'!K53/'Allocators Data'!$DF53</f>
        <v>0</v>
      </c>
      <c r="I53" s="20">
        <f>'Allocators Data'!L53/'Allocators Data'!$DF53</f>
        <v>0</v>
      </c>
      <c r="J53" s="20">
        <f>'Allocators Data'!M53/'Allocators Data'!$DF53</f>
        <v>0</v>
      </c>
      <c r="K53" s="21">
        <f>'Allocators Data'!N53/'Allocators Data'!$DF53</f>
        <v>0</v>
      </c>
      <c r="L53" s="20">
        <f>'Allocators Data'!O53/'Allocators Data'!$DF53</f>
        <v>0</v>
      </c>
      <c r="M53" s="20">
        <f>'Allocators Data'!P53/'Allocators Data'!$DF53</f>
        <v>0</v>
      </c>
      <c r="N53" s="20">
        <f>'Allocators Data'!Q53/'Allocators Data'!$DF53</f>
        <v>0</v>
      </c>
      <c r="O53" s="21">
        <f>'Allocators Data'!R53/'Allocators Data'!$DF53</f>
        <v>0</v>
      </c>
      <c r="P53" s="20">
        <f>'Allocators Data'!S53/'Allocators Data'!$DF53</f>
        <v>0</v>
      </c>
      <c r="Q53" s="20">
        <f>'Allocators Data'!T53/'Allocators Data'!$DF53</f>
        <v>0</v>
      </c>
      <c r="R53" s="20">
        <f>'Allocators Data'!U53/'Allocators Data'!$DF53</f>
        <v>0</v>
      </c>
      <c r="S53" s="21">
        <f>'Allocators Data'!V53/'Allocators Data'!$DF53</f>
        <v>0</v>
      </c>
      <c r="T53" s="20">
        <f>'Allocators Data'!W53/'Allocators Data'!$DF53</f>
        <v>0</v>
      </c>
      <c r="U53" s="20">
        <f>'Allocators Data'!X53/'Allocators Data'!$DF53</f>
        <v>0</v>
      </c>
      <c r="V53" s="20">
        <f>'Allocators Data'!Y53/'Allocators Data'!$DF53</f>
        <v>0</v>
      </c>
      <c r="W53" s="20">
        <f>'Allocators Data'!Z53/'Allocators Data'!$DF53</f>
        <v>0</v>
      </c>
      <c r="X53" s="22"/>
      <c r="Y53" s="20">
        <f>'Allocators Data'!AB53/'Allocators Data'!$DF53</f>
        <v>0</v>
      </c>
      <c r="Z53" s="20">
        <f>'Allocators Data'!AC53/'Allocators Data'!$DF53</f>
        <v>4.883101991608655E-2</v>
      </c>
      <c r="AA53" s="20">
        <f>'Allocators Data'!AD53/'Allocators Data'!$DF53</f>
        <v>0</v>
      </c>
      <c r="AB53" s="20">
        <f>'Allocators Data'!AE53/'Allocators Data'!$DF53</f>
        <v>0</v>
      </c>
      <c r="AC53" s="20">
        <f>'Allocators Data'!AF53/'Allocators Data'!$DF53</f>
        <v>0</v>
      </c>
      <c r="AD53" s="20">
        <f>'Allocators Data'!AG53/'Allocators Data'!$DF53</f>
        <v>0.23815456099825402</v>
      </c>
      <c r="AE53" s="20">
        <f>'Allocators Data'!AH53/'Allocators Data'!$DF53</f>
        <v>0.15517431037856813</v>
      </c>
      <c r="AF53" s="22"/>
      <c r="AG53" s="20">
        <f>'Allocators Data'!AJ53/'Allocators Data'!$DF53</f>
        <v>0</v>
      </c>
      <c r="AH53" s="20">
        <f>'Allocators Data'!AK53/'Allocators Data'!$DF53</f>
        <v>0</v>
      </c>
      <c r="AI53" s="20">
        <f>'Allocators Data'!AL53/'Allocators Data'!$DF53</f>
        <v>0</v>
      </c>
      <c r="AJ53" s="20">
        <f>'Allocators Data'!AM53/'Allocators Data'!$DF53</f>
        <v>0</v>
      </c>
      <c r="AK53" s="20">
        <f>'Allocators Data'!AN53/'Allocators Data'!$DF53</f>
        <v>0</v>
      </c>
      <c r="AL53" s="21">
        <f>'Allocators Data'!AO53/'Allocators Data'!$DF53</f>
        <v>0</v>
      </c>
      <c r="AM53" s="20">
        <f>'Allocators Data'!AP53/'Allocators Data'!$DF53</f>
        <v>0</v>
      </c>
      <c r="AN53" s="20">
        <f>'Allocators Data'!AQ53/'Allocators Data'!$DF53</f>
        <v>0</v>
      </c>
      <c r="AO53" s="20">
        <f>'Allocators Data'!AR53/'Allocators Data'!$DF53</f>
        <v>0</v>
      </c>
      <c r="AP53" s="20">
        <f>'Allocators Data'!AS53/'Allocators Data'!$DF53</f>
        <v>0</v>
      </c>
      <c r="AQ53" s="20">
        <f>'Allocators Data'!AT53/'Allocators Data'!$DF53</f>
        <v>0</v>
      </c>
      <c r="AR53" s="21">
        <f>'Allocators Data'!AU53/'Allocators Data'!$DF53</f>
        <v>0</v>
      </c>
      <c r="AS53" s="20">
        <f>'Allocators Data'!AV53/'Allocators Data'!$DF53</f>
        <v>2.8650508486941682E-5</v>
      </c>
      <c r="AT53" s="20">
        <f>'Allocators Data'!AW53/'Allocators Data'!$DF53</f>
        <v>6.5503335162233429E-5</v>
      </c>
      <c r="AU53" s="20">
        <f>'Allocators Data'!AX53/'Allocators Data'!$DF53</f>
        <v>1.3115611459999101E-4</v>
      </c>
      <c r="AV53" s="20">
        <f>'Allocators Data'!AY53/'Allocators Data'!$DF53</f>
        <v>1.4746516589139004E-2</v>
      </c>
      <c r="AW53" s="20">
        <f>'Allocators Data'!AZ53/'Allocators Data'!$DF53</f>
        <v>1.3515885114266445E-2</v>
      </c>
      <c r="AX53" s="21">
        <f>'Allocators Data'!BA53/'Allocators Data'!$DF53</f>
        <v>1.1860121542837925E-3</v>
      </c>
      <c r="AY53" s="20">
        <f>'Allocators Data'!BB53/'Allocators Data'!$DF53</f>
        <v>9.4868956030320344E-3</v>
      </c>
      <c r="AZ53" s="20">
        <f>'Allocators Data'!BC53/'Allocators Data'!$DF53</f>
        <v>1.8730474770936312E-2</v>
      </c>
      <c r="BA53" s="20">
        <f>'Allocators Data'!BD53/'Allocators Data'!$DF53</f>
        <v>2.8413210579287942E-2</v>
      </c>
      <c r="BB53" s="20">
        <f>'Allocators Data'!BE53/'Allocators Data'!$DF53</f>
        <v>0.17914140151527996</v>
      </c>
      <c r="BC53" s="20">
        <f>'Allocators Data'!BF53/'Allocators Data'!$DF53</f>
        <v>9.8779178973229548E-2</v>
      </c>
      <c r="BD53" s="21">
        <f>'Allocators Data'!BG53/'Allocators Data'!$DF53</f>
        <v>7.2382752674247153E-2</v>
      </c>
      <c r="BE53" s="20">
        <f>'Allocators Data'!BH53/'Allocators Data'!$DF53</f>
        <v>2.5268136606660428E-5</v>
      </c>
      <c r="BF53" s="20">
        <f>'Allocators Data'!BI53/'Allocators Data'!$DF53</f>
        <v>5.7849325556222132E-5</v>
      </c>
      <c r="BG53" s="20">
        <f>'Allocators Data'!BJ53/'Allocators Data'!$DF53</f>
        <v>1.2097423434910455E-4</v>
      </c>
      <c r="BH53" s="20">
        <f>'Allocators Data'!BK53/'Allocators Data'!$DF53</f>
        <v>2.4754506196257224E-3</v>
      </c>
      <c r="BI53" s="20">
        <f>'Allocators Data'!BL53/'Allocators Data'!$DF53</f>
        <v>1.4020380528136482E-3</v>
      </c>
      <c r="BJ53" s="21">
        <f>'Allocators Data'!BM53/'Allocators Data'!$DF53</f>
        <v>1.4948957163093803E-3</v>
      </c>
      <c r="BK53" s="20">
        <f>'Allocators Data'!BN53/'Allocators Data'!$DF53</f>
        <v>0</v>
      </c>
      <c r="BL53" s="20">
        <f>'Allocators Data'!BO53/'Allocators Data'!$DF53</f>
        <v>0</v>
      </c>
      <c r="BM53" s="20">
        <f>'Allocators Data'!BP53/'Allocators Data'!$DF53</f>
        <v>0</v>
      </c>
      <c r="BN53" s="20">
        <f>'Allocators Data'!BQ53/'Allocators Data'!$DF53</f>
        <v>0</v>
      </c>
      <c r="BO53" s="20">
        <f>'Allocators Data'!BR53/'Allocators Data'!$DF53</f>
        <v>0</v>
      </c>
      <c r="BP53" s="21">
        <f>'Allocators Data'!BS53/'Allocators Data'!$DF53</f>
        <v>0</v>
      </c>
      <c r="BQ53" s="20">
        <f>'Allocators Data'!BT53/'Allocators Data'!$DF53</f>
        <v>0</v>
      </c>
      <c r="BR53" s="20">
        <f>'Allocators Data'!BU53/'Allocators Data'!$DF53</f>
        <v>0</v>
      </c>
      <c r="BS53" s="20">
        <f>'Allocators Data'!BV53/'Allocators Data'!$DF53</f>
        <v>0</v>
      </c>
      <c r="BT53" s="20">
        <f>'Allocators Data'!BW53/'Allocators Data'!$DF53</f>
        <v>0</v>
      </c>
      <c r="BU53" s="20">
        <f>'Allocators Data'!BX53/'Allocators Data'!$DF53</f>
        <v>0</v>
      </c>
      <c r="BV53" s="21">
        <f>'Allocators Data'!BY53/'Allocators Data'!$DF53</f>
        <v>0</v>
      </c>
      <c r="BW53" s="22"/>
      <c r="BX53" s="20">
        <f>'Allocators Data'!CA53/'Allocators Data'!$DF53</f>
        <v>0</v>
      </c>
      <c r="BY53" s="20">
        <f>'Allocators Data'!CB53/'Allocators Data'!$DF53</f>
        <v>0</v>
      </c>
      <c r="BZ53" s="20">
        <f>'Allocators Data'!CC53/'Allocators Data'!$DF53</f>
        <v>0</v>
      </c>
      <c r="CA53" s="20">
        <f>'Allocators Data'!CD53/'Allocators Data'!$DF53</f>
        <v>0</v>
      </c>
      <c r="CB53" s="20">
        <f>'Allocators Data'!CE53/'Allocators Data'!$DF53</f>
        <v>0</v>
      </c>
      <c r="CC53" s="20">
        <f>'Allocators Data'!CF53/'Allocators Data'!$DF53</f>
        <v>0</v>
      </c>
      <c r="CD53" s="20">
        <f>'Allocators Data'!CG53/'Allocators Data'!$DF53</f>
        <v>0</v>
      </c>
      <c r="CE53" s="20">
        <f>'Allocators Data'!CH53/'Allocators Data'!$DF53</f>
        <v>0</v>
      </c>
      <c r="CF53" s="20">
        <f>'Allocators Data'!CI53/'Allocators Data'!$DF53</f>
        <v>0</v>
      </c>
      <c r="CG53" s="20">
        <f>'Allocators Data'!CJ53/'Allocators Data'!$DF53</f>
        <v>0</v>
      </c>
      <c r="CH53" s="22"/>
      <c r="CI53" s="20">
        <f>'Allocators Data'!CL53/'Allocators Data'!$DF53</f>
        <v>0</v>
      </c>
      <c r="CJ53" s="20">
        <f>'Allocators Data'!CM53/'Allocators Data'!$DF53</f>
        <v>0</v>
      </c>
      <c r="CK53" s="20">
        <f>'Allocators Data'!CN53/'Allocators Data'!$DF53</f>
        <v>0</v>
      </c>
      <c r="CL53" s="29">
        <f>'Allocators Data'!CO53/'Allocators Data'!$DF53</f>
        <v>0</v>
      </c>
      <c r="CM53" s="20">
        <f>'Allocators Data'!CP53/'Allocators Data'!$DF53</f>
        <v>0</v>
      </c>
      <c r="CN53" s="20">
        <f>'Allocators Data'!CQ53/'Allocators Data'!$DF53</f>
        <v>0</v>
      </c>
      <c r="CO53" s="22"/>
      <c r="CP53" s="20">
        <f>'Allocators Data'!CS53/'Allocators Data'!$DF53</f>
        <v>9.2180942545795688E-3</v>
      </c>
      <c r="CQ53" s="20">
        <f>'Allocators Data'!CT53/'Allocators Data'!$DF53</f>
        <v>7.3571491696296967E-2</v>
      </c>
      <c r="CR53" s="22"/>
      <c r="CS53" s="20">
        <f>'Allocators Data'!CV53/'Allocators Data'!$DF53</f>
        <v>0</v>
      </c>
      <c r="CT53" s="20">
        <f>'Allocators Data'!CW53/'Allocators Data'!$DF53</f>
        <v>0</v>
      </c>
      <c r="CU53" s="20">
        <f>'Allocators Data'!CX53/'Allocators Data'!$DF53</f>
        <v>5.7052287526916027E-4</v>
      </c>
      <c r="CV53" s="20">
        <f>'Allocators Data'!CY53/'Allocators Data'!$DF53</f>
        <v>0</v>
      </c>
      <c r="CW53" s="20">
        <f>'Allocators Data'!CZ53/'Allocators Data'!$DF53</f>
        <v>0</v>
      </c>
      <c r="CX53" s="20">
        <f>'Allocators Data'!DA53/'Allocators Data'!$DF53</f>
        <v>0</v>
      </c>
      <c r="CY53" s="20">
        <f>'Allocators Data'!DB53/'Allocators Data'!$DF53</f>
        <v>4.2112244084198938E-3</v>
      </c>
      <c r="CZ53" s="20">
        <f>'Allocators Data'!DC53/'Allocators Data'!$DF53</f>
        <v>0</v>
      </c>
      <c r="DA53" s="20">
        <f>'Allocators Data'!DD53/'Allocators Data'!$DF53</f>
        <v>9.6005736075404635E-5</v>
      </c>
      <c r="DB53" s="22"/>
      <c r="DC53" s="20">
        <f t="shared" si="20"/>
        <v>0.99999999999999956</v>
      </c>
    </row>
    <row r="54" spans="1:107" x14ac:dyDescent="0.2">
      <c r="A54">
        <v>7</v>
      </c>
      <c r="B54" t="s">
        <v>238</v>
      </c>
      <c r="C54" s="20">
        <f>'Allocators Data'!F54/'Allocators Data'!$DF54</f>
        <v>8.3593204397260853E-3</v>
      </c>
      <c r="D54" s="20">
        <f>'Allocators Data'!G54/'Allocators Data'!$DF54</f>
        <v>1.1986131512228103E-2</v>
      </c>
      <c r="E54" s="20">
        <f>'Allocators Data'!H54/'Allocators Data'!$DF54</f>
        <v>1.3280430468119388E-2</v>
      </c>
      <c r="F54" s="20">
        <f>'Allocators Data'!I54/'Allocators Data'!$DF54</f>
        <v>2.1554079044778733E-2</v>
      </c>
      <c r="G54" s="31">
        <f>'Allocators Data'!J54/'Allocators Data'!$DF54</f>
        <v>4.5904684677086544E-6</v>
      </c>
      <c r="H54" s="20">
        <f>'Allocators Data'!K54/'Allocators Data'!$DF54</f>
        <v>0</v>
      </c>
      <c r="I54" s="20">
        <f>'Allocators Data'!L54/'Allocators Data'!$DF54</f>
        <v>0</v>
      </c>
      <c r="J54" s="20">
        <f>'Allocators Data'!M54/'Allocators Data'!$DF54</f>
        <v>0</v>
      </c>
      <c r="K54" s="21">
        <f>'Allocators Data'!N54/'Allocators Data'!$DF54</f>
        <v>0</v>
      </c>
      <c r="L54" s="20">
        <f>'Allocators Data'!O54/'Allocators Data'!$DF54</f>
        <v>0</v>
      </c>
      <c r="M54" s="20">
        <f>'Allocators Data'!P54/'Allocators Data'!$DF54</f>
        <v>0</v>
      </c>
      <c r="N54" s="20">
        <f>'Allocators Data'!Q54/'Allocators Data'!$DF54</f>
        <v>0</v>
      </c>
      <c r="O54" s="21">
        <f>'Allocators Data'!R54/'Allocators Data'!$DF54</f>
        <v>0</v>
      </c>
      <c r="P54" s="20">
        <f>'Allocators Data'!S54/'Allocators Data'!$DF54</f>
        <v>0</v>
      </c>
      <c r="Q54" s="20">
        <f>'Allocators Data'!T54/'Allocators Data'!$DF54</f>
        <v>0</v>
      </c>
      <c r="R54" s="20">
        <f>'Allocators Data'!U54/'Allocators Data'!$DF54</f>
        <v>0</v>
      </c>
      <c r="S54" s="21">
        <f>'Allocators Data'!V54/'Allocators Data'!$DF54</f>
        <v>0</v>
      </c>
      <c r="T54" s="20">
        <f>'Allocators Data'!W54/'Allocators Data'!$DF54</f>
        <v>0</v>
      </c>
      <c r="U54" s="20">
        <f>'Allocators Data'!X54/'Allocators Data'!$DF54</f>
        <v>0</v>
      </c>
      <c r="V54" s="20">
        <f>'Allocators Data'!Y54/'Allocators Data'!$DF54</f>
        <v>0</v>
      </c>
      <c r="W54" s="20">
        <f>'Allocators Data'!Z54/'Allocators Data'!$DF54</f>
        <v>0</v>
      </c>
      <c r="X54" s="22"/>
      <c r="Y54" s="20">
        <f>'Allocators Data'!AB54/'Allocators Data'!$DF54</f>
        <v>0</v>
      </c>
      <c r="Z54" s="20">
        <f>'Allocators Data'!AC54/'Allocators Data'!$DF54</f>
        <v>2.9891077790321842E-7</v>
      </c>
      <c r="AA54" s="20">
        <f>'Allocators Data'!AD54/'Allocators Data'!$DF54</f>
        <v>0</v>
      </c>
      <c r="AB54" s="20">
        <f>'Allocators Data'!AE54/'Allocators Data'!$DF54</f>
        <v>0</v>
      </c>
      <c r="AC54" s="20">
        <f>'Allocators Data'!AF54/'Allocators Data'!$DF54</f>
        <v>0</v>
      </c>
      <c r="AD54" s="20">
        <f>'Allocators Data'!AG54/'Allocators Data'!$DF54</f>
        <v>3.2138886840154043E-7</v>
      </c>
      <c r="AE54" s="20">
        <f>'Allocators Data'!AH54/'Allocators Data'!$DF54</f>
        <v>3.0512812208360538E-7</v>
      </c>
      <c r="AF54" s="22"/>
      <c r="AG54" s="20">
        <f>'Allocators Data'!AJ54/'Allocators Data'!$DF54</f>
        <v>0</v>
      </c>
      <c r="AH54" s="20">
        <f>'Allocators Data'!AK54/'Allocators Data'!$DF54</f>
        <v>0</v>
      </c>
      <c r="AI54" s="20">
        <f>'Allocators Data'!AL54/'Allocators Data'!$DF54</f>
        <v>0</v>
      </c>
      <c r="AJ54" s="20">
        <f>'Allocators Data'!AM54/'Allocators Data'!$DF54</f>
        <v>0</v>
      </c>
      <c r="AK54" s="20">
        <f>'Allocators Data'!AN54/'Allocators Data'!$DF54</f>
        <v>0</v>
      </c>
      <c r="AL54" s="21">
        <f>'Allocators Data'!AO54/'Allocators Data'!$DF54</f>
        <v>0</v>
      </c>
      <c r="AM54" s="20">
        <f>'Allocators Data'!AP54/'Allocators Data'!$DF54</f>
        <v>0</v>
      </c>
      <c r="AN54" s="20">
        <f>'Allocators Data'!AQ54/'Allocators Data'!$DF54</f>
        <v>0</v>
      </c>
      <c r="AO54" s="20">
        <f>'Allocators Data'!AR54/'Allocators Data'!$DF54</f>
        <v>0</v>
      </c>
      <c r="AP54" s="20">
        <f>'Allocators Data'!AS54/'Allocators Data'!$DF54</f>
        <v>0</v>
      </c>
      <c r="AQ54" s="20">
        <f>'Allocators Data'!AT54/'Allocators Data'!$DF54</f>
        <v>0</v>
      </c>
      <c r="AR54" s="21">
        <f>'Allocators Data'!AU54/'Allocators Data'!$DF54</f>
        <v>0</v>
      </c>
      <c r="AS54" s="20">
        <f>'Allocators Data'!AV54/'Allocators Data'!$DF54</f>
        <v>5.0237622966620652E-5</v>
      </c>
      <c r="AT54" s="20">
        <f>'Allocators Data'!AW54/'Allocators Data'!$DF54</f>
        <v>1.1485771208690123E-4</v>
      </c>
      <c r="AU54" s="20">
        <f>'Allocators Data'!AX54/'Allocators Data'!$DF54</f>
        <v>2.2997746926705886E-4</v>
      </c>
      <c r="AV54" s="20">
        <f>'Allocators Data'!AY54/'Allocators Data'!$DF54</f>
        <v>2.58574796609225E-2</v>
      </c>
      <c r="AW54" s="20">
        <f>'Allocators Data'!AZ54/'Allocators Data'!$DF54</f>
        <v>2.3699612198511424E-2</v>
      </c>
      <c r="AX54" s="21">
        <f>'Allocators Data'!BA54/'Allocators Data'!$DF54</f>
        <v>2.0796291091271608E-3</v>
      </c>
      <c r="AY54" s="20">
        <f>'Allocators Data'!BB54/'Allocators Data'!$DF54</f>
        <v>1.7272832000957743E-2</v>
      </c>
      <c r="AZ54" s="20">
        <f>'Allocators Data'!BC54/'Allocators Data'!$DF54</f>
        <v>3.4102656712398094E-2</v>
      </c>
      <c r="BA54" s="20">
        <f>'Allocators Data'!BD54/'Allocators Data'!$DF54</f>
        <v>5.1732055825197708E-2</v>
      </c>
      <c r="BB54" s="20">
        <f>'Allocators Data'!BE54/'Allocators Data'!$DF54</f>
        <v>0.32616352727657388</v>
      </c>
      <c r="BC54" s="20">
        <f>'Allocators Data'!BF54/'Allocators Data'!$DF54</f>
        <v>0.1798476798934972</v>
      </c>
      <c r="BD54" s="21">
        <f>'Allocators Data'!BG54/'Allocators Data'!$DF54</f>
        <v>0.13178759196101636</v>
      </c>
      <c r="BE54" s="20">
        <f>'Allocators Data'!BH54/'Allocators Data'!$DF54</f>
        <v>4.576958498738903E-5</v>
      </c>
      <c r="BF54" s="20">
        <f>'Allocators Data'!BI54/'Allocators Data'!$DF54</f>
        <v>1.0478570951728697E-4</v>
      </c>
      <c r="BG54" s="20">
        <f>'Allocators Data'!BJ54/'Allocators Data'!$DF54</f>
        <v>2.1912737715950833E-4</v>
      </c>
      <c r="BH54" s="20">
        <f>'Allocators Data'!BK54/'Allocators Data'!$DF54</f>
        <v>4.4839217580919478E-3</v>
      </c>
      <c r="BI54" s="20">
        <f>'Allocators Data'!BL54/'Allocators Data'!$DF54</f>
        <v>2.539589713825314E-3</v>
      </c>
      <c r="BJ54" s="21">
        <f>'Allocators Data'!BM54/'Allocators Data'!$DF54</f>
        <v>2.7077879781950741E-3</v>
      </c>
      <c r="BK54" s="20">
        <f>'Allocators Data'!BN54/'Allocators Data'!$DF54</f>
        <v>0</v>
      </c>
      <c r="BL54" s="20">
        <f>'Allocators Data'!BO54/'Allocators Data'!$DF54</f>
        <v>0</v>
      </c>
      <c r="BM54" s="20">
        <f>'Allocators Data'!BP54/'Allocators Data'!$DF54</f>
        <v>0</v>
      </c>
      <c r="BN54" s="20">
        <f>'Allocators Data'!BQ54/'Allocators Data'!$DF54</f>
        <v>0</v>
      </c>
      <c r="BO54" s="20">
        <f>'Allocators Data'!BR54/'Allocators Data'!$DF54</f>
        <v>0</v>
      </c>
      <c r="BP54" s="21">
        <f>'Allocators Data'!BS54/'Allocators Data'!$DF54</f>
        <v>0</v>
      </c>
      <c r="BQ54" s="20">
        <f>'Allocators Data'!BT54/'Allocators Data'!$DF54</f>
        <v>0</v>
      </c>
      <c r="BR54" s="20">
        <f>'Allocators Data'!BU54/'Allocators Data'!$DF54</f>
        <v>0</v>
      </c>
      <c r="BS54" s="20">
        <f>'Allocators Data'!BV54/'Allocators Data'!$DF54</f>
        <v>0</v>
      </c>
      <c r="BT54" s="20">
        <f>'Allocators Data'!BW54/'Allocators Data'!$DF54</f>
        <v>0</v>
      </c>
      <c r="BU54" s="20">
        <f>'Allocators Data'!BX54/'Allocators Data'!$DF54</f>
        <v>0</v>
      </c>
      <c r="BV54" s="21">
        <f>'Allocators Data'!BY54/'Allocators Data'!$DF54</f>
        <v>0</v>
      </c>
      <c r="BW54" s="22"/>
      <c r="BX54" s="20">
        <f>'Allocators Data'!CA54/'Allocators Data'!$DF54</f>
        <v>0</v>
      </c>
      <c r="BY54" s="20">
        <f>'Allocators Data'!CB54/'Allocators Data'!$DF54</f>
        <v>0</v>
      </c>
      <c r="BZ54" s="20">
        <f>'Allocators Data'!CC54/'Allocators Data'!$DF54</f>
        <v>0</v>
      </c>
      <c r="CA54" s="20">
        <f>'Allocators Data'!CD54/'Allocators Data'!$DF54</f>
        <v>0</v>
      </c>
      <c r="CB54" s="20">
        <f>'Allocators Data'!CE54/'Allocators Data'!$DF54</f>
        <v>0</v>
      </c>
      <c r="CC54" s="20">
        <f>'Allocators Data'!CF54/'Allocators Data'!$DF54</f>
        <v>0</v>
      </c>
      <c r="CD54" s="20">
        <f>'Allocators Data'!CG54/'Allocators Data'!$DF54</f>
        <v>0</v>
      </c>
      <c r="CE54" s="20">
        <f>'Allocators Data'!CH54/'Allocators Data'!$DF54</f>
        <v>0</v>
      </c>
      <c r="CF54" s="20">
        <f>'Allocators Data'!CI54/'Allocators Data'!$DF54</f>
        <v>0</v>
      </c>
      <c r="CG54" s="20">
        <f>'Allocators Data'!CJ54/'Allocators Data'!$DF54</f>
        <v>0</v>
      </c>
      <c r="CH54" s="22"/>
      <c r="CI54" s="20">
        <f>'Allocators Data'!CL54/'Allocators Data'!$DF54</f>
        <v>0</v>
      </c>
      <c r="CJ54" s="20">
        <f>'Allocators Data'!CM54/'Allocators Data'!$DF54</f>
        <v>0</v>
      </c>
      <c r="CK54" s="20">
        <f>'Allocators Data'!CN54/'Allocators Data'!$DF54</f>
        <v>0</v>
      </c>
      <c r="CL54" s="29">
        <f>'Allocators Data'!CO54/'Allocators Data'!$DF54</f>
        <v>0</v>
      </c>
      <c r="CM54" s="20">
        <f>'Allocators Data'!CP54/'Allocators Data'!$DF54</f>
        <v>0</v>
      </c>
      <c r="CN54" s="20">
        <f>'Allocators Data'!CQ54/'Allocators Data'!$DF54</f>
        <v>0</v>
      </c>
      <c r="CO54" s="22"/>
      <c r="CP54" s="20">
        <f>'Allocators Data'!CS54/'Allocators Data'!$DF54</f>
        <v>1.477793058590981E-2</v>
      </c>
      <c r="CQ54" s="20">
        <f>'Allocators Data'!CT54/'Allocators Data'!$DF54</f>
        <v>0.11794568024183263</v>
      </c>
      <c r="CR54" s="22"/>
      <c r="CS54" s="20">
        <f>'Allocators Data'!CV54/'Allocators Data'!$DF54</f>
        <v>0</v>
      </c>
      <c r="CT54" s="20">
        <f>'Allocators Data'!CW54/'Allocators Data'!$DF54</f>
        <v>0</v>
      </c>
      <c r="CU54" s="20">
        <f>'Allocators Data'!CX54/'Allocators Data'!$DF54</f>
        <v>1.1600727290423907E-3</v>
      </c>
      <c r="CV54" s="20">
        <f>'Allocators Data'!CY54/'Allocators Data'!$DF54</f>
        <v>0</v>
      </c>
      <c r="CW54" s="20">
        <f>'Allocators Data'!CZ54/'Allocators Data'!$DF54</f>
        <v>0</v>
      </c>
      <c r="CX54" s="20">
        <f>'Allocators Data'!DA54/'Allocators Data'!$DF54</f>
        <v>0</v>
      </c>
      <c r="CY54" s="20">
        <f>'Allocators Data'!DB54/'Allocators Data'!$DF54</f>
        <v>7.6092173514258161E-3</v>
      </c>
      <c r="CZ54" s="20">
        <f>'Allocators Data'!DC54/'Allocators Data'!$DF54</f>
        <v>0</v>
      </c>
      <c r="DA54" s="20">
        <f>'Allocators Data'!DD54/'Allocators Data'!$DF54</f>
        <v>2.8250216640167023E-4</v>
      </c>
      <c r="DB54" s="22"/>
      <c r="DC54" s="20">
        <f t="shared" si="20"/>
        <v>0.99999999999999989</v>
      </c>
    </row>
    <row r="55" spans="1:107" x14ac:dyDescent="0.2">
      <c r="A55">
        <v>8</v>
      </c>
      <c r="B55" t="s">
        <v>239</v>
      </c>
      <c r="C55" s="20">
        <f>'Allocators Data'!F55/'Allocators Data'!$DF55</f>
        <v>4.1976852770087012E-3</v>
      </c>
      <c r="D55" s="20">
        <f>'Allocators Data'!G55/'Allocators Data'!$DF55</f>
        <v>6.2833541774443913E-3</v>
      </c>
      <c r="E55" s="20">
        <f>'Allocators Data'!H55/'Allocators Data'!$DF55</f>
        <v>7.3178465220080403E-3</v>
      </c>
      <c r="F55" s="20">
        <f>'Allocators Data'!I55/'Allocators Data'!$DF55</f>
        <v>1.2837243631393868E-2</v>
      </c>
      <c r="G55" s="31">
        <f>'Allocators Data'!J55/'Allocators Data'!$DF55</f>
        <v>2.6898515120826617E-6</v>
      </c>
      <c r="H55" s="20">
        <f>'Allocators Data'!K55/'Allocators Data'!$DF55</f>
        <v>0</v>
      </c>
      <c r="I55" s="20">
        <f>'Allocators Data'!L55/'Allocators Data'!$DF55</f>
        <v>0</v>
      </c>
      <c r="J55" s="20">
        <f>'Allocators Data'!M55/'Allocators Data'!$DF55</f>
        <v>0</v>
      </c>
      <c r="K55" s="21">
        <f>'Allocators Data'!N55/'Allocators Data'!$DF55</f>
        <v>0</v>
      </c>
      <c r="L55" s="20">
        <f>'Allocators Data'!O55/'Allocators Data'!$DF55</f>
        <v>0</v>
      </c>
      <c r="M55" s="20">
        <f>'Allocators Data'!P55/'Allocators Data'!$DF55</f>
        <v>0</v>
      </c>
      <c r="N55" s="20">
        <f>'Allocators Data'!Q55/'Allocators Data'!$DF55</f>
        <v>0</v>
      </c>
      <c r="O55" s="21">
        <f>'Allocators Data'!R55/'Allocators Data'!$DF55</f>
        <v>0</v>
      </c>
      <c r="P55" s="20">
        <f>'Allocators Data'!S55/'Allocators Data'!$DF55</f>
        <v>0</v>
      </c>
      <c r="Q55" s="20">
        <f>'Allocators Data'!T55/'Allocators Data'!$DF55</f>
        <v>0</v>
      </c>
      <c r="R55" s="20">
        <f>'Allocators Data'!U55/'Allocators Data'!$DF55</f>
        <v>0</v>
      </c>
      <c r="S55" s="21">
        <f>'Allocators Data'!V55/'Allocators Data'!$DF55</f>
        <v>0</v>
      </c>
      <c r="T55" s="20">
        <f>'Allocators Data'!W55/'Allocators Data'!$DF55</f>
        <v>0</v>
      </c>
      <c r="U55" s="20">
        <f>'Allocators Data'!X55/'Allocators Data'!$DF55</f>
        <v>0</v>
      </c>
      <c r="V55" s="20">
        <f>'Allocators Data'!Y55/'Allocators Data'!$DF55</f>
        <v>0</v>
      </c>
      <c r="W55" s="20">
        <f>'Allocators Data'!Z55/'Allocators Data'!$DF55</f>
        <v>0</v>
      </c>
      <c r="X55" s="22"/>
      <c r="Y55" s="20">
        <f>'Allocators Data'!AB55/'Allocators Data'!$DF55</f>
        <v>0</v>
      </c>
      <c r="Z55" s="20">
        <f>'Allocators Data'!AC55/'Allocators Data'!$DF55</f>
        <v>4.6798379700144506E-2</v>
      </c>
      <c r="AA55" s="20">
        <f>'Allocators Data'!AD55/'Allocators Data'!$DF55</f>
        <v>0</v>
      </c>
      <c r="AB55" s="20">
        <f>'Allocators Data'!AE55/'Allocators Data'!$DF55</f>
        <v>0</v>
      </c>
      <c r="AC55" s="20">
        <f>'Allocators Data'!AF55/'Allocators Data'!$DF55</f>
        <v>0</v>
      </c>
      <c r="AD55" s="20">
        <f>'Allocators Data'!AG55/'Allocators Data'!$DF55</f>
        <v>0.23296798284623013</v>
      </c>
      <c r="AE55" s="20">
        <f>'Allocators Data'!AH55/'Allocators Data'!$DF55</f>
        <v>0.14436240882002613</v>
      </c>
      <c r="AF55" s="22"/>
      <c r="AG55" s="20">
        <f>'Allocators Data'!AJ55/'Allocators Data'!$DF55</f>
        <v>0</v>
      </c>
      <c r="AH55" s="20">
        <f>'Allocators Data'!AK55/'Allocators Data'!$DF55</f>
        <v>0</v>
      </c>
      <c r="AI55" s="20">
        <f>'Allocators Data'!AL55/'Allocators Data'!$DF55</f>
        <v>0</v>
      </c>
      <c r="AJ55" s="20">
        <f>'Allocators Data'!AM55/'Allocators Data'!$DF55</f>
        <v>0</v>
      </c>
      <c r="AK55" s="20">
        <f>'Allocators Data'!AN55/'Allocators Data'!$DF55</f>
        <v>0</v>
      </c>
      <c r="AL55" s="21">
        <f>'Allocators Data'!AO55/'Allocators Data'!$DF55</f>
        <v>0</v>
      </c>
      <c r="AM55" s="20">
        <f>'Allocators Data'!AP55/'Allocators Data'!$DF55</f>
        <v>0</v>
      </c>
      <c r="AN55" s="20">
        <f>'Allocators Data'!AQ55/'Allocators Data'!$DF55</f>
        <v>0</v>
      </c>
      <c r="AO55" s="20">
        <f>'Allocators Data'!AR55/'Allocators Data'!$DF55</f>
        <v>0</v>
      </c>
      <c r="AP55" s="20">
        <f>'Allocators Data'!AS55/'Allocators Data'!$DF55</f>
        <v>0</v>
      </c>
      <c r="AQ55" s="20">
        <f>'Allocators Data'!AT55/'Allocators Data'!$DF55</f>
        <v>0</v>
      </c>
      <c r="AR55" s="21">
        <f>'Allocators Data'!AU55/'Allocators Data'!$DF55</f>
        <v>0</v>
      </c>
      <c r="AS55" s="20">
        <f>'Allocators Data'!AV55/'Allocators Data'!$DF55</f>
        <v>3.2135020831859339E-5</v>
      </c>
      <c r="AT55" s="20">
        <f>'Allocators Data'!AW55/'Allocators Data'!$DF55</f>
        <v>7.3469936526747141E-5</v>
      </c>
      <c r="AU55" s="20">
        <f>'Allocators Data'!AX55/'Allocators Data'!$DF55</f>
        <v>1.4710749293742615E-4</v>
      </c>
      <c r="AV55" s="20">
        <f>'Allocators Data'!AY55/'Allocators Data'!$DF55</f>
        <v>1.6540007239498937E-2</v>
      </c>
      <c r="AW55" s="20">
        <f>'Allocators Data'!AZ55/'Allocators Data'!$DF55</f>
        <v>1.5159704753789274E-2</v>
      </c>
      <c r="AX55" s="21">
        <f>'Allocators Data'!BA55/'Allocators Data'!$DF55</f>
        <v>1.3302565049454168E-3</v>
      </c>
      <c r="AY55" s="20">
        <f>'Allocators Data'!BB55/'Allocators Data'!$DF55</f>
        <v>1.020061645331689E-2</v>
      </c>
      <c r="AZ55" s="20">
        <f>'Allocators Data'!BC55/'Allocators Data'!$DF55</f>
        <v>2.0139611219689806E-2</v>
      </c>
      <c r="BA55" s="20">
        <f>'Allocators Data'!BD55/'Allocators Data'!$DF55</f>
        <v>3.0550801384808226E-2</v>
      </c>
      <c r="BB55" s="20">
        <f>'Allocators Data'!BE55/'Allocators Data'!$DF55</f>
        <v>0.19261861880117939</v>
      </c>
      <c r="BC55" s="20">
        <f>'Allocators Data'!BF55/'Allocators Data'!$DF55</f>
        <v>0.10621056248973849</v>
      </c>
      <c r="BD55" s="21">
        <f>'Allocators Data'!BG55/'Allocators Data'!$DF55</f>
        <v>7.7828272678505561E-2</v>
      </c>
      <c r="BE55" s="20">
        <f>'Allocators Data'!BH55/'Allocators Data'!$DF55</f>
        <v>2.4301342789070261E-5</v>
      </c>
      <c r="BF55" s="20">
        <f>'Allocators Data'!BI55/'Allocators Data'!$DF55</f>
        <v>5.5635930434526685E-5</v>
      </c>
      <c r="BG55" s="20">
        <f>'Allocators Data'!BJ55/'Allocators Data'!$DF55</f>
        <v>1.1634559300221593E-4</v>
      </c>
      <c r="BH55" s="20">
        <f>'Allocators Data'!BK55/'Allocators Data'!$DF55</f>
        <v>2.3807364587812283E-3</v>
      </c>
      <c r="BI55" s="20">
        <f>'Allocators Data'!BL55/'Allocators Data'!$DF55</f>
        <v>1.3483941398260519E-3</v>
      </c>
      <c r="BJ55" s="21">
        <f>'Allocators Data'!BM55/'Allocators Data'!$DF55</f>
        <v>1.4376989408222247E-3</v>
      </c>
      <c r="BK55" s="20">
        <f>'Allocators Data'!BN55/'Allocators Data'!$DF55</f>
        <v>0</v>
      </c>
      <c r="BL55" s="20">
        <f>'Allocators Data'!BO55/'Allocators Data'!$DF55</f>
        <v>0</v>
      </c>
      <c r="BM55" s="20">
        <f>'Allocators Data'!BP55/'Allocators Data'!$DF55</f>
        <v>0</v>
      </c>
      <c r="BN55" s="20">
        <f>'Allocators Data'!BQ55/'Allocators Data'!$DF55</f>
        <v>0</v>
      </c>
      <c r="BO55" s="20">
        <f>'Allocators Data'!BR55/'Allocators Data'!$DF55</f>
        <v>0</v>
      </c>
      <c r="BP55" s="21">
        <f>'Allocators Data'!BS55/'Allocators Data'!$DF55</f>
        <v>0</v>
      </c>
      <c r="BQ55" s="20">
        <f>'Allocators Data'!BT55/'Allocators Data'!$DF55</f>
        <v>0</v>
      </c>
      <c r="BR55" s="20">
        <f>'Allocators Data'!BU55/'Allocators Data'!$DF55</f>
        <v>0</v>
      </c>
      <c r="BS55" s="20">
        <f>'Allocators Data'!BV55/'Allocators Data'!$DF55</f>
        <v>0</v>
      </c>
      <c r="BT55" s="20">
        <f>'Allocators Data'!BW55/'Allocators Data'!$DF55</f>
        <v>0</v>
      </c>
      <c r="BU55" s="20">
        <f>'Allocators Data'!BX55/'Allocators Data'!$DF55</f>
        <v>0</v>
      </c>
      <c r="BV55" s="21">
        <f>'Allocators Data'!BY55/'Allocators Data'!$DF55</f>
        <v>0</v>
      </c>
      <c r="BW55" s="22"/>
      <c r="BX55" s="20">
        <f>'Allocators Data'!CA55/'Allocators Data'!$DF55</f>
        <v>0</v>
      </c>
      <c r="BY55" s="20">
        <f>'Allocators Data'!CB55/'Allocators Data'!$DF55</f>
        <v>0</v>
      </c>
      <c r="BZ55" s="20">
        <f>'Allocators Data'!CC55/'Allocators Data'!$DF55</f>
        <v>0</v>
      </c>
      <c r="CA55" s="20">
        <f>'Allocators Data'!CD55/'Allocators Data'!$DF55</f>
        <v>0</v>
      </c>
      <c r="CB55" s="20">
        <f>'Allocators Data'!CE55/'Allocators Data'!$DF55</f>
        <v>0</v>
      </c>
      <c r="CC55" s="20">
        <f>'Allocators Data'!CF55/'Allocators Data'!$DF55</f>
        <v>0</v>
      </c>
      <c r="CD55" s="20">
        <f>'Allocators Data'!CG55/'Allocators Data'!$DF55</f>
        <v>0</v>
      </c>
      <c r="CE55" s="20">
        <f>'Allocators Data'!CH55/'Allocators Data'!$DF55</f>
        <v>0</v>
      </c>
      <c r="CF55" s="20">
        <f>'Allocators Data'!CI55/'Allocators Data'!$DF55</f>
        <v>0</v>
      </c>
      <c r="CG55" s="20">
        <f>'Allocators Data'!CJ55/'Allocators Data'!$DF55</f>
        <v>0</v>
      </c>
      <c r="CH55" s="22"/>
      <c r="CI55" s="20">
        <f>'Allocators Data'!CL55/'Allocators Data'!$DF55</f>
        <v>0</v>
      </c>
      <c r="CJ55" s="20">
        <f>'Allocators Data'!CM55/'Allocators Data'!$DF55</f>
        <v>0</v>
      </c>
      <c r="CK55" s="20">
        <f>'Allocators Data'!CN55/'Allocators Data'!$DF55</f>
        <v>0</v>
      </c>
      <c r="CL55" s="29">
        <f>'Allocators Data'!CO55/'Allocators Data'!$DF55</f>
        <v>0</v>
      </c>
      <c r="CM55" s="20">
        <f>'Allocators Data'!CP55/'Allocators Data'!$DF55</f>
        <v>0</v>
      </c>
      <c r="CN55" s="20">
        <f>'Allocators Data'!CQ55/'Allocators Data'!$DF55</f>
        <v>0</v>
      </c>
      <c r="CO55" s="22"/>
      <c r="CP55" s="20">
        <f>'Allocators Data'!CS55/'Allocators Data'!$DF55</f>
        <v>7.1990948012390895E-3</v>
      </c>
      <c r="CQ55" s="20">
        <f>'Allocators Data'!CT55/'Allocators Data'!$DF55</f>
        <v>5.7457444973193453E-2</v>
      </c>
      <c r="CR55" s="22"/>
      <c r="CS55" s="20">
        <f>'Allocators Data'!CV55/'Allocators Data'!$DF55</f>
        <v>0</v>
      </c>
      <c r="CT55" s="20">
        <f>'Allocators Data'!CW55/'Allocators Data'!$DF55</f>
        <v>0</v>
      </c>
      <c r="CU55" s="20">
        <f>'Allocators Data'!CX55/'Allocators Data'!$DF55</f>
        <v>5.7345823227654782E-4</v>
      </c>
      <c r="CV55" s="20">
        <f>'Allocators Data'!CY55/'Allocators Data'!$DF55</f>
        <v>0</v>
      </c>
      <c r="CW55" s="20">
        <f>'Allocators Data'!CZ55/'Allocators Data'!$DF55</f>
        <v>0</v>
      </c>
      <c r="CX55" s="20">
        <f>'Allocators Data'!DA55/'Allocators Data'!$DF55</f>
        <v>0</v>
      </c>
      <c r="CY55" s="20">
        <f>'Allocators Data'!DB55/'Allocators Data'!$DF55</f>
        <v>3.6222181615276788E-3</v>
      </c>
      <c r="CZ55" s="20">
        <f>'Allocators Data'!DC55/'Allocators Data'!$DF55</f>
        <v>0</v>
      </c>
      <c r="DA55" s="20">
        <f>'Allocators Data'!DD55/'Allocators Data'!$DF55</f>
        <v>1.8591662457228465E-4</v>
      </c>
      <c r="DB55" s="22"/>
      <c r="DC55" s="20">
        <f t="shared" si="20"/>
        <v>1.0000000000000002</v>
      </c>
    </row>
    <row r="56" spans="1:107" x14ac:dyDescent="0.2">
      <c r="A56">
        <v>9</v>
      </c>
      <c r="B56" t="s">
        <v>240</v>
      </c>
      <c r="C56" s="20">
        <f>'Allocators Data'!F56/'Allocators Data'!$DF56</f>
        <v>4.2307587542107939E-3</v>
      </c>
      <c r="D56" s="20">
        <f>'Allocators Data'!G56/'Allocators Data'!$DF56</f>
        <v>6.1380983421500156E-3</v>
      </c>
      <c r="E56" s="20">
        <f>'Allocators Data'!H56/'Allocators Data'!$DF56</f>
        <v>6.8570823394356328E-3</v>
      </c>
      <c r="F56" s="20">
        <f>'Allocators Data'!I56/'Allocators Data'!$DF56</f>
        <v>1.0974405174104191E-2</v>
      </c>
      <c r="G56" s="31">
        <f>'Allocators Data'!J56/'Allocators Data'!$DF56</f>
        <v>2.2435991416417903E-6</v>
      </c>
      <c r="H56" s="20">
        <f>'Allocators Data'!K56/'Allocators Data'!$DF56</f>
        <v>0</v>
      </c>
      <c r="I56" s="20">
        <f>'Allocators Data'!L56/'Allocators Data'!$DF56</f>
        <v>0</v>
      </c>
      <c r="J56" s="20">
        <f>'Allocators Data'!M56/'Allocators Data'!$DF56</f>
        <v>0</v>
      </c>
      <c r="K56" s="21">
        <f>'Allocators Data'!N56/'Allocators Data'!$DF56</f>
        <v>0</v>
      </c>
      <c r="L56" s="20">
        <f>'Allocators Data'!O56/'Allocators Data'!$DF56</f>
        <v>0</v>
      </c>
      <c r="M56" s="20">
        <f>'Allocators Data'!P56/'Allocators Data'!$DF56</f>
        <v>0</v>
      </c>
      <c r="N56" s="20">
        <f>'Allocators Data'!Q56/'Allocators Data'!$DF56</f>
        <v>0</v>
      </c>
      <c r="O56" s="21">
        <f>'Allocators Data'!R56/'Allocators Data'!$DF56</f>
        <v>0</v>
      </c>
      <c r="P56" s="20">
        <f>'Allocators Data'!S56/'Allocators Data'!$DF56</f>
        <v>0</v>
      </c>
      <c r="Q56" s="20">
        <f>'Allocators Data'!T56/'Allocators Data'!$DF56</f>
        <v>0</v>
      </c>
      <c r="R56" s="20">
        <f>'Allocators Data'!U56/'Allocators Data'!$DF56</f>
        <v>0</v>
      </c>
      <c r="S56" s="21">
        <f>'Allocators Data'!V56/'Allocators Data'!$DF56</f>
        <v>0</v>
      </c>
      <c r="T56" s="20">
        <f>'Allocators Data'!W56/'Allocators Data'!$DF56</f>
        <v>0</v>
      </c>
      <c r="U56" s="20">
        <f>'Allocators Data'!X56/'Allocators Data'!$DF56</f>
        <v>0</v>
      </c>
      <c r="V56" s="20">
        <f>'Allocators Data'!Y56/'Allocators Data'!$DF56</f>
        <v>0</v>
      </c>
      <c r="W56" s="20">
        <f>'Allocators Data'!Z56/'Allocators Data'!$DF56</f>
        <v>0</v>
      </c>
      <c r="X56" s="22"/>
      <c r="Y56" s="20">
        <f>'Allocators Data'!AB56/'Allocators Data'!$DF56</f>
        <v>0</v>
      </c>
      <c r="Z56" s="20">
        <f>'Allocators Data'!AC56/'Allocators Data'!$DF56</f>
        <v>4.2727849919806805E-2</v>
      </c>
      <c r="AA56" s="20">
        <f>'Allocators Data'!AD56/'Allocators Data'!$DF56</f>
        <v>0</v>
      </c>
      <c r="AB56" s="20">
        <f>'Allocators Data'!AE56/'Allocators Data'!$DF56</f>
        <v>0</v>
      </c>
      <c r="AC56" s="20">
        <f>'Allocators Data'!AF56/'Allocators Data'!$DF56</f>
        <v>0</v>
      </c>
      <c r="AD56" s="20">
        <f>'Allocators Data'!AG56/'Allocators Data'!$DF56</f>
        <v>0.2271565646331907</v>
      </c>
      <c r="AE56" s="20">
        <f>'Allocators Data'!AH56/'Allocators Data'!$DF56</f>
        <v>0.15177536268975192</v>
      </c>
      <c r="AF56" s="22"/>
      <c r="AG56" s="20">
        <f>'Allocators Data'!AJ56/'Allocators Data'!$DF56</f>
        <v>0</v>
      </c>
      <c r="AH56" s="20">
        <f>'Allocators Data'!AK56/'Allocators Data'!$DF56</f>
        <v>0</v>
      </c>
      <c r="AI56" s="20">
        <f>'Allocators Data'!AL56/'Allocators Data'!$DF56</f>
        <v>0</v>
      </c>
      <c r="AJ56" s="20">
        <f>'Allocators Data'!AM56/'Allocators Data'!$DF56</f>
        <v>0</v>
      </c>
      <c r="AK56" s="20">
        <f>'Allocators Data'!AN56/'Allocators Data'!$DF56</f>
        <v>0</v>
      </c>
      <c r="AL56" s="21">
        <f>'Allocators Data'!AO56/'Allocators Data'!$DF56</f>
        <v>0</v>
      </c>
      <c r="AM56" s="20">
        <f>'Allocators Data'!AP56/'Allocators Data'!$DF56</f>
        <v>0</v>
      </c>
      <c r="AN56" s="20">
        <f>'Allocators Data'!AQ56/'Allocators Data'!$DF56</f>
        <v>0</v>
      </c>
      <c r="AO56" s="20">
        <f>'Allocators Data'!AR56/'Allocators Data'!$DF56</f>
        <v>0</v>
      </c>
      <c r="AP56" s="20">
        <f>'Allocators Data'!AS56/'Allocators Data'!$DF56</f>
        <v>0</v>
      </c>
      <c r="AQ56" s="20">
        <f>'Allocators Data'!AT56/'Allocators Data'!$DF56</f>
        <v>0</v>
      </c>
      <c r="AR56" s="21">
        <f>'Allocators Data'!AU56/'Allocators Data'!$DF56</f>
        <v>0</v>
      </c>
      <c r="AS56" s="20">
        <f>'Allocators Data'!AV56/'Allocators Data'!$DF56</f>
        <v>2.9094014617985638E-5</v>
      </c>
      <c r="AT56" s="20">
        <f>'Allocators Data'!AW56/'Allocators Data'!$DF56</f>
        <v>6.6517318239061487E-5</v>
      </c>
      <c r="AU56" s="20">
        <f>'Allocators Data'!AX56/'Allocators Data'!$DF56</f>
        <v>1.3318639413152224E-4</v>
      </c>
      <c r="AV56" s="20">
        <f>'Allocators Data'!AY56/'Allocators Data'!$DF56</f>
        <v>1.4974790740775977E-2</v>
      </c>
      <c r="AW56" s="20">
        <f>'Allocators Data'!AZ56/'Allocators Data'!$DF56</f>
        <v>1.3725109251331762E-2</v>
      </c>
      <c r="AX56" s="21">
        <f>'Allocators Data'!BA56/'Allocators Data'!$DF56</f>
        <v>1.2043714675978041E-3</v>
      </c>
      <c r="AY56" s="20">
        <f>'Allocators Data'!BB56/'Allocators Data'!$DF56</f>
        <v>1.0367869159174479E-2</v>
      </c>
      <c r="AZ56" s="20">
        <f>'Allocators Data'!BC56/'Allocators Data'!$DF56</f>
        <v>2.0469826995062643E-2</v>
      </c>
      <c r="BA56" s="20">
        <f>'Allocators Data'!BD56/'Allocators Data'!$DF56</f>
        <v>3.105172250277315E-2</v>
      </c>
      <c r="BB56" s="20">
        <f>'Allocators Data'!BE56/'Allocators Data'!$DF56</f>
        <v>0.19577685784883742</v>
      </c>
      <c r="BC56" s="20">
        <f>'Allocators Data'!BF56/'Allocators Data'!$DF56</f>
        <v>0.10795202625796878</v>
      </c>
      <c r="BD56" s="21">
        <f>'Allocators Data'!BG56/'Allocators Data'!$DF56</f>
        <v>7.9104370967003568E-2</v>
      </c>
      <c r="BE56" s="20">
        <f>'Allocators Data'!BH56/'Allocators Data'!$DF56</f>
        <v>2.2632127031878583E-5</v>
      </c>
      <c r="BF56" s="20">
        <f>'Allocators Data'!BI56/'Allocators Data'!$DF56</f>
        <v>5.1814397914558266E-5</v>
      </c>
      <c r="BG56" s="20">
        <f>'Allocators Data'!BJ56/'Allocators Data'!$DF56</f>
        <v>1.0835402237977058E-4</v>
      </c>
      <c r="BH56" s="20">
        <f>'Allocators Data'!BK56/'Allocators Data'!$DF56</f>
        <v>2.2172079309458995E-3</v>
      </c>
      <c r="BI56" s="20">
        <f>'Allocators Data'!BL56/'Allocators Data'!$DF56</f>
        <v>1.2557753588542091E-3</v>
      </c>
      <c r="BJ56" s="21">
        <f>'Allocators Data'!BM56/'Allocators Data'!$DF56</f>
        <v>1.3389459728505295E-3</v>
      </c>
      <c r="BK56" s="20">
        <f>'Allocators Data'!BN56/'Allocators Data'!$DF56</f>
        <v>0</v>
      </c>
      <c r="BL56" s="20">
        <f>'Allocators Data'!BO56/'Allocators Data'!$DF56</f>
        <v>0</v>
      </c>
      <c r="BM56" s="20">
        <f>'Allocators Data'!BP56/'Allocators Data'!$DF56</f>
        <v>0</v>
      </c>
      <c r="BN56" s="20">
        <f>'Allocators Data'!BQ56/'Allocators Data'!$DF56</f>
        <v>0</v>
      </c>
      <c r="BO56" s="20">
        <f>'Allocators Data'!BR56/'Allocators Data'!$DF56</f>
        <v>0</v>
      </c>
      <c r="BP56" s="21">
        <f>'Allocators Data'!BS56/'Allocators Data'!$DF56</f>
        <v>0</v>
      </c>
      <c r="BQ56" s="20">
        <f>'Allocators Data'!BT56/'Allocators Data'!$DF56</f>
        <v>0</v>
      </c>
      <c r="BR56" s="20">
        <f>'Allocators Data'!BU56/'Allocators Data'!$DF56</f>
        <v>0</v>
      </c>
      <c r="BS56" s="20">
        <f>'Allocators Data'!BV56/'Allocators Data'!$DF56</f>
        <v>0</v>
      </c>
      <c r="BT56" s="20">
        <f>'Allocators Data'!BW56/'Allocators Data'!$DF56</f>
        <v>0</v>
      </c>
      <c r="BU56" s="20">
        <f>'Allocators Data'!BX56/'Allocators Data'!$DF56</f>
        <v>0</v>
      </c>
      <c r="BV56" s="21">
        <f>'Allocators Data'!BY56/'Allocators Data'!$DF56</f>
        <v>0</v>
      </c>
      <c r="BW56" s="22"/>
      <c r="BX56" s="20">
        <f>'Allocators Data'!CA56/'Allocators Data'!$DF56</f>
        <v>0</v>
      </c>
      <c r="BY56" s="20">
        <f>'Allocators Data'!CB56/'Allocators Data'!$DF56</f>
        <v>0</v>
      </c>
      <c r="BZ56" s="20">
        <f>'Allocators Data'!CC56/'Allocators Data'!$DF56</f>
        <v>0</v>
      </c>
      <c r="CA56" s="20">
        <f>'Allocators Data'!CD56/'Allocators Data'!$DF56</f>
        <v>0</v>
      </c>
      <c r="CB56" s="20">
        <f>'Allocators Data'!CE56/'Allocators Data'!$DF56</f>
        <v>0</v>
      </c>
      <c r="CC56" s="20">
        <f>'Allocators Data'!CF56/'Allocators Data'!$DF56</f>
        <v>0</v>
      </c>
      <c r="CD56" s="20">
        <f>'Allocators Data'!CG56/'Allocators Data'!$DF56</f>
        <v>0</v>
      </c>
      <c r="CE56" s="20">
        <f>'Allocators Data'!CH56/'Allocators Data'!$DF56</f>
        <v>0</v>
      </c>
      <c r="CF56" s="20">
        <f>'Allocators Data'!CI56/'Allocators Data'!$DF56</f>
        <v>0</v>
      </c>
      <c r="CG56" s="20">
        <f>'Allocators Data'!CJ56/'Allocators Data'!$DF56</f>
        <v>0</v>
      </c>
      <c r="CH56" s="22"/>
      <c r="CI56" s="20">
        <f>'Allocators Data'!CL56/'Allocators Data'!$DF56</f>
        <v>0</v>
      </c>
      <c r="CJ56" s="20">
        <f>'Allocators Data'!CM56/'Allocators Data'!$DF56</f>
        <v>0</v>
      </c>
      <c r="CK56" s="20">
        <f>'Allocators Data'!CN56/'Allocators Data'!$DF56</f>
        <v>0</v>
      </c>
      <c r="CL56" s="29">
        <f>'Allocators Data'!CO56/'Allocators Data'!$DF56</f>
        <v>0</v>
      </c>
      <c r="CM56" s="20">
        <f>'Allocators Data'!CP56/'Allocators Data'!$DF56</f>
        <v>0</v>
      </c>
      <c r="CN56" s="20">
        <f>'Allocators Data'!CQ56/'Allocators Data'!$DF56</f>
        <v>0</v>
      </c>
      <c r="CO56" s="22"/>
      <c r="CP56" s="20">
        <f>'Allocators Data'!CS56/'Allocators Data'!$DF56</f>
        <v>7.3237878349353336E-3</v>
      </c>
      <c r="CQ56" s="20">
        <f>'Allocators Data'!CT56/'Allocators Data'!$DF56</f>
        <v>5.8452645525478089E-2</v>
      </c>
      <c r="CR56" s="22"/>
      <c r="CS56" s="20">
        <f>'Allocators Data'!CV56/'Allocators Data'!$DF56</f>
        <v>0</v>
      </c>
      <c r="CT56" s="20">
        <f>'Allocators Data'!CW56/'Allocators Data'!$DF56</f>
        <v>0</v>
      </c>
      <c r="CU56" s="20">
        <f>'Allocators Data'!CX56/'Allocators Data'!$DF56</f>
        <v>6.1139503835655864E-4</v>
      </c>
      <c r="CV56" s="20">
        <f>'Allocators Data'!CY56/'Allocators Data'!$DF56</f>
        <v>0</v>
      </c>
      <c r="CW56" s="20">
        <f>'Allocators Data'!CZ56/'Allocators Data'!$DF56</f>
        <v>0</v>
      </c>
      <c r="CX56" s="20">
        <f>'Allocators Data'!DA56/'Allocators Data'!$DF56</f>
        <v>0</v>
      </c>
      <c r="CY56" s="20">
        <f>'Allocators Data'!DB56/'Allocators Data'!$DF56</f>
        <v>3.8447547386386664E-3</v>
      </c>
      <c r="CZ56" s="20">
        <f>'Allocators Data'!DC56/'Allocators Data'!$DF56</f>
        <v>0</v>
      </c>
      <c r="DA56" s="20">
        <f>'Allocators Data'!DD56/'Allocators Data'!$DF56</f>
        <v>5.457868330855044E-5</v>
      </c>
      <c r="DB56" s="22"/>
      <c r="DC56" s="20">
        <f t="shared" si="20"/>
        <v>1</v>
      </c>
    </row>
    <row r="57" spans="1:107" x14ac:dyDescent="0.2">
      <c r="A57">
        <v>10</v>
      </c>
      <c r="B57" t="s">
        <v>241</v>
      </c>
      <c r="C57" s="20">
        <f>'Allocators Data'!F57/'Allocators Data'!$DF57</f>
        <v>5.3701043733036941E-3</v>
      </c>
      <c r="D57" s="20">
        <f>'Allocators Data'!G57/'Allocators Data'!$DF57</f>
        <v>6.8670627969538963E-3</v>
      </c>
      <c r="E57" s="20">
        <f>'Allocators Data'!H57/'Allocators Data'!$DF57</f>
        <v>6.6594760698881986E-3</v>
      </c>
      <c r="F57" s="20">
        <f>'Allocators Data'!I57/'Allocators Data'!$DF57</f>
        <v>9.2456720414582257E-3</v>
      </c>
      <c r="G57" s="31">
        <f>'Allocators Data'!J57/'Allocators Data'!$DF57</f>
        <v>3.45783852705725E-6</v>
      </c>
      <c r="H57" s="20">
        <f>'Allocators Data'!K57/'Allocators Data'!$DF57</f>
        <v>0</v>
      </c>
      <c r="I57" s="20">
        <f>'Allocators Data'!L57/'Allocators Data'!$DF57</f>
        <v>0</v>
      </c>
      <c r="J57" s="20">
        <f>'Allocators Data'!M57/'Allocators Data'!$DF57</f>
        <v>0</v>
      </c>
      <c r="K57" s="21">
        <f>'Allocators Data'!N57/'Allocators Data'!$DF57</f>
        <v>0</v>
      </c>
      <c r="L57" s="20">
        <f>'Allocators Data'!O57/'Allocators Data'!$DF57</f>
        <v>0</v>
      </c>
      <c r="M57" s="20">
        <f>'Allocators Data'!P57/'Allocators Data'!$DF57</f>
        <v>0</v>
      </c>
      <c r="N57" s="20">
        <f>'Allocators Data'!Q57/'Allocators Data'!$DF57</f>
        <v>0</v>
      </c>
      <c r="O57" s="21">
        <f>'Allocators Data'!R57/'Allocators Data'!$DF57</f>
        <v>0</v>
      </c>
      <c r="P57" s="20">
        <f>'Allocators Data'!S57/'Allocators Data'!$DF57</f>
        <v>0</v>
      </c>
      <c r="Q57" s="20">
        <f>'Allocators Data'!T57/'Allocators Data'!$DF57</f>
        <v>0</v>
      </c>
      <c r="R57" s="20">
        <f>'Allocators Data'!U57/'Allocators Data'!$DF57</f>
        <v>0</v>
      </c>
      <c r="S57" s="21">
        <f>'Allocators Data'!V57/'Allocators Data'!$DF57</f>
        <v>0</v>
      </c>
      <c r="T57" s="20">
        <f>'Allocators Data'!W57/'Allocators Data'!$DF57</f>
        <v>0</v>
      </c>
      <c r="U57" s="20">
        <f>'Allocators Data'!X57/'Allocators Data'!$DF57</f>
        <v>0</v>
      </c>
      <c r="V57" s="20">
        <f>'Allocators Data'!Y57/'Allocators Data'!$DF57</f>
        <v>0</v>
      </c>
      <c r="W57" s="20">
        <f>'Allocators Data'!Z57/'Allocators Data'!$DF57</f>
        <v>0</v>
      </c>
      <c r="X57" s="22"/>
      <c r="Y57" s="20">
        <f>'Allocators Data'!AB57/'Allocators Data'!$DF57</f>
        <v>0</v>
      </c>
      <c r="Z57" s="20">
        <f>'Allocators Data'!AC57/'Allocators Data'!$DF57</f>
        <v>4.90769633161472E-2</v>
      </c>
      <c r="AA57" s="20">
        <f>'Allocators Data'!AD57/'Allocators Data'!$DF57</f>
        <v>0</v>
      </c>
      <c r="AB57" s="20">
        <f>'Allocators Data'!AE57/'Allocators Data'!$DF57</f>
        <v>0</v>
      </c>
      <c r="AC57" s="20">
        <f>'Allocators Data'!AF57/'Allocators Data'!$DF57</f>
        <v>0</v>
      </c>
      <c r="AD57" s="20">
        <f>'Allocators Data'!AG57/'Allocators Data'!$DF57</f>
        <v>0.2245006229427759</v>
      </c>
      <c r="AE57" s="20">
        <f>'Allocators Data'!AH57/'Allocators Data'!$DF57</f>
        <v>0.1601842003830124</v>
      </c>
      <c r="AF57" s="22"/>
      <c r="AG57" s="20">
        <f>'Allocators Data'!AJ57/'Allocators Data'!$DF57</f>
        <v>0</v>
      </c>
      <c r="AH57" s="20">
        <f>'Allocators Data'!AK57/'Allocators Data'!$DF57</f>
        <v>0</v>
      </c>
      <c r="AI57" s="20">
        <f>'Allocators Data'!AL57/'Allocators Data'!$DF57</f>
        <v>0</v>
      </c>
      <c r="AJ57" s="20">
        <f>'Allocators Data'!AM57/'Allocators Data'!$DF57</f>
        <v>0</v>
      </c>
      <c r="AK57" s="20">
        <f>'Allocators Data'!AN57/'Allocators Data'!$DF57</f>
        <v>0</v>
      </c>
      <c r="AL57" s="21">
        <f>'Allocators Data'!AO57/'Allocators Data'!$DF57</f>
        <v>0</v>
      </c>
      <c r="AM57" s="20">
        <f>'Allocators Data'!AP57/'Allocators Data'!$DF57</f>
        <v>0</v>
      </c>
      <c r="AN57" s="20">
        <f>'Allocators Data'!AQ57/'Allocators Data'!$DF57</f>
        <v>0</v>
      </c>
      <c r="AO57" s="20">
        <f>'Allocators Data'!AR57/'Allocators Data'!$DF57</f>
        <v>0</v>
      </c>
      <c r="AP57" s="20">
        <f>'Allocators Data'!AS57/'Allocators Data'!$DF57</f>
        <v>0</v>
      </c>
      <c r="AQ57" s="20">
        <f>'Allocators Data'!AT57/'Allocators Data'!$DF57</f>
        <v>0</v>
      </c>
      <c r="AR57" s="21">
        <f>'Allocators Data'!AU57/'Allocators Data'!$DF57</f>
        <v>0</v>
      </c>
      <c r="AS57" s="20">
        <f>'Allocators Data'!AV57/'Allocators Data'!$DF57</f>
        <v>3.0749924376828676E-5</v>
      </c>
      <c r="AT57" s="20">
        <f>'Allocators Data'!AW57/'Allocators Data'!$DF57</f>
        <v>7.0303206087486453E-5</v>
      </c>
      <c r="AU57" s="20">
        <f>'Allocators Data'!AX57/'Allocators Data'!$DF57</f>
        <v>1.4076680723996843E-4</v>
      </c>
      <c r="AV57" s="20">
        <f>'Allocators Data'!AY57/'Allocators Data'!$DF57</f>
        <v>1.5827093265878656E-2</v>
      </c>
      <c r="AW57" s="20">
        <f>'Allocators Data'!AZ57/'Allocators Data'!$DF57</f>
        <v>1.4506285127156654E-2</v>
      </c>
      <c r="AX57" s="21">
        <f>'Allocators Data'!BA57/'Allocators Data'!$DF57</f>
        <v>1.2729192597349002E-3</v>
      </c>
      <c r="AY57" s="20">
        <f>'Allocators Data'!BB57/'Allocators Data'!$DF57</f>
        <v>9.7437526377528189E-3</v>
      </c>
      <c r="AZ57" s="20">
        <f>'Allocators Data'!BC57/'Allocators Data'!$DF57</f>
        <v>1.9237601064919934E-2</v>
      </c>
      <c r="BA57" s="20">
        <f>'Allocators Data'!BD57/'Allocators Data'!$DF57</f>
        <v>2.9182496267849814E-2</v>
      </c>
      <c r="BB57" s="20">
        <f>'Allocators Data'!BE57/'Allocators Data'!$DF57</f>
        <v>0.18399164242804325</v>
      </c>
      <c r="BC57" s="20">
        <f>'Allocators Data'!BF57/'Allocators Data'!$DF57</f>
        <v>0.10145361833304588</v>
      </c>
      <c r="BD57" s="21">
        <f>'Allocators Data'!BG57/'Allocators Data'!$DF57</f>
        <v>7.4342510638790688E-2</v>
      </c>
      <c r="BE57" s="20">
        <f>'Allocators Data'!BH57/'Allocators Data'!$DF57</f>
        <v>2.6124945590888352E-5</v>
      </c>
      <c r="BF57" s="20">
        <f>'Allocators Data'!BI57/'Allocators Data'!$DF57</f>
        <v>5.9810919425990595E-5</v>
      </c>
      <c r="BG57" s="20">
        <f>'Allocators Data'!BJ57/'Allocators Data'!$DF57</f>
        <v>1.2507631011606418E-4</v>
      </c>
      <c r="BH57" s="20">
        <f>'Allocators Data'!BK57/'Allocators Data'!$DF57</f>
        <v>2.5593898654800778E-3</v>
      </c>
      <c r="BI57" s="20">
        <f>'Allocators Data'!BL57/'Allocators Data'!$DF57</f>
        <v>1.4495793028306166E-3</v>
      </c>
      <c r="BJ57" s="21">
        <f>'Allocators Data'!BM57/'Allocators Data'!$DF57</f>
        <v>1.5455856464833407E-3</v>
      </c>
      <c r="BK57" s="20">
        <f>'Allocators Data'!BN57/'Allocators Data'!$DF57</f>
        <v>0</v>
      </c>
      <c r="BL57" s="20">
        <f>'Allocators Data'!BO57/'Allocators Data'!$DF57</f>
        <v>0</v>
      </c>
      <c r="BM57" s="20">
        <f>'Allocators Data'!BP57/'Allocators Data'!$DF57</f>
        <v>0</v>
      </c>
      <c r="BN57" s="20">
        <f>'Allocators Data'!BQ57/'Allocators Data'!$DF57</f>
        <v>0</v>
      </c>
      <c r="BO57" s="20">
        <f>'Allocators Data'!BR57/'Allocators Data'!$DF57</f>
        <v>0</v>
      </c>
      <c r="BP57" s="21">
        <f>'Allocators Data'!BS57/'Allocators Data'!$DF57</f>
        <v>0</v>
      </c>
      <c r="BQ57" s="20">
        <f>'Allocators Data'!BT57/'Allocators Data'!$DF57</f>
        <v>0</v>
      </c>
      <c r="BR57" s="20">
        <f>'Allocators Data'!BU57/'Allocators Data'!$DF57</f>
        <v>0</v>
      </c>
      <c r="BS57" s="20">
        <f>'Allocators Data'!BV57/'Allocators Data'!$DF57</f>
        <v>0</v>
      </c>
      <c r="BT57" s="20">
        <f>'Allocators Data'!BW57/'Allocators Data'!$DF57</f>
        <v>0</v>
      </c>
      <c r="BU57" s="20">
        <f>'Allocators Data'!BX57/'Allocators Data'!$DF57</f>
        <v>0</v>
      </c>
      <c r="BV57" s="21">
        <f>'Allocators Data'!BY57/'Allocators Data'!$DF57</f>
        <v>0</v>
      </c>
      <c r="BW57" s="22"/>
      <c r="BX57" s="20">
        <f>'Allocators Data'!CA57/'Allocators Data'!$DF57</f>
        <v>0</v>
      </c>
      <c r="BY57" s="20">
        <f>'Allocators Data'!CB57/'Allocators Data'!$DF57</f>
        <v>0</v>
      </c>
      <c r="BZ57" s="20">
        <f>'Allocators Data'!CC57/'Allocators Data'!$DF57</f>
        <v>0</v>
      </c>
      <c r="CA57" s="20">
        <f>'Allocators Data'!CD57/'Allocators Data'!$DF57</f>
        <v>0</v>
      </c>
      <c r="CB57" s="20">
        <f>'Allocators Data'!CE57/'Allocators Data'!$DF57</f>
        <v>0</v>
      </c>
      <c r="CC57" s="20">
        <f>'Allocators Data'!CF57/'Allocators Data'!$DF57</f>
        <v>0</v>
      </c>
      <c r="CD57" s="20">
        <f>'Allocators Data'!CG57/'Allocators Data'!$DF57</f>
        <v>0</v>
      </c>
      <c r="CE57" s="20">
        <f>'Allocators Data'!CH57/'Allocators Data'!$DF57</f>
        <v>0</v>
      </c>
      <c r="CF57" s="20">
        <f>'Allocators Data'!CI57/'Allocators Data'!$DF57</f>
        <v>0</v>
      </c>
      <c r="CG57" s="20">
        <f>'Allocators Data'!CJ57/'Allocators Data'!$DF57</f>
        <v>0</v>
      </c>
      <c r="CH57" s="22"/>
      <c r="CI57" s="20">
        <f>'Allocators Data'!CL57/'Allocators Data'!$DF57</f>
        <v>0</v>
      </c>
      <c r="CJ57" s="20">
        <f>'Allocators Data'!CM57/'Allocators Data'!$DF57</f>
        <v>0</v>
      </c>
      <c r="CK57" s="20">
        <f>'Allocators Data'!CN57/'Allocators Data'!$DF57</f>
        <v>0</v>
      </c>
      <c r="CL57" s="29">
        <f>'Allocators Data'!CO57/'Allocators Data'!$DF57</f>
        <v>0</v>
      </c>
      <c r="CM57" s="20">
        <f>'Allocators Data'!CP57/'Allocators Data'!$DF57</f>
        <v>0</v>
      </c>
      <c r="CN57" s="20">
        <f>'Allocators Data'!CQ57/'Allocators Data'!$DF57</f>
        <v>0</v>
      </c>
      <c r="CO57" s="22"/>
      <c r="CP57" s="20">
        <f>'Allocators Data'!CS57/'Allocators Data'!$DF57</f>
        <v>8.5384650019038055E-3</v>
      </c>
      <c r="CQ57" s="20">
        <f>'Allocators Data'!CT57/'Allocators Data'!$DF57</f>
        <v>6.8147231915599377E-2</v>
      </c>
      <c r="CR57" s="22"/>
      <c r="CS57" s="20">
        <f>'Allocators Data'!CV57/'Allocators Data'!$DF57</f>
        <v>0</v>
      </c>
      <c r="CT57" s="20">
        <f>'Allocators Data'!CW57/'Allocators Data'!$DF57</f>
        <v>0</v>
      </c>
      <c r="CU57" s="20">
        <f>'Allocators Data'!CX57/'Allocators Data'!$DF57</f>
        <v>8.4187767994596194E-4</v>
      </c>
      <c r="CV57" s="20">
        <f>'Allocators Data'!CY57/'Allocators Data'!$DF57</f>
        <v>0</v>
      </c>
      <c r="CW57" s="20">
        <f>'Allocators Data'!CZ57/'Allocators Data'!$DF57</f>
        <v>0</v>
      </c>
      <c r="CX57" s="20">
        <f>'Allocators Data'!DA57/'Allocators Data'!$DF57</f>
        <v>0</v>
      </c>
      <c r="CY57" s="20">
        <f>'Allocators Data'!DB57/'Allocators Data'!$DF57</f>
        <v>4.9233362083770079E-3</v>
      </c>
      <c r="CZ57" s="20">
        <f>'Allocators Data'!DC57/'Allocators Data'!$DF57</f>
        <v>0</v>
      </c>
      <c r="DA57" s="20">
        <f>'Allocators Data'!DD57/'Allocators Data'!$DF57</f>
        <v>7.6223481303439207E-5</v>
      </c>
      <c r="DB57" s="22"/>
      <c r="DC57" s="20">
        <f t="shared" si="20"/>
        <v>0.99999999999999989</v>
      </c>
    </row>
    <row r="58" spans="1:107" x14ac:dyDescent="0.2">
      <c r="A58">
        <v>11</v>
      </c>
      <c r="B58" t="s">
        <v>242</v>
      </c>
      <c r="C58" s="20">
        <f>'Allocators Data'!F58/'Allocators Data'!$DF58</f>
        <v>4.9743574355049563E-3</v>
      </c>
      <c r="D58" s="20">
        <f>'Allocators Data'!G58/'Allocators Data'!$DF58</f>
        <v>6.9837753722315522E-3</v>
      </c>
      <c r="E58" s="20">
        <f>'Allocators Data'!H58/'Allocators Data'!$DF58</f>
        <v>7.3000661805393179E-3</v>
      </c>
      <c r="F58" s="20">
        <f>'Allocators Data'!I58/'Allocators Data'!$DF58</f>
        <v>1.0401187562893786E-2</v>
      </c>
      <c r="G58" s="31">
        <f>'Allocators Data'!J58/'Allocators Data'!$DF58</f>
        <v>1.3121326249587626E-6</v>
      </c>
      <c r="H58" s="20">
        <f>'Allocators Data'!K58/'Allocators Data'!$DF58</f>
        <v>0</v>
      </c>
      <c r="I58" s="20">
        <f>'Allocators Data'!L58/'Allocators Data'!$DF58</f>
        <v>0</v>
      </c>
      <c r="J58" s="20">
        <f>'Allocators Data'!M58/'Allocators Data'!$DF58</f>
        <v>0</v>
      </c>
      <c r="K58" s="21">
        <f>'Allocators Data'!N58/'Allocators Data'!$DF58</f>
        <v>0</v>
      </c>
      <c r="L58" s="20">
        <f>'Allocators Data'!O58/'Allocators Data'!$DF58</f>
        <v>0</v>
      </c>
      <c r="M58" s="20">
        <f>'Allocators Data'!P58/'Allocators Data'!$DF58</f>
        <v>0</v>
      </c>
      <c r="N58" s="20">
        <f>'Allocators Data'!Q58/'Allocators Data'!$DF58</f>
        <v>0</v>
      </c>
      <c r="O58" s="21">
        <f>'Allocators Data'!R58/'Allocators Data'!$DF58</f>
        <v>0</v>
      </c>
      <c r="P58" s="20">
        <f>'Allocators Data'!S58/'Allocators Data'!$DF58</f>
        <v>0</v>
      </c>
      <c r="Q58" s="20">
        <f>'Allocators Data'!T58/'Allocators Data'!$DF58</f>
        <v>0</v>
      </c>
      <c r="R58" s="20">
        <f>'Allocators Data'!U58/'Allocators Data'!$DF58</f>
        <v>0</v>
      </c>
      <c r="S58" s="21">
        <f>'Allocators Data'!V58/'Allocators Data'!$DF58</f>
        <v>0</v>
      </c>
      <c r="T58" s="20">
        <f>'Allocators Data'!W58/'Allocators Data'!$DF58</f>
        <v>0</v>
      </c>
      <c r="U58" s="20">
        <f>'Allocators Data'!X58/'Allocators Data'!$DF58</f>
        <v>0</v>
      </c>
      <c r="V58" s="20">
        <f>'Allocators Data'!Y58/'Allocators Data'!$DF58</f>
        <v>0</v>
      </c>
      <c r="W58" s="20">
        <f>'Allocators Data'!Z58/'Allocators Data'!$DF58</f>
        <v>0</v>
      </c>
      <c r="X58" s="22"/>
      <c r="Y58" s="20">
        <f>'Allocators Data'!AB58/'Allocators Data'!$DF58</f>
        <v>0</v>
      </c>
      <c r="Z58" s="20">
        <f>'Allocators Data'!AC58/'Allocators Data'!$DF58</f>
        <v>5.1327156213249528E-2</v>
      </c>
      <c r="AA58" s="20">
        <f>'Allocators Data'!AD58/'Allocators Data'!$DF58</f>
        <v>0</v>
      </c>
      <c r="AB58" s="20">
        <f>'Allocators Data'!AE58/'Allocators Data'!$DF58</f>
        <v>0</v>
      </c>
      <c r="AC58" s="20">
        <f>'Allocators Data'!AF58/'Allocators Data'!$DF58</f>
        <v>0</v>
      </c>
      <c r="AD58" s="20">
        <f>'Allocators Data'!AG58/'Allocators Data'!$DF58</f>
        <v>0.23615877674470023</v>
      </c>
      <c r="AE58" s="20">
        <f>'Allocators Data'!AH58/'Allocators Data'!$DF58</f>
        <v>0.15912833035126883</v>
      </c>
      <c r="AF58" s="22"/>
      <c r="AG58" s="20">
        <f>'Allocators Data'!AJ58/'Allocators Data'!$DF58</f>
        <v>0</v>
      </c>
      <c r="AH58" s="20">
        <f>'Allocators Data'!AK58/'Allocators Data'!$DF58</f>
        <v>0</v>
      </c>
      <c r="AI58" s="20">
        <f>'Allocators Data'!AL58/'Allocators Data'!$DF58</f>
        <v>0</v>
      </c>
      <c r="AJ58" s="20">
        <f>'Allocators Data'!AM58/'Allocators Data'!$DF58</f>
        <v>0</v>
      </c>
      <c r="AK58" s="20">
        <f>'Allocators Data'!AN58/'Allocators Data'!$DF58</f>
        <v>0</v>
      </c>
      <c r="AL58" s="21">
        <f>'Allocators Data'!AO58/'Allocators Data'!$DF58</f>
        <v>0</v>
      </c>
      <c r="AM58" s="20">
        <f>'Allocators Data'!AP58/'Allocators Data'!$DF58</f>
        <v>0</v>
      </c>
      <c r="AN58" s="20">
        <f>'Allocators Data'!AQ58/'Allocators Data'!$DF58</f>
        <v>0</v>
      </c>
      <c r="AO58" s="20">
        <f>'Allocators Data'!AR58/'Allocators Data'!$DF58</f>
        <v>0</v>
      </c>
      <c r="AP58" s="20">
        <f>'Allocators Data'!AS58/'Allocators Data'!$DF58</f>
        <v>0</v>
      </c>
      <c r="AQ58" s="20">
        <f>'Allocators Data'!AT58/'Allocators Data'!$DF58</f>
        <v>0</v>
      </c>
      <c r="AR58" s="21">
        <f>'Allocators Data'!AU58/'Allocators Data'!$DF58</f>
        <v>0</v>
      </c>
      <c r="AS58" s="20">
        <f>'Allocators Data'!AV58/'Allocators Data'!$DF58</f>
        <v>2.9876226677429905E-5</v>
      </c>
      <c r="AT58" s="20">
        <f>'Allocators Data'!AW58/'Allocators Data'!$DF58</f>
        <v>6.8305680868683635E-5</v>
      </c>
      <c r="AU58" s="20">
        <f>'Allocators Data'!AX58/'Allocators Data'!$DF58</f>
        <v>1.3676719949686948E-4</v>
      </c>
      <c r="AV58" s="20">
        <f>'Allocators Data'!AY58/'Allocators Data'!$DF58</f>
        <v>1.5377398014433157E-2</v>
      </c>
      <c r="AW58" s="20">
        <f>'Allocators Data'!AZ58/'Allocators Data'!$DF58</f>
        <v>1.4094118001569515E-2</v>
      </c>
      <c r="AX58" s="21">
        <f>'Allocators Data'!BA58/'Allocators Data'!$DF58</f>
        <v>1.2367518007479501E-3</v>
      </c>
      <c r="AY58" s="20">
        <f>'Allocators Data'!BB58/'Allocators Data'!$DF58</f>
        <v>9.3995064724895945E-3</v>
      </c>
      <c r="AZ58" s="20">
        <f>'Allocators Data'!BC58/'Allocators Data'!$DF58</f>
        <v>1.8557937834369192E-2</v>
      </c>
      <c r="BA58" s="20">
        <f>'Allocators Data'!BD58/'Allocators Data'!$DF58</f>
        <v>2.815148051791258E-2</v>
      </c>
      <c r="BB58" s="20">
        <f>'Allocators Data'!BE58/'Allocators Data'!$DF58</f>
        <v>0.17749122932222125</v>
      </c>
      <c r="BC58" s="20">
        <f>'Allocators Data'!BF58/'Allocators Data'!$DF58</f>
        <v>9.7869268405286994E-2</v>
      </c>
      <c r="BD58" s="21">
        <f>'Allocators Data'!BG58/'Allocators Data'!$DF58</f>
        <v>7.1715994433495633E-2</v>
      </c>
      <c r="BE58" s="20">
        <f>'Allocators Data'!BH58/'Allocators Data'!$DF58</f>
        <v>2.8413221655333215E-5</v>
      </c>
      <c r="BF58" s="20">
        <f>'Allocators Data'!BI58/'Allocators Data'!$DF58</f>
        <v>6.5049739726641046E-5</v>
      </c>
      <c r="BG58" s="20">
        <f>'Allocators Data'!BJ58/'Allocators Data'!$DF58</f>
        <v>1.3603170620184564E-4</v>
      </c>
      <c r="BH58" s="20">
        <f>'Allocators Data'!BK58/'Allocators Data'!$DF58</f>
        <v>2.7835660479102312E-3</v>
      </c>
      <c r="BI58" s="20">
        <f>'Allocators Data'!BL58/'Allocators Data'!$DF58</f>
        <v>1.5765475145209354E-3</v>
      </c>
      <c r="BJ58" s="21">
        <f>'Allocators Data'!BM58/'Allocators Data'!$DF58</f>
        <v>1.6809630247095705E-3</v>
      </c>
      <c r="BK58" s="20">
        <f>'Allocators Data'!BN58/'Allocators Data'!$DF58</f>
        <v>0</v>
      </c>
      <c r="BL58" s="20">
        <f>'Allocators Data'!BO58/'Allocators Data'!$DF58</f>
        <v>0</v>
      </c>
      <c r="BM58" s="20">
        <f>'Allocators Data'!BP58/'Allocators Data'!$DF58</f>
        <v>0</v>
      </c>
      <c r="BN58" s="20">
        <f>'Allocators Data'!BQ58/'Allocators Data'!$DF58</f>
        <v>0</v>
      </c>
      <c r="BO58" s="20">
        <f>'Allocators Data'!BR58/'Allocators Data'!$DF58</f>
        <v>0</v>
      </c>
      <c r="BP58" s="21">
        <f>'Allocators Data'!BS58/'Allocators Data'!$DF58</f>
        <v>0</v>
      </c>
      <c r="BQ58" s="20">
        <f>'Allocators Data'!BT58/'Allocators Data'!$DF58</f>
        <v>0</v>
      </c>
      <c r="BR58" s="20">
        <f>'Allocators Data'!BU58/'Allocators Data'!$DF58</f>
        <v>0</v>
      </c>
      <c r="BS58" s="20">
        <f>'Allocators Data'!BV58/'Allocators Data'!$DF58</f>
        <v>0</v>
      </c>
      <c r="BT58" s="20">
        <f>'Allocators Data'!BW58/'Allocators Data'!$DF58</f>
        <v>0</v>
      </c>
      <c r="BU58" s="20">
        <f>'Allocators Data'!BX58/'Allocators Data'!$DF58</f>
        <v>0</v>
      </c>
      <c r="BV58" s="21">
        <f>'Allocators Data'!BY58/'Allocators Data'!$DF58</f>
        <v>0</v>
      </c>
      <c r="BW58" s="22"/>
      <c r="BX58" s="20">
        <f>'Allocators Data'!CA58/'Allocators Data'!$DF58</f>
        <v>0</v>
      </c>
      <c r="BY58" s="20">
        <f>'Allocators Data'!CB58/'Allocators Data'!$DF58</f>
        <v>0</v>
      </c>
      <c r="BZ58" s="20">
        <f>'Allocators Data'!CC58/'Allocators Data'!$DF58</f>
        <v>0</v>
      </c>
      <c r="CA58" s="20">
        <f>'Allocators Data'!CD58/'Allocators Data'!$DF58</f>
        <v>0</v>
      </c>
      <c r="CB58" s="20">
        <f>'Allocators Data'!CE58/'Allocators Data'!$DF58</f>
        <v>0</v>
      </c>
      <c r="CC58" s="20">
        <f>'Allocators Data'!CF58/'Allocators Data'!$DF58</f>
        <v>0</v>
      </c>
      <c r="CD58" s="20">
        <f>'Allocators Data'!CG58/'Allocators Data'!$DF58</f>
        <v>0</v>
      </c>
      <c r="CE58" s="20">
        <f>'Allocators Data'!CH58/'Allocators Data'!$DF58</f>
        <v>0</v>
      </c>
      <c r="CF58" s="20">
        <f>'Allocators Data'!CI58/'Allocators Data'!$DF58</f>
        <v>0</v>
      </c>
      <c r="CG58" s="20">
        <f>'Allocators Data'!CJ58/'Allocators Data'!$DF58</f>
        <v>0</v>
      </c>
      <c r="CH58" s="22"/>
      <c r="CI58" s="20">
        <f>'Allocators Data'!CL58/'Allocators Data'!$DF58</f>
        <v>0</v>
      </c>
      <c r="CJ58" s="20">
        <f>'Allocators Data'!CM58/'Allocators Data'!$DF58</f>
        <v>0</v>
      </c>
      <c r="CK58" s="20">
        <f>'Allocators Data'!CN58/'Allocators Data'!$DF58</f>
        <v>0</v>
      </c>
      <c r="CL58" s="29">
        <f>'Allocators Data'!CO58/'Allocators Data'!$DF58</f>
        <v>0</v>
      </c>
      <c r="CM58" s="20">
        <f>'Allocators Data'!CP58/'Allocators Data'!$DF58</f>
        <v>0</v>
      </c>
      <c r="CN58" s="20">
        <f>'Allocators Data'!CQ58/'Allocators Data'!$DF58</f>
        <v>0</v>
      </c>
      <c r="CO58" s="22"/>
      <c r="CP58" s="20">
        <f>'Allocators Data'!CS58/'Allocators Data'!$DF58</f>
        <v>8.6037100644954685E-3</v>
      </c>
      <c r="CQ58" s="20">
        <f>'Allocators Data'!CT58/'Allocators Data'!$DF58</f>
        <v>6.8667966076925852E-2</v>
      </c>
      <c r="CR58" s="22"/>
      <c r="CS58" s="20">
        <f>'Allocators Data'!CV58/'Allocators Data'!$DF58</f>
        <v>0</v>
      </c>
      <c r="CT58" s="20">
        <f>'Allocators Data'!CW58/'Allocators Data'!$DF58</f>
        <v>0</v>
      </c>
      <c r="CU58" s="20">
        <f>'Allocators Data'!CX58/'Allocators Data'!$DF58</f>
        <v>9.2605243356330268E-4</v>
      </c>
      <c r="CV58" s="20">
        <f>'Allocators Data'!CY58/'Allocators Data'!$DF58</f>
        <v>0</v>
      </c>
      <c r="CW58" s="20">
        <f>'Allocators Data'!CZ58/'Allocators Data'!$DF58</f>
        <v>0</v>
      </c>
      <c r="CX58" s="20">
        <f>'Allocators Data'!DA58/'Allocators Data'!$DF58</f>
        <v>0</v>
      </c>
      <c r="CY58" s="20">
        <f>'Allocators Data'!DB58/'Allocators Data'!$DF58</f>
        <v>5.0431224215080157E-3</v>
      </c>
      <c r="CZ58" s="20">
        <f>'Allocators Data'!DC58/'Allocators Data'!$DF58</f>
        <v>0</v>
      </c>
      <c r="DA58" s="20">
        <f>'Allocators Data'!DD58/'Allocators Data'!$DF58</f>
        <v>8.4981846200714255E-5</v>
      </c>
      <c r="DB58" s="22"/>
      <c r="DC58" s="20">
        <f t="shared" si="20"/>
        <v>1</v>
      </c>
    </row>
    <row r="59" spans="1:107" x14ac:dyDescent="0.2">
      <c r="A59">
        <v>12</v>
      </c>
      <c r="B59" t="s">
        <v>243</v>
      </c>
      <c r="C59" s="20">
        <f>'Allocators Data'!F59/'Allocators Data'!$DF59</f>
        <v>6.3504522111699864E-3</v>
      </c>
      <c r="D59" s="20">
        <f>'Allocators Data'!G59/'Allocators Data'!$DF59</f>
        <v>8.5035841388548129E-3</v>
      </c>
      <c r="E59" s="20">
        <f>'Allocators Data'!H59/'Allocators Data'!$DF59</f>
        <v>9.2981342867042988E-3</v>
      </c>
      <c r="F59" s="20">
        <f>'Allocators Data'!I59/'Allocators Data'!$DF59</f>
        <v>1.3712120248652482E-2</v>
      </c>
      <c r="G59" s="31">
        <f>'Allocators Data'!J59/'Allocators Data'!$DF59</f>
        <v>6.7089138865282157E-6</v>
      </c>
      <c r="H59" s="20">
        <f>'Allocators Data'!K59/'Allocators Data'!$DF59</f>
        <v>0</v>
      </c>
      <c r="I59" s="20">
        <f>'Allocators Data'!L59/'Allocators Data'!$DF59</f>
        <v>0</v>
      </c>
      <c r="J59" s="20">
        <f>'Allocators Data'!M59/'Allocators Data'!$DF59</f>
        <v>0</v>
      </c>
      <c r="K59" s="21">
        <f>'Allocators Data'!N59/'Allocators Data'!$DF59</f>
        <v>0</v>
      </c>
      <c r="L59" s="20">
        <f>'Allocators Data'!O59/'Allocators Data'!$DF59</f>
        <v>0</v>
      </c>
      <c r="M59" s="20">
        <f>'Allocators Data'!P59/'Allocators Data'!$DF59</f>
        <v>0</v>
      </c>
      <c r="N59" s="20">
        <f>'Allocators Data'!Q59/'Allocators Data'!$DF59</f>
        <v>0</v>
      </c>
      <c r="O59" s="21">
        <f>'Allocators Data'!R59/'Allocators Data'!$DF59</f>
        <v>0</v>
      </c>
      <c r="P59" s="20">
        <f>'Allocators Data'!S59/'Allocators Data'!$DF59</f>
        <v>0</v>
      </c>
      <c r="Q59" s="20">
        <f>'Allocators Data'!T59/'Allocators Data'!$DF59</f>
        <v>0</v>
      </c>
      <c r="R59" s="20">
        <f>'Allocators Data'!U59/'Allocators Data'!$DF59</f>
        <v>0</v>
      </c>
      <c r="S59" s="21">
        <f>'Allocators Data'!V59/'Allocators Data'!$DF59</f>
        <v>0</v>
      </c>
      <c r="T59" s="20">
        <f>'Allocators Data'!W59/'Allocators Data'!$DF59</f>
        <v>0</v>
      </c>
      <c r="U59" s="20">
        <f>'Allocators Data'!X59/'Allocators Data'!$DF59</f>
        <v>0</v>
      </c>
      <c r="V59" s="20">
        <f>'Allocators Data'!Y59/'Allocators Data'!$DF59</f>
        <v>0</v>
      </c>
      <c r="W59" s="20">
        <f>'Allocators Data'!Z59/'Allocators Data'!$DF59</f>
        <v>0</v>
      </c>
      <c r="X59" s="22"/>
      <c r="Y59" s="20">
        <f>'Allocators Data'!AB59/'Allocators Data'!$DF59</f>
        <v>0</v>
      </c>
      <c r="Z59" s="20">
        <f>'Allocators Data'!AC59/'Allocators Data'!$DF59</f>
        <v>5.2769439306849658E-2</v>
      </c>
      <c r="AA59" s="20">
        <f>'Allocators Data'!AD59/'Allocators Data'!$DF59</f>
        <v>0</v>
      </c>
      <c r="AB59" s="20">
        <f>'Allocators Data'!AE59/'Allocators Data'!$DF59</f>
        <v>0</v>
      </c>
      <c r="AC59" s="20">
        <f>'Allocators Data'!AF59/'Allocators Data'!$DF59</f>
        <v>0</v>
      </c>
      <c r="AD59" s="20">
        <f>'Allocators Data'!AG59/'Allocators Data'!$DF59</f>
        <v>0.21568287898858007</v>
      </c>
      <c r="AE59" s="20">
        <f>'Allocators Data'!AH59/'Allocators Data'!$DF59</f>
        <v>0.16082870801638199</v>
      </c>
      <c r="AF59" s="22"/>
      <c r="AG59" s="20">
        <f>'Allocators Data'!AJ59/'Allocators Data'!$DF59</f>
        <v>0</v>
      </c>
      <c r="AH59" s="20">
        <f>'Allocators Data'!AK59/'Allocators Data'!$DF59</f>
        <v>0</v>
      </c>
      <c r="AI59" s="20">
        <f>'Allocators Data'!AL59/'Allocators Data'!$DF59</f>
        <v>0</v>
      </c>
      <c r="AJ59" s="20">
        <f>'Allocators Data'!AM59/'Allocators Data'!$DF59</f>
        <v>0</v>
      </c>
      <c r="AK59" s="20">
        <f>'Allocators Data'!AN59/'Allocators Data'!$DF59</f>
        <v>0</v>
      </c>
      <c r="AL59" s="21">
        <f>'Allocators Data'!AO59/'Allocators Data'!$DF59</f>
        <v>0</v>
      </c>
      <c r="AM59" s="20">
        <f>'Allocators Data'!AP59/'Allocators Data'!$DF59</f>
        <v>0</v>
      </c>
      <c r="AN59" s="20">
        <f>'Allocators Data'!AQ59/'Allocators Data'!$DF59</f>
        <v>0</v>
      </c>
      <c r="AO59" s="20">
        <f>'Allocators Data'!AR59/'Allocators Data'!$DF59</f>
        <v>0</v>
      </c>
      <c r="AP59" s="20">
        <f>'Allocators Data'!AS59/'Allocators Data'!$DF59</f>
        <v>0</v>
      </c>
      <c r="AQ59" s="20">
        <f>'Allocators Data'!AT59/'Allocators Data'!$DF59</f>
        <v>0</v>
      </c>
      <c r="AR59" s="21">
        <f>'Allocators Data'!AU59/'Allocators Data'!$DF59</f>
        <v>0</v>
      </c>
      <c r="AS59" s="20">
        <f>'Allocators Data'!AV59/'Allocators Data'!$DF59</f>
        <v>2.8863173447319449E-5</v>
      </c>
      <c r="AT59" s="20">
        <f>'Allocators Data'!AW59/'Allocators Data'!$DF59</f>
        <v>6.5989548668120656E-5</v>
      </c>
      <c r="AU59" s="20">
        <f>'Allocators Data'!AX59/'Allocators Data'!$DF59</f>
        <v>1.3212965089612417E-4</v>
      </c>
      <c r="AV59" s="20">
        <f>'Allocators Data'!AY59/'Allocators Data'!$DF59</f>
        <v>1.4855975985560141E-2</v>
      </c>
      <c r="AW59" s="20">
        <f>'Allocators Data'!AZ59/'Allocators Data'!$DF59</f>
        <v>1.3616209866743561E-2</v>
      </c>
      <c r="AX59" s="21">
        <f>'Allocators Data'!BA59/'Allocators Data'!$DF59</f>
        <v>1.1948156011026602E-3</v>
      </c>
      <c r="AY59" s="20">
        <f>'Allocators Data'!BB59/'Allocators Data'!$DF59</f>
        <v>9.6321208052764853E-3</v>
      </c>
      <c r="AZ59" s="20">
        <f>'Allocators Data'!BC59/'Allocators Data'!$DF59</f>
        <v>1.9017200492454155E-2</v>
      </c>
      <c r="BA59" s="20">
        <f>'Allocators Data'!BD59/'Allocators Data'!$DF59</f>
        <v>2.8848159420874486E-2</v>
      </c>
      <c r="BB59" s="20">
        <f>'Allocators Data'!BE59/'Allocators Data'!$DF59</f>
        <v>0.18188369439527077</v>
      </c>
      <c r="BC59" s="20">
        <f>'Allocators Data'!BF59/'Allocators Data'!$DF59</f>
        <v>0.10029128860784418</v>
      </c>
      <c r="BD59" s="21">
        <f>'Allocators Data'!BG59/'Allocators Data'!$DF59</f>
        <v>7.349078635944635E-2</v>
      </c>
      <c r="BE59" s="20">
        <f>'Allocators Data'!BH59/'Allocators Data'!$DF59</f>
        <v>3.2919956424092859E-5</v>
      </c>
      <c r="BF59" s="20">
        <f>'Allocators Data'!BI59/'Allocators Data'!$DF59</f>
        <v>7.5367539210311775E-5</v>
      </c>
      <c r="BG59" s="20">
        <f>'Allocators Data'!BJ59/'Allocators Data'!$DF59</f>
        <v>1.5760823938876369E-4</v>
      </c>
      <c r="BH59" s="20">
        <f>'Allocators Data'!BK59/'Allocators Data'!$DF59</f>
        <v>3.225078595886333E-3</v>
      </c>
      <c r="BI59" s="20">
        <f>'Allocators Data'!BL59/'Allocators Data'!$DF59</f>
        <v>1.8266100236049578E-3</v>
      </c>
      <c r="BJ59" s="21">
        <f>'Allocators Data'!BM59/'Allocators Data'!$DF59</f>
        <v>1.9475872956336683E-3</v>
      </c>
      <c r="BK59" s="20">
        <f>'Allocators Data'!BN59/'Allocators Data'!$DF59</f>
        <v>0</v>
      </c>
      <c r="BL59" s="20">
        <f>'Allocators Data'!BO59/'Allocators Data'!$DF59</f>
        <v>0</v>
      </c>
      <c r="BM59" s="20">
        <f>'Allocators Data'!BP59/'Allocators Data'!$DF59</f>
        <v>0</v>
      </c>
      <c r="BN59" s="20">
        <f>'Allocators Data'!BQ59/'Allocators Data'!$DF59</f>
        <v>0</v>
      </c>
      <c r="BO59" s="20">
        <f>'Allocators Data'!BR59/'Allocators Data'!$DF59</f>
        <v>0</v>
      </c>
      <c r="BP59" s="21">
        <f>'Allocators Data'!BS59/'Allocators Data'!$DF59</f>
        <v>0</v>
      </c>
      <c r="BQ59" s="20">
        <f>'Allocators Data'!BT59/'Allocators Data'!$DF59</f>
        <v>0</v>
      </c>
      <c r="BR59" s="20">
        <f>'Allocators Data'!BU59/'Allocators Data'!$DF59</f>
        <v>0</v>
      </c>
      <c r="BS59" s="20">
        <f>'Allocators Data'!BV59/'Allocators Data'!$DF59</f>
        <v>0</v>
      </c>
      <c r="BT59" s="20">
        <f>'Allocators Data'!BW59/'Allocators Data'!$DF59</f>
        <v>0</v>
      </c>
      <c r="BU59" s="20">
        <f>'Allocators Data'!BX59/'Allocators Data'!$DF59</f>
        <v>0</v>
      </c>
      <c r="BV59" s="21">
        <f>'Allocators Data'!BY59/'Allocators Data'!$DF59</f>
        <v>0</v>
      </c>
      <c r="BW59" s="22"/>
      <c r="BX59" s="20">
        <f>'Allocators Data'!CA59/'Allocators Data'!$DF59</f>
        <v>0</v>
      </c>
      <c r="BY59" s="20">
        <f>'Allocators Data'!CB59/'Allocators Data'!$DF59</f>
        <v>0</v>
      </c>
      <c r="BZ59" s="20">
        <f>'Allocators Data'!CC59/'Allocators Data'!$DF59</f>
        <v>0</v>
      </c>
      <c r="CA59" s="20">
        <f>'Allocators Data'!CD59/'Allocators Data'!$DF59</f>
        <v>0</v>
      </c>
      <c r="CB59" s="20">
        <f>'Allocators Data'!CE59/'Allocators Data'!$DF59</f>
        <v>0</v>
      </c>
      <c r="CC59" s="20">
        <f>'Allocators Data'!CF59/'Allocators Data'!$DF59</f>
        <v>0</v>
      </c>
      <c r="CD59" s="20">
        <f>'Allocators Data'!CG59/'Allocators Data'!$DF59</f>
        <v>0</v>
      </c>
      <c r="CE59" s="20">
        <f>'Allocators Data'!CH59/'Allocators Data'!$DF59</f>
        <v>0</v>
      </c>
      <c r="CF59" s="20">
        <f>'Allocators Data'!CI59/'Allocators Data'!$DF59</f>
        <v>0</v>
      </c>
      <c r="CG59" s="20">
        <f>'Allocators Data'!CJ59/'Allocators Data'!$DF59</f>
        <v>0</v>
      </c>
      <c r="CH59" s="22"/>
      <c r="CI59" s="20">
        <f>'Allocators Data'!CL59/'Allocators Data'!$DF59</f>
        <v>0</v>
      </c>
      <c r="CJ59" s="20">
        <f>'Allocators Data'!CM59/'Allocators Data'!$DF59</f>
        <v>0</v>
      </c>
      <c r="CK59" s="20">
        <f>'Allocators Data'!CN59/'Allocators Data'!$DF59</f>
        <v>0</v>
      </c>
      <c r="CL59" s="29">
        <f>'Allocators Data'!CO59/'Allocators Data'!$DF59</f>
        <v>0</v>
      </c>
      <c r="CM59" s="20">
        <f>'Allocators Data'!CP59/'Allocators Data'!$DF59</f>
        <v>0</v>
      </c>
      <c r="CN59" s="20">
        <f>'Allocators Data'!CQ59/'Allocators Data'!$DF59</f>
        <v>0</v>
      </c>
      <c r="CO59" s="22"/>
      <c r="CP59" s="20">
        <f>'Allocators Data'!CS59/'Allocators Data'!$DF59</f>
        <v>8.5089826881813851E-3</v>
      </c>
      <c r="CQ59" s="20">
        <f>'Allocators Data'!CT59/'Allocators Data'!$DF59</f>
        <v>6.79119275523207E-2</v>
      </c>
      <c r="CR59" s="22"/>
      <c r="CS59" s="20">
        <f>'Allocators Data'!CV59/'Allocators Data'!$DF59</f>
        <v>0</v>
      </c>
      <c r="CT59" s="20">
        <f>'Allocators Data'!CW59/'Allocators Data'!$DF59</f>
        <v>0</v>
      </c>
      <c r="CU59" s="20">
        <f>'Allocators Data'!CX59/'Allocators Data'!$DF59</f>
        <v>1.0108005364349575E-3</v>
      </c>
      <c r="CV59" s="20">
        <f>'Allocators Data'!CY59/'Allocators Data'!$DF59</f>
        <v>0</v>
      </c>
      <c r="CW59" s="20">
        <f>'Allocators Data'!CZ59/'Allocators Data'!$DF59</f>
        <v>0</v>
      </c>
      <c r="CX59" s="20">
        <f>'Allocators Data'!DA59/'Allocators Data'!$DF59</f>
        <v>0</v>
      </c>
      <c r="CY59" s="20">
        <f>'Allocators Data'!DB59/'Allocators Data'!$DF59</f>
        <v>5.0049457435170095E-3</v>
      </c>
      <c r="CZ59" s="20">
        <f>'Allocators Data'!DC59/'Allocators Data'!$DF59</f>
        <v>0</v>
      </c>
      <c r="DA59" s="20">
        <f>'Allocators Data'!DD59/'Allocators Data'!$DF59</f>
        <v>8.89118107336939E-5</v>
      </c>
      <c r="DB59" s="22"/>
      <c r="DC59" s="20">
        <f t="shared" si="20"/>
        <v>1.0000000000000002</v>
      </c>
    </row>
    <row r="60" spans="1:107" x14ac:dyDescent="0.2">
      <c r="B60" s="11"/>
      <c r="C60" s="11"/>
      <c r="D60" s="11"/>
      <c r="E60" s="11"/>
      <c r="F60" s="14"/>
      <c r="G60" s="16"/>
      <c r="H60" s="11"/>
      <c r="I60" s="11"/>
      <c r="J60" s="11"/>
      <c r="K60" s="14"/>
      <c r="L60" s="11"/>
      <c r="M60" s="11"/>
      <c r="N60" s="11"/>
      <c r="O60" s="14"/>
      <c r="P60" s="11"/>
      <c r="Q60" s="11"/>
      <c r="R60" s="11"/>
      <c r="S60" s="14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4"/>
      <c r="AM60" s="11"/>
      <c r="AN60" s="11"/>
      <c r="AO60" s="11"/>
      <c r="AP60" s="11"/>
      <c r="AQ60" s="11"/>
      <c r="AR60" s="14"/>
      <c r="AS60" s="11"/>
      <c r="AT60" s="11"/>
      <c r="AU60" s="11"/>
      <c r="AV60" s="11"/>
      <c r="AW60" s="11"/>
      <c r="AX60" s="14"/>
      <c r="AY60" s="11"/>
      <c r="AZ60" s="11"/>
      <c r="BA60" s="11"/>
      <c r="BB60" s="11"/>
      <c r="BC60" s="11"/>
      <c r="BD60" s="14"/>
      <c r="BE60" s="11"/>
      <c r="BF60" s="11"/>
      <c r="BG60" s="11"/>
      <c r="BH60" s="11"/>
      <c r="BI60" s="11"/>
      <c r="BJ60" s="14"/>
      <c r="BK60" s="11"/>
      <c r="BL60" s="11"/>
      <c r="BM60" s="11"/>
      <c r="BN60" s="11"/>
      <c r="BO60" s="11"/>
      <c r="BP60" s="14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27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20"/>
    </row>
    <row r="61" spans="1:107" x14ac:dyDescent="0.2">
      <c r="B61" s="9" t="s">
        <v>31</v>
      </c>
      <c r="C61" s="344" t="str">
        <f>C46</f>
        <v>CSN0</v>
      </c>
      <c r="D61" s="344"/>
      <c r="E61" s="344"/>
      <c r="F61" s="345"/>
      <c r="G61" s="15" t="str">
        <f>G46</f>
        <v>CSN2</v>
      </c>
      <c r="H61" s="343" t="str">
        <f>H46</f>
        <v>CSN7</v>
      </c>
      <c r="I61" s="344"/>
      <c r="J61" s="344"/>
      <c r="K61" s="345"/>
      <c r="L61" s="343" t="str">
        <f>L46</f>
        <v>CSN8</v>
      </c>
      <c r="M61" s="344"/>
      <c r="N61" s="344"/>
      <c r="O61" s="345"/>
      <c r="P61" s="343" t="str">
        <f>P46</f>
        <v>CSN9</v>
      </c>
      <c r="Q61" s="344"/>
      <c r="R61" s="344"/>
      <c r="S61" s="345"/>
      <c r="T61" s="343" t="str">
        <f>T46</f>
        <v>SFOC</v>
      </c>
      <c r="U61" s="344"/>
      <c r="V61" s="344"/>
      <c r="W61" s="344"/>
      <c r="X61" s="11"/>
      <c r="Y61" t="str">
        <f t="shared" ref="Y61:AE61" si="21">Y46</f>
        <v>HBN0</v>
      </c>
      <c r="Z61" t="str">
        <f t="shared" si="21"/>
        <v>HCN0</v>
      </c>
      <c r="AA61" t="str">
        <f t="shared" si="21"/>
        <v>HCN3</v>
      </c>
      <c r="AB61" t="str">
        <f>AB46</f>
        <v>HSN3</v>
      </c>
      <c r="AC61" t="str">
        <f t="shared" si="21"/>
        <v>HDN0</v>
      </c>
      <c r="AD61" t="str">
        <f t="shared" si="21"/>
        <v>HPN0</v>
      </c>
      <c r="AE61" t="str">
        <f t="shared" si="21"/>
        <v>HSN0</v>
      </c>
      <c r="AF61" s="11"/>
      <c r="AG61" s="343" t="str">
        <f>AG46</f>
        <v>LBN0</v>
      </c>
      <c r="AH61" s="344"/>
      <c r="AI61" s="344"/>
      <c r="AJ61" s="344"/>
      <c r="AK61" s="344"/>
      <c r="AL61" s="345"/>
      <c r="AM61" s="343" t="str">
        <f>AM46</f>
        <v>LDN0</v>
      </c>
      <c r="AN61" s="344"/>
      <c r="AO61" s="344"/>
      <c r="AP61" s="344"/>
      <c r="AQ61" s="344"/>
      <c r="AR61" s="345"/>
      <c r="AS61" s="343" t="str">
        <f>AS46</f>
        <v>LPN0</v>
      </c>
      <c r="AT61" s="344"/>
      <c r="AU61" s="344"/>
      <c r="AV61" s="344"/>
      <c r="AW61" s="344"/>
      <c r="AX61" s="345"/>
      <c r="AY61" s="343" t="str">
        <f>AY46</f>
        <v>LSN0</v>
      </c>
      <c r="AZ61" s="344"/>
      <c r="BA61" s="344"/>
      <c r="BB61" s="344"/>
      <c r="BC61" s="344"/>
      <c r="BD61" s="345"/>
      <c r="BE61" s="343" t="str">
        <f>BE46</f>
        <v>LSN2</v>
      </c>
      <c r="BF61" s="344"/>
      <c r="BG61" s="344"/>
      <c r="BH61" s="344"/>
      <c r="BI61" s="344"/>
      <c r="BJ61" s="345"/>
      <c r="BK61" s="343" t="str">
        <f>BK46</f>
        <v>LSN3 Current</v>
      </c>
      <c r="BL61" s="344"/>
      <c r="BM61" s="344"/>
      <c r="BN61" s="344"/>
      <c r="BO61" s="344"/>
      <c r="BP61" s="344"/>
      <c r="BQ61" s="126"/>
      <c r="BR61" s="126"/>
      <c r="BS61" s="126"/>
      <c r="BT61" s="126"/>
      <c r="BU61" s="126"/>
      <c r="BV61" s="126"/>
      <c r="BW61" s="11"/>
      <c r="BX61" t="str">
        <f>BX46</f>
        <v>NUCF</v>
      </c>
      <c r="BY61" t="str">
        <f t="shared" ref="BY61:CG61" si="22">BY46</f>
        <v>NUIF</v>
      </c>
      <c r="BZ61" t="str">
        <f t="shared" si="22"/>
        <v>NUID</v>
      </c>
      <c r="CA61" t="str">
        <f t="shared" si="22"/>
        <v>NUCS</v>
      </c>
      <c r="CB61" t="str">
        <f t="shared" si="22"/>
        <v>SAES</v>
      </c>
      <c r="CC61" t="str">
        <f t="shared" si="22"/>
        <v>SASN</v>
      </c>
      <c r="CD61" t="str">
        <f t="shared" si="22"/>
        <v>SPUF</v>
      </c>
      <c r="CE61" t="str">
        <f t="shared" si="22"/>
        <v>SPUR</v>
      </c>
      <c r="CF61" t="str">
        <f t="shared" si="22"/>
        <v>SDEH</v>
      </c>
      <c r="CG61" t="str">
        <f t="shared" si="22"/>
        <v>SDED</v>
      </c>
      <c r="CH61" s="11"/>
      <c r="CI61" s="344" t="str">
        <f>CI46</f>
        <v>RSN0</v>
      </c>
      <c r="CJ61" s="344"/>
      <c r="CK61" s="345"/>
      <c r="CL61" s="343" t="str">
        <f>CL46</f>
        <v>RSN2</v>
      </c>
      <c r="CM61" s="344"/>
      <c r="CN61" s="345"/>
      <c r="CO61" s="11"/>
      <c r="CP61" s="344" t="str">
        <f t="shared" ref="CP61:CQ62" si="23">CP46</f>
        <v xml:space="preserve">SWP </v>
      </c>
      <c r="CQ61" s="344"/>
      <c r="CR61" s="11"/>
      <c r="CS61" t="str">
        <f>CS46</f>
        <v>MHLS</v>
      </c>
      <c r="CT61" t="str">
        <f>CT46</f>
        <v>FS</v>
      </c>
      <c r="CU61" t="str">
        <f t="shared" ref="CU61:DA61" si="24">CU46</f>
        <v>MOLS</v>
      </c>
      <c r="CV61" t="str">
        <f t="shared" si="24"/>
        <v>MS</v>
      </c>
      <c r="CW61" t="str">
        <f>CW46</f>
        <v>SL</v>
      </c>
      <c r="CX61" t="str">
        <f t="shared" si="24"/>
        <v>TS</v>
      </c>
      <c r="CY61" t="str">
        <f t="shared" si="24"/>
        <v>UOLS</v>
      </c>
      <c r="CZ61" t="str">
        <f t="shared" si="24"/>
        <v>WHTL</v>
      </c>
      <c r="DA61" t="str">
        <f t="shared" si="24"/>
        <v>XLED</v>
      </c>
      <c r="DB61" s="22"/>
      <c r="DC61" s="20"/>
    </row>
    <row r="62" spans="1:107" x14ac:dyDescent="0.2">
      <c r="C62" t="str">
        <f>C47</f>
        <v>First 300</v>
      </c>
      <c r="D62" t="str">
        <f>D47</f>
        <v>Next 700</v>
      </c>
      <c r="E62" t="str">
        <f>E47</f>
        <v>Next 1500</v>
      </c>
      <c r="F62" s="13" t="str">
        <f>F47</f>
        <v>Over 2500</v>
      </c>
      <c r="G62" s="15"/>
      <c r="H62" t="str">
        <f t="shared" ref="H62:W62" si="25">H47</f>
        <v>First 300</v>
      </c>
      <c r="I62" t="str">
        <f t="shared" si="25"/>
        <v>Next 700</v>
      </c>
      <c r="J62" t="str">
        <f t="shared" si="25"/>
        <v>Next 1500</v>
      </c>
      <c r="K62" s="13" t="str">
        <f t="shared" si="25"/>
        <v>Over 2500</v>
      </c>
      <c r="L62" t="str">
        <f t="shared" si="25"/>
        <v>First 300</v>
      </c>
      <c r="M62" t="str">
        <f t="shared" si="25"/>
        <v>Next 700</v>
      </c>
      <c r="N62" t="str">
        <f t="shared" si="25"/>
        <v>Next 1500</v>
      </c>
      <c r="O62" s="13" t="str">
        <f t="shared" si="25"/>
        <v>Over 2500</v>
      </c>
      <c r="P62" t="str">
        <f t="shared" si="25"/>
        <v>First 300</v>
      </c>
      <c r="Q62" t="str">
        <f t="shared" si="25"/>
        <v>Next 700</v>
      </c>
      <c r="R62" t="str">
        <f t="shared" si="25"/>
        <v>Next 1500</v>
      </c>
      <c r="S62" s="13" t="str">
        <f t="shared" si="25"/>
        <v>Over 2500</v>
      </c>
      <c r="T62" t="str">
        <f t="shared" si="25"/>
        <v>First 300</v>
      </c>
      <c r="U62" t="str">
        <f t="shared" si="25"/>
        <v>Next 700</v>
      </c>
      <c r="V62" t="str">
        <f t="shared" si="25"/>
        <v>Next 1500</v>
      </c>
      <c r="W62" t="str">
        <f t="shared" si="25"/>
        <v>Over 2500</v>
      </c>
      <c r="X62" s="11"/>
      <c r="AA62" t="str">
        <f>AA47</f>
        <v xml:space="preserve"> </v>
      </c>
      <c r="AB62" t="str">
        <f>AB47</f>
        <v xml:space="preserve"> </v>
      </c>
      <c r="AF62" s="11"/>
      <c r="AG62" t="str">
        <f t="shared" ref="AG62:BP62" si="26">AG47</f>
        <v>First 300 kWh</v>
      </c>
      <c r="AH62" t="str">
        <f t="shared" si="26"/>
        <v>Next 700 kWh</v>
      </c>
      <c r="AI62" t="str">
        <f t="shared" si="26"/>
        <v>Next 1500 kWh</v>
      </c>
      <c r="AJ62" t="str">
        <f t="shared" si="26"/>
        <v>Over 2500 kWh</v>
      </c>
      <c r="AK62" t="str">
        <f t="shared" si="26"/>
        <v>KWH_NEXT110</v>
      </c>
      <c r="AL62" s="13" t="str">
        <f t="shared" si="26"/>
        <v>KWH_300+</v>
      </c>
      <c r="AM62" t="str">
        <f t="shared" si="26"/>
        <v>First 300 kWh</v>
      </c>
      <c r="AN62" t="str">
        <f t="shared" si="26"/>
        <v>Next 700 kWh</v>
      </c>
      <c r="AO62" t="str">
        <f t="shared" si="26"/>
        <v>Next 1500 kWh</v>
      </c>
      <c r="AP62" t="str">
        <f t="shared" si="26"/>
        <v>Over 2500 kWh</v>
      </c>
      <c r="AQ62" t="str">
        <f t="shared" si="26"/>
        <v>KWH_NEXT110</v>
      </c>
      <c r="AR62" s="13" t="str">
        <f t="shared" si="26"/>
        <v>KWH_300+</v>
      </c>
      <c r="AS62" t="str">
        <f t="shared" si="26"/>
        <v>First 300 kWh</v>
      </c>
      <c r="AT62" t="str">
        <f t="shared" si="26"/>
        <v>Next 700 kWh</v>
      </c>
      <c r="AU62" t="str">
        <f t="shared" si="26"/>
        <v>Next 1500 kWh</v>
      </c>
      <c r="AV62" t="str">
        <f t="shared" si="26"/>
        <v>Over 2500 kWh</v>
      </c>
      <c r="AW62" t="str">
        <f t="shared" si="26"/>
        <v>KWH_NEXT110</v>
      </c>
      <c r="AX62" s="13" t="str">
        <f t="shared" si="26"/>
        <v>KWH_300+</v>
      </c>
      <c r="AY62" t="str">
        <f t="shared" si="26"/>
        <v>First 300 kWh</v>
      </c>
      <c r="AZ62" t="str">
        <f t="shared" si="26"/>
        <v>Next 700 kWh</v>
      </c>
      <c r="BA62" t="str">
        <f t="shared" si="26"/>
        <v>Next 1500 kWh</v>
      </c>
      <c r="BB62" t="str">
        <f t="shared" si="26"/>
        <v>Over 2500 kWh</v>
      </c>
      <c r="BC62" t="str">
        <f t="shared" si="26"/>
        <v>KWH_NEXT110</v>
      </c>
      <c r="BD62" s="13" t="str">
        <f t="shared" si="26"/>
        <v>KWH_300+</v>
      </c>
      <c r="BE62" t="str">
        <f t="shared" si="26"/>
        <v>First 300 kWh</v>
      </c>
      <c r="BF62" t="str">
        <f t="shared" si="26"/>
        <v>Next 700 kWh</v>
      </c>
      <c r="BG62" t="str">
        <f t="shared" si="26"/>
        <v>Next 1500 kWh</v>
      </c>
      <c r="BH62" t="str">
        <f t="shared" si="26"/>
        <v>Over 2500 kWh</v>
      </c>
      <c r="BI62" t="str">
        <f t="shared" si="26"/>
        <v>KWH_NEXT110</v>
      </c>
      <c r="BJ62" s="13" t="str">
        <f t="shared" si="26"/>
        <v>KWH_300+</v>
      </c>
      <c r="BK62" t="str">
        <f t="shared" si="26"/>
        <v>First 300 kWh</v>
      </c>
      <c r="BL62" t="str">
        <f t="shared" si="26"/>
        <v>Next 700 kWh</v>
      </c>
      <c r="BM62" t="str">
        <f t="shared" si="26"/>
        <v>Next 1500 kWh</v>
      </c>
      <c r="BN62" t="str">
        <f t="shared" si="26"/>
        <v>Over 2500 kWh</v>
      </c>
      <c r="BO62" t="str">
        <f t="shared" si="26"/>
        <v>KWH_NEXT110</v>
      </c>
      <c r="BP62" s="13" t="str">
        <f t="shared" si="26"/>
        <v>KWH_300+</v>
      </c>
      <c r="BW62" s="11"/>
      <c r="CH62" s="11"/>
      <c r="CI62" t="str">
        <f t="shared" ref="CI62:CN62" si="27">CI47</f>
        <v>First 300 kWh</v>
      </c>
      <c r="CJ62" t="str">
        <f t="shared" si="27"/>
        <v>Next 700 kWh</v>
      </c>
      <c r="CK62" t="str">
        <f t="shared" si="27"/>
        <v>Over 1000 kWh</v>
      </c>
      <c r="CL62" s="25" t="str">
        <f t="shared" si="27"/>
        <v>First 300 kWh</v>
      </c>
      <c r="CM62" t="str">
        <f t="shared" si="27"/>
        <v>Next 700 kWh</v>
      </c>
      <c r="CN62" s="13" t="str">
        <f t="shared" si="27"/>
        <v>Over 1000 kWh</v>
      </c>
      <c r="CO62" s="11"/>
      <c r="CP62" t="str">
        <f t="shared" si="23"/>
        <v>First 2000</v>
      </c>
      <c r="CQ62" t="str">
        <f t="shared" si="23"/>
        <v>Over 2000</v>
      </c>
      <c r="CR62" s="11"/>
      <c r="DB62" s="22"/>
      <c r="DC62" s="20"/>
    </row>
    <row r="63" spans="1:107" x14ac:dyDescent="0.2">
      <c r="A63">
        <v>1</v>
      </c>
      <c r="B63" t="s">
        <v>232</v>
      </c>
      <c r="C63" s="20">
        <f>'Allocators Data'!F63/'Allocators Data'!$DF63</f>
        <v>0</v>
      </c>
      <c r="D63" s="20">
        <f>'Allocators Data'!G63/'Allocators Data'!$DF63</f>
        <v>0</v>
      </c>
      <c r="E63" s="20">
        <f>'Allocators Data'!H63/'Allocators Data'!$DF63</f>
        <v>0</v>
      </c>
      <c r="F63" s="20">
        <f>'Allocators Data'!I63/'Allocators Data'!$DF63</f>
        <v>0</v>
      </c>
      <c r="G63" s="31">
        <f>'Allocators Data'!J63/'Allocators Data'!$DF63</f>
        <v>0</v>
      </c>
      <c r="H63" s="20">
        <f>'Allocators Data'!K63/'Allocators Data'!$DF63</f>
        <v>0</v>
      </c>
      <c r="I63" s="20">
        <f>'Allocators Data'!L63/'Allocators Data'!$DF63</f>
        <v>0</v>
      </c>
      <c r="J63" s="20">
        <f>'Allocators Data'!M63/'Allocators Data'!$DF63</f>
        <v>0</v>
      </c>
      <c r="K63" s="21">
        <f>'Allocators Data'!N63/'Allocators Data'!$DF63</f>
        <v>0</v>
      </c>
      <c r="L63" s="20">
        <f>'Allocators Data'!O63/'Allocators Data'!$DF63</f>
        <v>0</v>
      </c>
      <c r="M63" s="20">
        <f>'Allocators Data'!P63/'Allocators Data'!$DF63</f>
        <v>0</v>
      </c>
      <c r="N63" s="20">
        <f>'Allocators Data'!Q63/'Allocators Data'!$DF63</f>
        <v>0</v>
      </c>
      <c r="O63" s="21">
        <f>'Allocators Data'!R63/'Allocators Data'!$DF63</f>
        <v>0</v>
      </c>
      <c r="P63" s="20">
        <f>'Allocators Data'!S63/'Allocators Data'!$DF63</f>
        <v>0</v>
      </c>
      <c r="Q63" s="20">
        <f>'Allocators Data'!T63/'Allocators Data'!$DF63</f>
        <v>0</v>
      </c>
      <c r="R63" s="20">
        <f>'Allocators Data'!U63/'Allocators Data'!$DF63</f>
        <v>0</v>
      </c>
      <c r="S63" s="21">
        <f>'Allocators Data'!V63/'Allocators Data'!$DF63</f>
        <v>0</v>
      </c>
      <c r="T63" s="20">
        <f>'Allocators Data'!W63/'Allocators Data'!$DF63</f>
        <v>0</v>
      </c>
      <c r="U63" s="20">
        <f>'Allocators Data'!X63/'Allocators Data'!$DF63</f>
        <v>0</v>
      </c>
      <c r="V63" s="20">
        <f>'Allocators Data'!Y63/'Allocators Data'!$DF63</f>
        <v>0</v>
      </c>
      <c r="W63" s="20">
        <f>'Allocators Data'!Z63/'Allocators Data'!$DF63</f>
        <v>0</v>
      </c>
      <c r="X63" s="22"/>
      <c r="Y63" s="20">
        <f>'Allocators Data'!AB63/'Allocators Data'!$DF63</f>
        <v>0</v>
      </c>
      <c r="Z63" s="20">
        <f>'Allocators Data'!AC63/'Allocators Data'!$DF63</f>
        <v>0</v>
      </c>
      <c r="AA63" s="20">
        <f>'Allocators Data'!AD63/'Allocators Data'!$DF63</f>
        <v>0</v>
      </c>
      <c r="AB63" s="20">
        <f>'Allocators Data'!AE63/'Allocators Data'!$DF63</f>
        <v>0</v>
      </c>
      <c r="AC63" s="20">
        <f>'Allocators Data'!AF63/'Allocators Data'!$DF63</f>
        <v>0</v>
      </c>
      <c r="AD63" s="20">
        <f>'Allocators Data'!AG63/'Allocators Data'!$DF63</f>
        <v>0</v>
      </c>
      <c r="AE63" s="20">
        <f>'Allocators Data'!AH63/'Allocators Data'!$DF63</f>
        <v>0</v>
      </c>
      <c r="AF63" s="22"/>
      <c r="AG63" s="20">
        <f>'Allocators Data'!AJ63/'Allocators Data'!$DF63</f>
        <v>0</v>
      </c>
      <c r="AH63" s="20">
        <f>'Allocators Data'!AK63/'Allocators Data'!$DF63</f>
        <v>0</v>
      </c>
      <c r="AI63" s="20">
        <f>'Allocators Data'!AL63/'Allocators Data'!$DF63</f>
        <v>0</v>
      </c>
      <c r="AJ63" s="20">
        <f>'Allocators Data'!AM63/'Allocators Data'!$DF63</f>
        <v>0</v>
      </c>
      <c r="AK63" s="20">
        <f>'Allocators Data'!AN63/'Allocators Data'!$DF63</f>
        <v>0</v>
      </c>
      <c r="AL63" s="21">
        <f>'Allocators Data'!AO63/'Allocators Data'!$DF63</f>
        <v>0</v>
      </c>
      <c r="AM63" s="20">
        <f>'Allocators Data'!AP63/'Allocators Data'!$DF63</f>
        <v>0</v>
      </c>
      <c r="AN63" s="20">
        <f>'Allocators Data'!AQ63/'Allocators Data'!$DF63</f>
        <v>0</v>
      </c>
      <c r="AO63" s="20">
        <f>'Allocators Data'!AR63/'Allocators Data'!$DF63</f>
        <v>0</v>
      </c>
      <c r="AP63" s="20">
        <f>'Allocators Data'!AS63/'Allocators Data'!$DF63</f>
        <v>0</v>
      </c>
      <c r="AQ63" s="20">
        <f>'Allocators Data'!AT63/'Allocators Data'!$DF63</f>
        <v>0</v>
      </c>
      <c r="AR63" s="21">
        <f>'Allocators Data'!AU63/'Allocators Data'!$DF63</f>
        <v>0</v>
      </c>
      <c r="AS63" s="20">
        <f>'Allocators Data'!AV63/'Allocators Data'!$DF63</f>
        <v>0</v>
      </c>
      <c r="AT63" s="20">
        <f>'Allocators Data'!AW63/'Allocators Data'!$DF63</f>
        <v>0</v>
      </c>
      <c r="AU63" s="20">
        <f>'Allocators Data'!AX63/'Allocators Data'!$DF63</f>
        <v>0</v>
      </c>
      <c r="AV63" s="20">
        <f>'Allocators Data'!AY63/'Allocators Data'!$DF63</f>
        <v>0</v>
      </c>
      <c r="AW63" s="20">
        <f>'Allocators Data'!AZ63/'Allocators Data'!$DF63</f>
        <v>0</v>
      </c>
      <c r="AX63" s="21">
        <f>'Allocators Data'!BA63/'Allocators Data'!$DF63</f>
        <v>0</v>
      </c>
      <c r="AY63" s="20">
        <f>'Allocators Data'!BB63/'Allocators Data'!$DF63</f>
        <v>0</v>
      </c>
      <c r="AZ63" s="20">
        <f>'Allocators Data'!BC63/'Allocators Data'!$DF63</f>
        <v>0</v>
      </c>
      <c r="BA63" s="20">
        <f>'Allocators Data'!BD63/'Allocators Data'!$DF63</f>
        <v>0</v>
      </c>
      <c r="BB63" s="20">
        <f>'Allocators Data'!BE63/'Allocators Data'!$DF63</f>
        <v>0</v>
      </c>
      <c r="BC63" s="20">
        <f>'Allocators Data'!BF63/'Allocators Data'!$DF63</f>
        <v>0</v>
      </c>
      <c r="BD63" s="21">
        <f>'Allocators Data'!BG63/'Allocators Data'!$DF63</f>
        <v>0</v>
      </c>
      <c r="BE63" s="20">
        <f>'Allocators Data'!BH63/'Allocators Data'!$DF63</f>
        <v>0</v>
      </c>
      <c r="BF63" s="20">
        <f>'Allocators Data'!BI63/'Allocators Data'!$DF63</f>
        <v>0</v>
      </c>
      <c r="BG63" s="20">
        <f>'Allocators Data'!BJ63/'Allocators Data'!$DF63</f>
        <v>0</v>
      </c>
      <c r="BH63" s="20">
        <f>'Allocators Data'!BK63/'Allocators Data'!$DF63</f>
        <v>0</v>
      </c>
      <c r="BI63" s="20">
        <f>'Allocators Data'!BL63/'Allocators Data'!$DF63</f>
        <v>0</v>
      </c>
      <c r="BJ63" s="21">
        <f>'Allocators Data'!BM63/'Allocators Data'!$DF63</f>
        <v>0</v>
      </c>
      <c r="BK63" s="20">
        <f>'Allocators Data'!BN63/'Allocators Data'!$DF63</f>
        <v>0</v>
      </c>
      <c r="BL63" s="20">
        <f>'Allocators Data'!BO63/'Allocators Data'!$DF63</f>
        <v>0</v>
      </c>
      <c r="BM63" s="20">
        <f>'Allocators Data'!BP63/'Allocators Data'!$DF63</f>
        <v>0</v>
      </c>
      <c r="BN63" s="20">
        <f>'Allocators Data'!BQ63/'Allocators Data'!$DF63</f>
        <v>0</v>
      </c>
      <c r="BO63" s="20">
        <f>'Allocators Data'!BR63/'Allocators Data'!$DF63</f>
        <v>0</v>
      </c>
      <c r="BP63" s="21">
        <f>'Allocators Data'!BS63/'Allocators Data'!$DF63</f>
        <v>0</v>
      </c>
      <c r="BQ63" s="20">
        <f>'Allocators Data'!BT63/'Allocators Data'!$DF63</f>
        <v>0</v>
      </c>
      <c r="BR63" s="20">
        <f>'Allocators Data'!BU63/'Allocators Data'!$DF63</f>
        <v>0</v>
      </c>
      <c r="BS63" s="20">
        <f>'Allocators Data'!BV63/'Allocators Data'!$DF63</f>
        <v>0</v>
      </c>
      <c r="BT63" s="20">
        <f>'Allocators Data'!BW63/'Allocators Data'!$DF63</f>
        <v>0</v>
      </c>
      <c r="BU63" s="20">
        <f>'Allocators Data'!BX63/'Allocators Data'!$DF63</f>
        <v>0</v>
      </c>
      <c r="BV63" s="21">
        <f>'Allocators Data'!BY63/'Allocators Data'!$DF63</f>
        <v>0</v>
      </c>
      <c r="BW63" s="22"/>
      <c r="BX63" s="20">
        <f>'Allocators Data'!CA63/'Allocators Data'!$DF63</f>
        <v>0</v>
      </c>
      <c r="BY63" s="20">
        <f>'Allocators Data'!CB63/'Allocators Data'!$DF63</f>
        <v>0</v>
      </c>
      <c r="BZ63" s="20">
        <f>'Allocators Data'!CC63/'Allocators Data'!$DF63</f>
        <v>0</v>
      </c>
      <c r="CA63" s="20">
        <f>'Allocators Data'!CD63/'Allocators Data'!$DF63</f>
        <v>0</v>
      </c>
      <c r="CB63" s="20">
        <f>'Allocators Data'!CE63/'Allocators Data'!$DF63</f>
        <v>0</v>
      </c>
      <c r="CC63" s="20">
        <f>'Allocators Data'!CF63/'Allocators Data'!$DF63</f>
        <v>0</v>
      </c>
      <c r="CD63" s="20">
        <f>'Allocators Data'!CG63/'Allocators Data'!$DF63</f>
        <v>0</v>
      </c>
      <c r="CE63" s="20">
        <f>'Allocators Data'!CH63/'Allocators Data'!$DF63</f>
        <v>0</v>
      </c>
      <c r="CF63" s="20">
        <f>'Allocators Data'!CI63/'Allocators Data'!$DF63</f>
        <v>0</v>
      </c>
      <c r="CG63" s="20">
        <f>'Allocators Data'!CJ63/'Allocators Data'!$DF63</f>
        <v>0</v>
      </c>
      <c r="CH63" s="22"/>
      <c r="CI63" s="20">
        <f>'Allocators Data'!CL63/'Allocators Data'!$DF63</f>
        <v>0</v>
      </c>
      <c r="CJ63" s="20">
        <f>'Allocators Data'!CM63/'Allocators Data'!$DF63</f>
        <v>0</v>
      </c>
      <c r="CK63" s="20">
        <f>'Allocators Data'!CN63/'Allocators Data'!$DF63</f>
        <v>0</v>
      </c>
      <c r="CL63" s="29">
        <f>'Allocators Data'!CO63/'Allocators Data'!$DF63</f>
        <v>0</v>
      </c>
      <c r="CM63" s="20">
        <f>'Allocators Data'!CP63/'Allocators Data'!$DF63</f>
        <v>0</v>
      </c>
      <c r="CN63" s="20">
        <f>'Allocators Data'!CQ63/'Allocators Data'!$DF63</f>
        <v>0</v>
      </c>
      <c r="CO63" s="22"/>
      <c r="CP63" s="20">
        <f>'Allocators Data'!CS63/'Allocators Data'!$DF63</f>
        <v>0</v>
      </c>
      <c r="CQ63" s="20">
        <f>'Allocators Data'!CT63/'Allocators Data'!$DF63</f>
        <v>0</v>
      </c>
      <c r="CR63" s="22"/>
      <c r="CS63" s="20">
        <f>'Allocators Data'!CV63/'Allocators Data'!$DF63</f>
        <v>3.9900784594169583E-2</v>
      </c>
      <c r="CT63" s="20">
        <f>'Allocators Data'!CW63/'Allocators Data'!$DF63</f>
        <v>2.2486735509381736E-3</v>
      </c>
      <c r="CU63" s="20">
        <f>'Allocators Data'!CX63/'Allocators Data'!$DF63</f>
        <v>1.7072891488009626E-2</v>
      </c>
      <c r="CV63" s="20">
        <f>'Allocators Data'!CY63/'Allocators Data'!$DF63</f>
        <v>2.4895747769502426E-2</v>
      </c>
      <c r="CW63" s="20">
        <f>'Allocators Data'!CZ63/'Allocators Data'!$DF63</f>
        <v>0.26197504509275105</v>
      </c>
      <c r="CX63" s="20">
        <f>'Allocators Data'!DA63/'Allocators Data'!$DF63</f>
        <v>2.647733222811282E-2</v>
      </c>
      <c r="CY63" s="20">
        <f>'Allocators Data'!DB63/'Allocators Data'!$DF63</f>
        <v>0.60376881232745783</v>
      </c>
      <c r="CZ63" s="20">
        <f>'Allocators Data'!DC63/'Allocators Data'!$DF63</f>
        <v>2.0426565380696925E-4</v>
      </c>
      <c r="DA63" s="20">
        <f>'Allocators Data'!DD63/'Allocators Data'!$DF63</f>
        <v>2.345644729525144E-2</v>
      </c>
      <c r="DB63" s="22"/>
      <c r="DC63" s="20">
        <f t="shared" ref="DC63:DC74" si="28">SUM(C63:DA63)</f>
        <v>0.99999999999999989</v>
      </c>
    </row>
    <row r="64" spans="1:107" x14ac:dyDescent="0.2">
      <c r="A64">
        <v>2</v>
      </c>
      <c r="B64" t="s">
        <v>233</v>
      </c>
      <c r="C64" s="20">
        <f>'Allocators Data'!F64/'Allocators Data'!$DF64</f>
        <v>0</v>
      </c>
      <c r="D64" s="20">
        <f>'Allocators Data'!G64/'Allocators Data'!$DF64</f>
        <v>0</v>
      </c>
      <c r="E64" s="20">
        <f>'Allocators Data'!H64/'Allocators Data'!$DF64</f>
        <v>0</v>
      </c>
      <c r="F64" s="20">
        <f>'Allocators Data'!I64/'Allocators Data'!$DF64</f>
        <v>0</v>
      </c>
      <c r="G64" s="31">
        <f>'Allocators Data'!J64/'Allocators Data'!$DF64</f>
        <v>0</v>
      </c>
      <c r="H64" s="20">
        <f>'Allocators Data'!K64/'Allocators Data'!$DF64</f>
        <v>0</v>
      </c>
      <c r="I64" s="20">
        <f>'Allocators Data'!L64/'Allocators Data'!$DF64</f>
        <v>0</v>
      </c>
      <c r="J64" s="20">
        <f>'Allocators Data'!M64/'Allocators Data'!$DF64</f>
        <v>0</v>
      </c>
      <c r="K64" s="21">
        <f>'Allocators Data'!N64/'Allocators Data'!$DF64</f>
        <v>0</v>
      </c>
      <c r="L64" s="20">
        <f>'Allocators Data'!O64/'Allocators Data'!$DF64</f>
        <v>0</v>
      </c>
      <c r="M64" s="20">
        <f>'Allocators Data'!P64/'Allocators Data'!$DF64</f>
        <v>0</v>
      </c>
      <c r="N64" s="20">
        <f>'Allocators Data'!Q64/'Allocators Data'!$DF64</f>
        <v>0</v>
      </c>
      <c r="O64" s="21">
        <f>'Allocators Data'!R64/'Allocators Data'!$DF64</f>
        <v>0</v>
      </c>
      <c r="P64" s="20">
        <f>'Allocators Data'!S64/'Allocators Data'!$DF64</f>
        <v>0</v>
      </c>
      <c r="Q64" s="20">
        <f>'Allocators Data'!T64/'Allocators Data'!$DF64</f>
        <v>0</v>
      </c>
      <c r="R64" s="20">
        <f>'Allocators Data'!U64/'Allocators Data'!$DF64</f>
        <v>0</v>
      </c>
      <c r="S64" s="21">
        <f>'Allocators Data'!V64/'Allocators Data'!$DF64</f>
        <v>0</v>
      </c>
      <c r="T64" s="20">
        <f>'Allocators Data'!W64/'Allocators Data'!$DF64</f>
        <v>0</v>
      </c>
      <c r="U64" s="20">
        <f>'Allocators Data'!X64/'Allocators Data'!$DF64</f>
        <v>0</v>
      </c>
      <c r="V64" s="20">
        <f>'Allocators Data'!Y64/'Allocators Data'!$DF64</f>
        <v>0</v>
      </c>
      <c r="W64" s="20">
        <f>'Allocators Data'!Z64/'Allocators Data'!$DF64</f>
        <v>0</v>
      </c>
      <c r="X64" s="22"/>
      <c r="Y64" s="20">
        <f>'Allocators Data'!AB64/'Allocators Data'!$DF64</f>
        <v>0</v>
      </c>
      <c r="Z64" s="20">
        <f>'Allocators Data'!AC64/'Allocators Data'!$DF64</f>
        <v>0</v>
      </c>
      <c r="AA64" s="20">
        <f>'Allocators Data'!AD64/'Allocators Data'!$DF64</f>
        <v>0</v>
      </c>
      <c r="AB64" s="20">
        <f>'Allocators Data'!AE64/'Allocators Data'!$DF64</f>
        <v>0</v>
      </c>
      <c r="AC64" s="20">
        <f>'Allocators Data'!AF64/'Allocators Data'!$DF64</f>
        <v>0</v>
      </c>
      <c r="AD64" s="20">
        <f>'Allocators Data'!AG64/'Allocators Data'!$DF64</f>
        <v>0</v>
      </c>
      <c r="AE64" s="20">
        <f>'Allocators Data'!AH64/'Allocators Data'!$DF64</f>
        <v>0</v>
      </c>
      <c r="AF64" s="22"/>
      <c r="AG64" s="20">
        <f>'Allocators Data'!AJ64/'Allocators Data'!$DF64</f>
        <v>0</v>
      </c>
      <c r="AH64" s="20">
        <f>'Allocators Data'!AK64/'Allocators Data'!$DF64</f>
        <v>0</v>
      </c>
      <c r="AI64" s="20">
        <f>'Allocators Data'!AL64/'Allocators Data'!$DF64</f>
        <v>0</v>
      </c>
      <c r="AJ64" s="20">
        <f>'Allocators Data'!AM64/'Allocators Data'!$DF64</f>
        <v>0</v>
      </c>
      <c r="AK64" s="20">
        <f>'Allocators Data'!AN64/'Allocators Data'!$DF64</f>
        <v>0</v>
      </c>
      <c r="AL64" s="21">
        <f>'Allocators Data'!AO64/'Allocators Data'!$DF64</f>
        <v>0</v>
      </c>
      <c r="AM64" s="20">
        <f>'Allocators Data'!AP64/'Allocators Data'!$DF64</f>
        <v>0</v>
      </c>
      <c r="AN64" s="20">
        <f>'Allocators Data'!AQ64/'Allocators Data'!$DF64</f>
        <v>0</v>
      </c>
      <c r="AO64" s="20">
        <f>'Allocators Data'!AR64/'Allocators Data'!$DF64</f>
        <v>0</v>
      </c>
      <c r="AP64" s="20">
        <f>'Allocators Data'!AS64/'Allocators Data'!$DF64</f>
        <v>0</v>
      </c>
      <c r="AQ64" s="20">
        <f>'Allocators Data'!AT64/'Allocators Data'!$DF64</f>
        <v>0</v>
      </c>
      <c r="AR64" s="21">
        <f>'Allocators Data'!AU64/'Allocators Data'!$DF64</f>
        <v>0</v>
      </c>
      <c r="AS64" s="20">
        <f>'Allocators Data'!AV64/'Allocators Data'!$DF64</f>
        <v>0</v>
      </c>
      <c r="AT64" s="20">
        <f>'Allocators Data'!AW64/'Allocators Data'!$DF64</f>
        <v>0</v>
      </c>
      <c r="AU64" s="20">
        <f>'Allocators Data'!AX64/'Allocators Data'!$DF64</f>
        <v>0</v>
      </c>
      <c r="AV64" s="20">
        <f>'Allocators Data'!AY64/'Allocators Data'!$DF64</f>
        <v>0</v>
      </c>
      <c r="AW64" s="20">
        <f>'Allocators Data'!AZ64/'Allocators Data'!$DF64</f>
        <v>0</v>
      </c>
      <c r="AX64" s="21">
        <f>'Allocators Data'!BA64/'Allocators Data'!$DF64</f>
        <v>0</v>
      </c>
      <c r="AY64" s="20">
        <f>'Allocators Data'!BB64/'Allocators Data'!$DF64</f>
        <v>0</v>
      </c>
      <c r="AZ64" s="20">
        <f>'Allocators Data'!BC64/'Allocators Data'!$DF64</f>
        <v>0</v>
      </c>
      <c r="BA64" s="20">
        <f>'Allocators Data'!BD64/'Allocators Data'!$DF64</f>
        <v>0</v>
      </c>
      <c r="BB64" s="20">
        <f>'Allocators Data'!BE64/'Allocators Data'!$DF64</f>
        <v>0</v>
      </c>
      <c r="BC64" s="20">
        <f>'Allocators Data'!BF64/'Allocators Data'!$DF64</f>
        <v>0</v>
      </c>
      <c r="BD64" s="21">
        <f>'Allocators Data'!BG64/'Allocators Data'!$DF64</f>
        <v>0</v>
      </c>
      <c r="BE64" s="20">
        <f>'Allocators Data'!BH64/'Allocators Data'!$DF64</f>
        <v>0</v>
      </c>
      <c r="BF64" s="20">
        <f>'Allocators Data'!BI64/'Allocators Data'!$DF64</f>
        <v>0</v>
      </c>
      <c r="BG64" s="20">
        <f>'Allocators Data'!BJ64/'Allocators Data'!$DF64</f>
        <v>0</v>
      </c>
      <c r="BH64" s="20">
        <f>'Allocators Data'!BK64/'Allocators Data'!$DF64</f>
        <v>0</v>
      </c>
      <c r="BI64" s="20">
        <f>'Allocators Data'!BL64/'Allocators Data'!$DF64</f>
        <v>0</v>
      </c>
      <c r="BJ64" s="21">
        <f>'Allocators Data'!BM64/'Allocators Data'!$DF64</f>
        <v>0</v>
      </c>
      <c r="BK64" s="20">
        <f>'Allocators Data'!BN64/'Allocators Data'!$DF64</f>
        <v>0</v>
      </c>
      <c r="BL64" s="20">
        <f>'Allocators Data'!BO64/'Allocators Data'!$DF64</f>
        <v>0</v>
      </c>
      <c r="BM64" s="20">
        <f>'Allocators Data'!BP64/'Allocators Data'!$DF64</f>
        <v>0</v>
      </c>
      <c r="BN64" s="20">
        <f>'Allocators Data'!BQ64/'Allocators Data'!$DF64</f>
        <v>0</v>
      </c>
      <c r="BO64" s="20">
        <f>'Allocators Data'!BR64/'Allocators Data'!$DF64</f>
        <v>0</v>
      </c>
      <c r="BP64" s="21">
        <f>'Allocators Data'!BS64/'Allocators Data'!$DF64</f>
        <v>0</v>
      </c>
      <c r="BQ64" s="20">
        <f>'Allocators Data'!BT64/'Allocators Data'!$DF64</f>
        <v>0</v>
      </c>
      <c r="BR64" s="20">
        <f>'Allocators Data'!BU64/'Allocators Data'!$DF64</f>
        <v>0</v>
      </c>
      <c r="BS64" s="20">
        <f>'Allocators Data'!BV64/'Allocators Data'!$DF64</f>
        <v>0</v>
      </c>
      <c r="BT64" s="20">
        <f>'Allocators Data'!BW64/'Allocators Data'!$DF64</f>
        <v>0</v>
      </c>
      <c r="BU64" s="20">
        <f>'Allocators Data'!BX64/'Allocators Data'!$DF64</f>
        <v>0</v>
      </c>
      <c r="BV64" s="21">
        <f>'Allocators Data'!BY64/'Allocators Data'!$DF64</f>
        <v>0</v>
      </c>
      <c r="BW64" s="22"/>
      <c r="BX64" s="20">
        <f>'Allocators Data'!CA64/'Allocators Data'!$DF64</f>
        <v>0</v>
      </c>
      <c r="BY64" s="20">
        <f>'Allocators Data'!CB64/'Allocators Data'!$DF64</f>
        <v>0</v>
      </c>
      <c r="BZ64" s="20">
        <f>'Allocators Data'!CC64/'Allocators Data'!$DF64</f>
        <v>0</v>
      </c>
      <c r="CA64" s="20">
        <f>'Allocators Data'!CD64/'Allocators Data'!$DF64</f>
        <v>0</v>
      </c>
      <c r="CB64" s="20">
        <f>'Allocators Data'!CE64/'Allocators Data'!$DF64</f>
        <v>0</v>
      </c>
      <c r="CC64" s="20">
        <f>'Allocators Data'!CF64/'Allocators Data'!$DF64</f>
        <v>0</v>
      </c>
      <c r="CD64" s="20">
        <f>'Allocators Data'!CG64/'Allocators Data'!$DF64</f>
        <v>0</v>
      </c>
      <c r="CE64" s="20">
        <f>'Allocators Data'!CH64/'Allocators Data'!$DF64</f>
        <v>0</v>
      </c>
      <c r="CF64" s="20">
        <f>'Allocators Data'!CI64/'Allocators Data'!$DF64</f>
        <v>0</v>
      </c>
      <c r="CG64" s="20">
        <f>'Allocators Data'!CJ64/'Allocators Data'!$DF64</f>
        <v>0</v>
      </c>
      <c r="CH64" s="22"/>
      <c r="CI64" s="20">
        <f>'Allocators Data'!CL64/'Allocators Data'!$DF64</f>
        <v>0</v>
      </c>
      <c r="CJ64" s="20">
        <f>'Allocators Data'!CM64/'Allocators Data'!$DF64</f>
        <v>0</v>
      </c>
      <c r="CK64" s="20">
        <f>'Allocators Data'!CN64/'Allocators Data'!$DF64</f>
        <v>0</v>
      </c>
      <c r="CL64" s="29">
        <f>'Allocators Data'!CO64/'Allocators Data'!$DF64</f>
        <v>0</v>
      </c>
      <c r="CM64" s="20">
        <f>'Allocators Data'!CP64/'Allocators Data'!$DF64</f>
        <v>0</v>
      </c>
      <c r="CN64" s="20">
        <f>'Allocators Data'!CQ64/'Allocators Data'!$DF64</f>
        <v>0</v>
      </c>
      <c r="CO64" s="22"/>
      <c r="CP64" s="20">
        <f>'Allocators Data'!CS64/'Allocators Data'!$DF64</f>
        <v>0</v>
      </c>
      <c r="CQ64" s="20">
        <f>'Allocators Data'!CT64/'Allocators Data'!$DF64</f>
        <v>0</v>
      </c>
      <c r="CR64" s="22"/>
      <c r="CS64" s="20">
        <f>'Allocators Data'!CV64/'Allocators Data'!$DF64</f>
        <v>3.6867747377766304E-2</v>
      </c>
      <c r="CT64" s="20">
        <f>'Allocators Data'!CW64/'Allocators Data'!$DF64</f>
        <v>2.2947655734226742E-3</v>
      </c>
      <c r="CU64" s="20">
        <f>'Allocators Data'!CX64/'Allocators Data'!$DF64</f>
        <v>1.4613980710269195E-2</v>
      </c>
      <c r="CV64" s="20">
        <f>'Allocators Data'!CY64/'Allocators Data'!$DF64</f>
        <v>2.2856938792248056E-2</v>
      </c>
      <c r="CW64" s="20">
        <f>'Allocators Data'!CZ64/'Allocators Data'!$DF64</f>
        <v>0.26489446436957254</v>
      </c>
      <c r="CX64" s="20">
        <f>'Allocators Data'!DA64/'Allocators Data'!$DF64</f>
        <v>2.6961766679393859E-2</v>
      </c>
      <c r="CY64" s="20">
        <f>'Allocators Data'!DB64/'Allocators Data'!$DF64</f>
        <v>0.60501915535590123</v>
      </c>
      <c r="CZ64" s="20">
        <f>'Allocators Data'!DC64/'Allocators Data'!$DF64</f>
        <v>1.7761230766538699E-4</v>
      </c>
      <c r="DA64" s="20">
        <f>'Allocators Data'!DD64/'Allocators Data'!$DF64</f>
        <v>2.6313568833760702E-2</v>
      </c>
      <c r="DB64" s="22"/>
      <c r="DC64" s="20">
        <f t="shared" si="28"/>
        <v>1</v>
      </c>
    </row>
    <row r="65" spans="1:107" x14ac:dyDescent="0.2">
      <c r="A65">
        <v>3</v>
      </c>
      <c r="B65" t="s">
        <v>234</v>
      </c>
      <c r="C65" s="20">
        <f>'Allocators Data'!F65/'Allocators Data'!$DF65</f>
        <v>0</v>
      </c>
      <c r="D65" s="20">
        <f>'Allocators Data'!G65/'Allocators Data'!$DF65</f>
        <v>0</v>
      </c>
      <c r="E65" s="20">
        <f>'Allocators Data'!H65/'Allocators Data'!$DF65</f>
        <v>0</v>
      </c>
      <c r="F65" s="20">
        <f>'Allocators Data'!I65/'Allocators Data'!$DF65</f>
        <v>0</v>
      </c>
      <c r="G65" s="31">
        <f>'Allocators Data'!J65/'Allocators Data'!$DF65</f>
        <v>0</v>
      </c>
      <c r="H65" s="20">
        <f>'Allocators Data'!K65/'Allocators Data'!$DF65</f>
        <v>0</v>
      </c>
      <c r="I65" s="20">
        <f>'Allocators Data'!L65/'Allocators Data'!$DF65</f>
        <v>0</v>
      </c>
      <c r="J65" s="20">
        <f>'Allocators Data'!M65/'Allocators Data'!$DF65</f>
        <v>0</v>
      </c>
      <c r="K65" s="21">
        <f>'Allocators Data'!N65/'Allocators Data'!$DF65</f>
        <v>0</v>
      </c>
      <c r="L65" s="20">
        <f>'Allocators Data'!O65/'Allocators Data'!$DF65</f>
        <v>0</v>
      </c>
      <c r="M65" s="20">
        <f>'Allocators Data'!P65/'Allocators Data'!$DF65</f>
        <v>0</v>
      </c>
      <c r="N65" s="20">
        <f>'Allocators Data'!Q65/'Allocators Data'!$DF65</f>
        <v>0</v>
      </c>
      <c r="O65" s="21">
        <f>'Allocators Data'!R65/'Allocators Data'!$DF65</f>
        <v>0</v>
      </c>
      <c r="P65" s="20">
        <f>'Allocators Data'!S65/'Allocators Data'!$DF65</f>
        <v>0</v>
      </c>
      <c r="Q65" s="20">
        <f>'Allocators Data'!T65/'Allocators Data'!$DF65</f>
        <v>0</v>
      </c>
      <c r="R65" s="20">
        <f>'Allocators Data'!U65/'Allocators Data'!$DF65</f>
        <v>0</v>
      </c>
      <c r="S65" s="21">
        <f>'Allocators Data'!V65/'Allocators Data'!$DF65</f>
        <v>0</v>
      </c>
      <c r="T65" s="20">
        <f>'Allocators Data'!W65/'Allocators Data'!$DF65</f>
        <v>0</v>
      </c>
      <c r="U65" s="20">
        <f>'Allocators Data'!X65/'Allocators Data'!$DF65</f>
        <v>0</v>
      </c>
      <c r="V65" s="20">
        <f>'Allocators Data'!Y65/'Allocators Data'!$DF65</f>
        <v>0</v>
      </c>
      <c r="W65" s="20">
        <f>'Allocators Data'!Z65/'Allocators Data'!$DF65</f>
        <v>0</v>
      </c>
      <c r="X65" s="22"/>
      <c r="Y65" s="20">
        <f>'Allocators Data'!AB65/'Allocators Data'!$DF65</f>
        <v>0</v>
      </c>
      <c r="Z65" s="20">
        <f>'Allocators Data'!AC65/'Allocators Data'!$DF65</f>
        <v>0</v>
      </c>
      <c r="AA65" s="20">
        <f>'Allocators Data'!AD65/'Allocators Data'!$DF65</f>
        <v>0</v>
      </c>
      <c r="AB65" s="20">
        <f>'Allocators Data'!AE65/'Allocators Data'!$DF65</f>
        <v>0</v>
      </c>
      <c r="AC65" s="20">
        <f>'Allocators Data'!AF65/'Allocators Data'!$DF65</f>
        <v>0</v>
      </c>
      <c r="AD65" s="20">
        <f>'Allocators Data'!AG65/'Allocators Data'!$DF65</f>
        <v>0</v>
      </c>
      <c r="AE65" s="20">
        <f>'Allocators Data'!AH65/'Allocators Data'!$DF65</f>
        <v>0</v>
      </c>
      <c r="AF65" s="22"/>
      <c r="AG65" s="20">
        <f>'Allocators Data'!AJ65/'Allocators Data'!$DF65</f>
        <v>0</v>
      </c>
      <c r="AH65" s="20">
        <f>'Allocators Data'!AK65/'Allocators Data'!$DF65</f>
        <v>0</v>
      </c>
      <c r="AI65" s="20">
        <f>'Allocators Data'!AL65/'Allocators Data'!$DF65</f>
        <v>0</v>
      </c>
      <c r="AJ65" s="20">
        <f>'Allocators Data'!AM65/'Allocators Data'!$DF65</f>
        <v>0</v>
      </c>
      <c r="AK65" s="20">
        <f>'Allocators Data'!AN65/'Allocators Data'!$DF65</f>
        <v>0</v>
      </c>
      <c r="AL65" s="21">
        <f>'Allocators Data'!AO65/'Allocators Data'!$DF65</f>
        <v>0</v>
      </c>
      <c r="AM65" s="20">
        <f>'Allocators Data'!AP65/'Allocators Data'!$DF65</f>
        <v>0</v>
      </c>
      <c r="AN65" s="20">
        <f>'Allocators Data'!AQ65/'Allocators Data'!$DF65</f>
        <v>0</v>
      </c>
      <c r="AO65" s="20">
        <f>'Allocators Data'!AR65/'Allocators Data'!$DF65</f>
        <v>0</v>
      </c>
      <c r="AP65" s="20">
        <f>'Allocators Data'!AS65/'Allocators Data'!$DF65</f>
        <v>0</v>
      </c>
      <c r="AQ65" s="20">
        <f>'Allocators Data'!AT65/'Allocators Data'!$DF65</f>
        <v>0</v>
      </c>
      <c r="AR65" s="21">
        <f>'Allocators Data'!AU65/'Allocators Data'!$DF65</f>
        <v>0</v>
      </c>
      <c r="AS65" s="20">
        <f>'Allocators Data'!AV65/'Allocators Data'!$DF65</f>
        <v>0</v>
      </c>
      <c r="AT65" s="20">
        <f>'Allocators Data'!AW65/'Allocators Data'!$DF65</f>
        <v>0</v>
      </c>
      <c r="AU65" s="20">
        <f>'Allocators Data'!AX65/'Allocators Data'!$DF65</f>
        <v>0</v>
      </c>
      <c r="AV65" s="20">
        <f>'Allocators Data'!AY65/'Allocators Data'!$DF65</f>
        <v>0</v>
      </c>
      <c r="AW65" s="20">
        <f>'Allocators Data'!AZ65/'Allocators Data'!$DF65</f>
        <v>0</v>
      </c>
      <c r="AX65" s="21">
        <f>'Allocators Data'!BA65/'Allocators Data'!$DF65</f>
        <v>0</v>
      </c>
      <c r="AY65" s="20">
        <f>'Allocators Data'!BB65/'Allocators Data'!$DF65</f>
        <v>0</v>
      </c>
      <c r="AZ65" s="20">
        <f>'Allocators Data'!BC65/'Allocators Data'!$DF65</f>
        <v>0</v>
      </c>
      <c r="BA65" s="20">
        <f>'Allocators Data'!BD65/'Allocators Data'!$DF65</f>
        <v>0</v>
      </c>
      <c r="BB65" s="20">
        <f>'Allocators Data'!BE65/'Allocators Data'!$DF65</f>
        <v>0</v>
      </c>
      <c r="BC65" s="20">
        <f>'Allocators Data'!BF65/'Allocators Data'!$DF65</f>
        <v>0</v>
      </c>
      <c r="BD65" s="21">
        <f>'Allocators Data'!BG65/'Allocators Data'!$DF65</f>
        <v>0</v>
      </c>
      <c r="BE65" s="20">
        <f>'Allocators Data'!BH65/'Allocators Data'!$DF65</f>
        <v>0</v>
      </c>
      <c r="BF65" s="20">
        <f>'Allocators Data'!BI65/'Allocators Data'!$DF65</f>
        <v>0</v>
      </c>
      <c r="BG65" s="20">
        <f>'Allocators Data'!BJ65/'Allocators Data'!$DF65</f>
        <v>0</v>
      </c>
      <c r="BH65" s="20">
        <f>'Allocators Data'!BK65/'Allocators Data'!$DF65</f>
        <v>0</v>
      </c>
      <c r="BI65" s="20">
        <f>'Allocators Data'!BL65/'Allocators Data'!$DF65</f>
        <v>0</v>
      </c>
      <c r="BJ65" s="21">
        <f>'Allocators Data'!BM65/'Allocators Data'!$DF65</f>
        <v>0</v>
      </c>
      <c r="BK65" s="20">
        <f>'Allocators Data'!BN65/'Allocators Data'!$DF65</f>
        <v>0</v>
      </c>
      <c r="BL65" s="20">
        <f>'Allocators Data'!BO65/'Allocators Data'!$DF65</f>
        <v>0</v>
      </c>
      <c r="BM65" s="20">
        <f>'Allocators Data'!BP65/'Allocators Data'!$DF65</f>
        <v>0</v>
      </c>
      <c r="BN65" s="20">
        <f>'Allocators Data'!BQ65/'Allocators Data'!$DF65</f>
        <v>0</v>
      </c>
      <c r="BO65" s="20">
        <f>'Allocators Data'!BR65/'Allocators Data'!$DF65</f>
        <v>0</v>
      </c>
      <c r="BP65" s="21">
        <f>'Allocators Data'!BS65/'Allocators Data'!$DF65</f>
        <v>0</v>
      </c>
      <c r="BQ65" s="20">
        <f>'Allocators Data'!BT65/'Allocators Data'!$DF65</f>
        <v>0</v>
      </c>
      <c r="BR65" s="20">
        <f>'Allocators Data'!BU65/'Allocators Data'!$DF65</f>
        <v>0</v>
      </c>
      <c r="BS65" s="20">
        <f>'Allocators Data'!BV65/'Allocators Data'!$DF65</f>
        <v>0</v>
      </c>
      <c r="BT65" s="20">
        <f>'Allocators Data'!BW65/'Allocators Data'!$DF65</f>
        <v>0</v>
      </c>
      <c r="BU65" s="20">
        <f>'Allocators Data'!BX65/'Allocators Data'!$DF65</f>
        <v>0</v>
      </c>
      <c r="BV65" s="21">
        <f>'Allocators Data'!BY65/'Allocators Data'!$DF65</f>
        <v>0</v>
      </c>
      <c r="BW65" s="22"/>
      <c r="BX65" s="20">
        <f>'Allocators Data'!CA65/'Allocators Data'!$DF65</f>
        <v>0</v>
      </c>
      <c r="BY65" s="20">
        <f>'Allocators Data'!CB65/'Allocators Data'!$DF65</f>
        <v>0</v>
      </c>
      <c r="BZ65" s="20">
        <f>'Allocators Data'!CC65/'Allocators Data'!$DF65</f>
        <v>0</v>
      </c>
      <c r="CA65" s="20">
        <f>'Allocators Data'!CD65/'Allocators Data'!$DF65</f>
        <v>0</v>
      </c>
      <c r="CB65" s="20">
        <f>'Allocators Data'!CE65/'Allocators Data'!$DF65</f>
        <v>0</v>
      </c>
      <c r="CC65" s="20">
        <f>'Allocators Data'!CF65/'Allocators Data'!$DF65</f>
        <v>0</v>
      </c>
      <c r="CD65" s="20">
        <f>'Allocators Data'!CG65/'Allocators Data'!$DF65</f>
        <v>0</v>
      </c>
      <c r="CE65" s="20">
        <f>'Allocators Data'!CH65/'Allocators Data'!$DF65</f>
        <v>0</v>
      </c>
      <c r="CF65" s="20">
        <f>'Allocators Data'!CI65/'Allocators Data'!$DF65</f>
        <v>0</v>
      </c>
      <c r="CG65" s="20">
        <f>'Allocators Data'!CJ65/'Allocators Data'!$DF65</f>
        <v>0</v>
      </c>
      <c r="CH65" s="22"/>
      <c r="CI65" s="20">
        <f>'Allocators Data'!CL65/'Allocators Data'!$DF65</f>
        <v>0</v>
      </c>
      <c r="CJ65" s="20">
        <f>'Allocators Data'!CM65/'Allocators Data'!$DF65</f>
        <v>0</v>
      </c>
      <c r="CK65" s="20">
        <f>'Allocators Data'!CN65/'Allocators Data'!$DF65</f>
        <v>0</v>
      </c>
      <c r="CL65" s="29">
        <f>'Allocators Data'!CO65/'Allocators Data'!$DF65</f>
        <v>0</v>
      </c>
      <c r="CM65" s="20">
        <f>'Allocators Data'!CP65/'Allocators Data'!$DF65</f>
        <v>0</v>
      </c>
      <c r="CN65" s="20">
        <f>'Allocators Data'!CQ65/'Allocators Data'!$DF65</f>
        <v>0</v>
      </c>
      <c r="CO65" s="22"/>
      <c r="CP65" s="20">
        <f>'Allocators Data'!CS65/'Allocators Data'!$DF65</f>
        <v>0</v>
      </c>
      <c r="CQ65" s="20">
        <f>'Allocators Data'!CT65/'Allocators Data'!$DF65</f>
        <v>0</v>
      </c>
      <c r="CR65" s="22"/>
      <c r="CS65" s="20">
        <f>'Allocators Data'!CV65/'Allocators Data'!$DF65</f>
        <v>3.4704196901833267E-2</v>
      </c>
      <c r="CT65" s="20">
        <f>'Allocators Data'!CW65/'Allocators Data'!$DF65</f>
        <v>2.3194931000454101E-3</v>
      </c>
      <c r="CU65" s="20">
        <f>'Allocators Data'!CX65/'Allocators Data'!$DF65</f>
        <v>1.3612260716035727E-2</v>
      </c>
      <c r="CV65" s="20">
        <f>'Allocators Data'!CY65/'Allocators Data'!$DF65</f>
        <v>2.2133132910048699E-2</v>
      </c>
      <c r="CW65" s="20">
        <f>'Allocators Data'!CZ65/'Allocators Data'!$DF65</f>
        <v>0.26649500514552504</v>
      </c>
      <c r="CX65" s="20">
        <f>'Allocators Data'!DA65/'Allocators Data'!$DF65</f>
        <v>2.725229648822584E-2</v>
      </c>
      <c r="CY65" s="20">
        <f>'Allocators Data'!DB65/'Allocators Data'!$DF65</f>
        <v>0.60536566742227627</v>
      </c>
      <c r="CZ65" s="20">
        <f>'Allocators Data'!DC65/'Allocators Data'!$DF65</f>
        <v>1.6444304769552709E-4</v>
      </c>
      <c r="DA65" s="20">
        <f>'Allocators Data'!DD65/'Allocators Data'!$DF65</f>
        <v>2.7953504268314184E-2</v>
      </c>
      <c r="DB65" s="22"/>
      <c r="DC65" s="20">
        <f t="shared" si="28"/>
        <v>0.99999999999999989</v>
      </c>
    </row>
    <row r="66" spans="1:107" x14ac:dyDescent="0.2">
      <c r="A66">
        <v>4</v>
      </c>
      <c r="B66" t="s">
        <v>235</v>
      </c>
      <c r="C66" s="20">
        <f>'Allocators Data'!F66/'Allocators Data'!$DF66</f>
        <v>0</v>
      </c>
      <c r="D66" s="20">
        <f>'Allocators Data'!G66/'Allocators Data'!$DF66</f>
        <v>0</v>
      </c>
      <c r="E66" s="20">
        <f>'Allocators Data'!H66/'Allocators Data'!$DF66</f>
        <v>0</v>
      </c>
      <c r="F66" s="20">
        <f>'Allocators Data'!I66/'Allocators Data'!$DF66</f>
        <v>0</v>
      </c>
      <c r="G66" s="31">
        <f>'Allocators Data'!J66/'Allocators Data'!$DF66</f>
        <v>0</v>
      </c>
      <c r="H66" s="20">
        <f>'Allocators Data'!K66/'Allocators Data'!$DF66</f>
        <v>0</v>
      </c>
      <c r="I66" s="20">
        <f>'Allocators Data'!L66/'Allocators Data'!$DF66</f>
        <v>0</v>
      </c>
      <c r="J66" s="20">
        <f>'Allocators Data'!M66/'Allocators Data'!$DF66</f>
        <v>0</v>
      </c>
      <c r="K66" s="21">
        <f>'Allocators Data'!N66/'Allocators Data'!$DF66</f>
        <v>0</v>
      </c>
      <c r="L66" s="20">
        <f>'Allocators Data'!O66/'Allocators Data'!$DF66</f>
        <v>0</v>
      </c>
      <c r="M66" s="20">
        <f>'Allocators Data'!P66/'Allocators Data'!$DF66</f>
        <v>0</v>
      </c>
      <c r="N66" s="20">
        <f>'Allocators Data'!Q66/'Allocators Data'!$DF66</f>
        <v>0</v>
      </c>
      <c r="O66" s="21">
        <f>'Allocators Data'!R66/'Allocators Data'!$DF66</f>
        <v>0</v>
      </c>
      <c r="P66" s="20">
        <f>'Allocators Data'!S66/'Allocators Data'!$DF66</f>
        <v>0</v>
      </c>
      <c r="Q66" s="20">
        <f>'Allocators Data'!T66/'Allocators Data'!$DF66</f>
        <v>0</v>
      </c>
      <c r="R66" s="20">
        <f>'Allocators Data'!U66/'Allocators Data'!$DF66</f>
        <v>0</v>
      </c>
      <c r="S66" s="21">
        <f>'Allocators Data'!V66/'Allocators Data'!$DF66</f>
        <v>0</v>
      </c>
      <c r="T66" s="20">
        <f>'Allocators Data'!W66/'Allocators Data'!$DF66</f>
        <v>0</v>
      </c>
      <c r="U66" s="20">
        <f>'Allocators Data'!X66/'Allocators Data'!$DF66</f>
        <v>0</v>
      </c>
      <c r="V66" s="20">
        <f>'Allocators Data'!Y66/'Allocators Data'!$DF66</f>
        <v>0</v>
      </c>
      <c r="W66" s="20">
        <f>'Allocators Data'!Z66/'Allocators Data'!$DF66</f>
        <v>0</v>
      </c>
      <c r="X66" s="22"/>
      <c r="Y66" s="20">
        <f>'Allocators Data'!AB66/'Allocators Data'!$DF66</f>
        <v>0</v>
      </c>
      <c r="Z66" s="20">
        <f>'Allocators Data'!AC66/'Allocators Data'!$DF66</f>
        <v>0</v>
      </c>
      <c r="AA66" s="20">
        <f>'Allocators Data'!AD66/'Allocators Data'!$DF66</f>
        <v>0</v>
      </c>
      <c r="AB66" s="20">
        <f>'Allocators Data'!AE66/'Allocators Data'!$DF66</f>
        <v>0</v>
      </c>
      <c r="AC66" s="20">
        <f>'Allocators Data'!AF66/'Allocators Data'!$DF66</f>
        <v>0</v>
      </c>
      <c r="AD66" s="20">
        <f>'Allocators Data'!AG66/'Allocators Data'!$DF66</f>
        <v>0</v>
      </c>
      <c r="AE66" s="20">
        <f>'Allocators Data'!AH66/'Allocators Data'!$DF66</f>
        <v>0</v>
      </c>
      <c r="AF66" s="22"/>
      <c r="AG66" s="20">
        <f>'Allocators Data'!AJ66/'Allocators Data'!$DF66</f>
        <v>0</v>
      </c>
      <c r="AH66" s="20">
        <f>'Allocators Data'!AK66/'Allocators Data'!$DF66</f>
        <v>0</v>
      </c>
      <c r="AI66" s="20">
        <f>'Allocators Data'!AL66/'Allocators Data'!$DF66</f>
        <v>0</v>
      </c>
      <c r="AJ66" s="20">
        <f>'Allocators Data'!AM66/'Allocators Data'!$DF66</f>
        <v>0</v>
      </c>
      <c r="AK66" s="20">
        <f>'Allocators Data'!AN66/'Allocators Data'!$DF66</f>
        <v>0</v>
      </c>
      <c r="AL66" s="21">
        <f>'Allocators Data'!AO66/'Allocators Data'!$DF66</f>
        <v>0</v>
      </c>
      <c r="AM66" s="20">
        <f>'Allocators Data'!AP66/'Allocators Data'!$DF66</f>
        <v>0</v>
      </c>
      <c r="AN66" s="20">
        <f>'Allocators Data'!AQ66/'Allocators Data'!$DF66</f>
        <v>0</v>
      </c>
      <c r="AO66" s="20">
        <f>'Allocators Data'!AR66/'Allocators Data'!$DF66</f>
        <v>0</v>
      </c>
      <c r="AP66" s="20">
        <f>'Allocators Data'!AS66/'Allocators Data'!$DF66</f>
        <v>0</v>
      </c>
      <c r="AQ66" s="20">
        <f>'Allocators Data'!AT66/'Allocators Data'!$DF66</f>
        <v>0</v>
      </c>
      <c r="AR66" s="21">
        <f>'Allocators Data'!AU66/'Allocators Data'!$DF66</f>
        <v>0</v>
      </c>
      <c r="AS66" s="20">
        <f>'Allocators Data'!AV66/'Allocators Data'!$DF66</f>
        <v>0</v>
      </c>
      <c r="AT66" s="20">
        <f>'Allocators Data'!AW66/'Allocators Data'!$DF66</f>
        <v>0</v>
      </c>
      <c r="AU66" s="20">
        <f>'Allocators Data'!AX66/'Allocators Data'!$DF66</f>
        <v>0</v>
      </c>
      <c r="AV66" s="20">
        <f>'Allocators Data'!AY66/'Allocators Data'!$DF66</f>
        <v>0</v>
      </c>
      <c r="AW66" s="20">
        <f>'Allocators Data'!AZ66/'Allocators Data'!$DF66</f>
        <v>0</v>
      </c>
      <c r="AX66" s="21">
        <f>'Allocators Data'!BA66/'Allocators Data'!$DF66</f>
        <v>0</v>
      </c>
      <c r="AY66" s="20">
        <f>'Allocators Data'!BB66/'Allocators Data'!$DF66</f>
        <v>0</v>
      </c>
      <c r="AZ66" s="20">
        <f>'Allocators Data'!BC66/'Allocators Data'!$DF66</f>
        <v>0</v>
      </c>
      <c r="BA66" s="20">
        <f>'Allocators Data'!BD66/'Allocators Data'!$DF66</f>
        <v>0</v>
      </c>
      <c r="BB66" s="20">
        <f>'Allocators Data'!BE66/'Allocators Data'!$DF66</f>
        <v>0</v>
      </c>
      <c r="BC66" s="20">
        <f>'Allocators Data'!BF66/'Allocators Data'!$DF66</f>
        <v>0</v>
      </c>
      <c r="BD66" s="21">
        <f>'Allocators Data'!BG66/'Allocators Data'!$DF66</f>
        <v>0</v>
      </c>
      <c r="BE66" s="20">
        <f>'Allocators Data'!BH66/'Allocators Data'!$DF66</f>
        <v>0</v>
      </c>
      <c r="BF66" s="20">
        <f>'Allocators Data'!BI66/'Allocators Data'!$DF66</f>
        <v>0</v>
      </c>
      <c r="BG66" s="20">
        <f>'Allocators Data'!BJ66/'Allocators Data'!$DF66</f>
        <v>0</v>
      </c>
      <c r="BH66" s="20">
        <f>'Allocators Data'!BK66/'Allocators Data'!$DF66</f>
        <v>0</v>
      </c>
      <c r="BI66" s="20">
        <f>'Allocators Data'!BL66/'Allocators Data'!$DF66</f>
        <v>0</v>
      </c>
      <c r="BJ66" s="21">
        <f>'Allocators Data'!BM66/'Allocators Data'!$DF66</f>
        <v>0</v>
      </c>
      <c r="BK66" s="20">
        <f>'Allocators Data'!BN66/'Allocators Data'!$DF66</f>
        <v>0</v>
      </c>
      <c r="BL66" s="20">
        <f>'Allocators Data'!BO66/'Allocators Data'!$DF66</f>
        <v>0</v>
      </c>
      <c r="BM66" s="20">
        <f>'Allocators Data'!BP66/'Allocators Data'!$DF66</f>
        <v>0</v>
      </c>
      <c r="BN66" s="20">
        <f>'Allocators Data'!BQ66/'Allocators Data'!$DF66</f>
        <v>0</v>
      </c>
      <c r="BO66" s="20">
        <f>'Allocators Data'!BR66/'Allocators Data'!$DF66</f>
        <v>0</v>
      </c>
      <c r="BP66" s="21">
        <f>'Allocators Data'!BS66/'Allocators Data'!$DF66</f>
        <v>0</v>
      </c>
      <c r="BQ66" s="20">
        <f>'Allocators Data'!BT66/'Allocators Data'!$DF66</f>
        <v>0</v>
      </c>
      <c r="BR66" s="20">
        <f>'Allocators Data'!BU66/'Allocators Data'!$DF66</f>
        <v>0</v>
      </c>
      <c r="BS66" s="20">
        <f>'Allocators Data'!BV66/'Allocators Data'!$DF66</f>
        <v>0</v>
      </c>
      <c r="BT66" s="20">
        <f>'Allocators Data'!BW66/'Allocators Data'!$DF66</f>
        <v>0</v>
      </c>
      <c r="BU66" s="20">
        <f>'Allocators Data'!BX66/'Allocators Data'!$DF66</f>
        <v>0</v>
      </c>
      <c r="BV66" s="21">
        <f>'Allocators Data'!BY66/'Allocators Data'!$DF66</f>
        <v>0</v>
      </c>
      <c r="BW66" s="22"/>
      <c r="BX66" s="20">
        <f>'Allocators Data'!CA66/'Allocators Data'!$DF66</f>
        <v>0</v>
      </c>
      <c r="BY66" s="20">
        <f>'Allocators Data'!CB66/'Allocators Data'!$DF66</f>
        <v>0</v>
      </c>
      <c r="BZ66" s="20">
        <f>'Allocators Data'!CC66/'Allocators Data'!$DF66</f>
        <v>0</v>
      </c>
      <c r="CA66" s="20">
        <f>'Allocators Data'!CD66/'Allocators Data'!$DF66</f>
        <v>0</v>
      </c>
      <c r="CB66" s="20">
        <f>'Allocators Data'!CE66/'Allocators Data'!$DF66</f>
        <v>0</v>
      </c>
      <c r="CC66" s="20">
        <f>'Allocators Data'!CF66/'Allocators Data'!$DF66</f>
        <v>0</v>
      </c>
      <c r="CD66" s="20">
        <f>'Allocators Data'!CG66/'Allocators Data'!$DF66</f>
        <v>0</v>
      </c>
      <c r="CE66" s="20">
        <f>'Allocators Data'!CH66/'Allocators Data'!$DF66</f>
        <v>0</v>
      </c>
      <c r="CF66" s="20">
        <f>'Allocators Data'!CI66/'Allocators Data'!$DF66</f>
        <v>0</v>
      </c>
      <c r="CG66" s="20">
        <f>'Allocators Data'!CJ66/'Allocators Data'!$DF66</f>
        <v>0</v>
      </c>
      <c r="CH66" s="22"/>
      <c r="CI66" s="20">
        <f>'Allocators Data'!CL66/'Allocators Data'!$DF66</f>
        <v>0</v>
      </c>
      <c r="CJ66" s="20">
        <f>'Allocators Data'!CM66/'Allocators Data'!$DF66</f>
        <v>0</v>
      </c>
      <c r="CK66" s="20">
        <f>'Allocators Data'!CN66/'Allocators Data'!$DF66</f>
        <v>0</v>
      </c>
      <c r="CL66" s="29">
        <f>'Allocators Data'!CO66/'Allocators Data'!$DF66</f>
        <v>0</v>
      </c>
      <c r="CM66" s="20">
        <f>'Allocators Data'!CP66/'Allocators Data'!$DF66</f>
        <v>0</v>
      </c>
      <c r="CN66" s="20">
        <f>'Allocators Data'!CQ66/'Allocators Data'!$DF66</f>
        <v>0</v>
      </c>
      <c r="CO66" s="22"/>
      <c r="CP66" s="20">
        <f>'Allocators Data'!CS66/'Allocators Data'!$DF66</f>
        <v>0</v>
      </c>
      <c r="CQ66" s="20">
        <f>'Allocators Data'!CT66/'Allocators Data'!$DF66</f>
        <v>0</v>
      </c>
      <c r="CR66" s="22"/>
      <c r="CS66" s="20">
        <f>'Allocators Data'!CV66/'Allocators Data'!$DF66</f>
        <v>3.0538382241945772E-2</v>
      </c>
      <c r="CT66" s="20">
        <f>'Allocators Data'!CW66/'Allocators Data'!$DF66</f>
        <v>2.3425258763184989E-3</v>
      </c>
      <c r="CU66" s="20">
        <f>'Allocators Data'!CX66/'Allocators Data'!$DF66</f>
        <v>1.2787664849178152E-2</v>
      </c>
      <c r="CV66" s="20">
        <f>'Allocators Data'!CY66/'Allocators Data'!$DF66</f>
        <v>2.2399544518451237E-2</v>
      </c>
      <c r="CW66" s="20">
        <f>'Allocators Data'!CZ66/'Allocators Data'!$DF66</f>
        <v>0.26576437194897867</v>
      </c>
      <c r="CX66" s="20">
        <f>'Allocators Data'!DA66/'Allocators Data'!$DF66</f>
        <v>2.7151001863964283E-2</v>
      </c>
      <c r="CY66" s="20">
        <f>'Allocators Data'!DB66/'Allocators Data'!$DF66</f>
        <v>0.60883998271026807</v>
      </c>
      <c r="CZ66" s="20">
        <f>'Allocators Data'!DC66/'Allocators Data'!$DF66</f>
        <v>1.6477561080844634E-4</v>
      </c>
      <c r="DA66" s="20">
        <f>'Allocators Data'!DD66/'Allocators Data'!$DF66</f>
        <v>3.0011750380087063E-2</v>
      </c>
      <c r="DB66" s="22"/>
      <c r="DC66" s="20">
        <f t="shared" si="28"/>
        <v>1.0000000000000002</v>
      </c>
    </row>
    <row r="67" spans="1:107" x14ac:dyDescent="0.2">
      <c r="A67">
        <v>5</v>
      </c>
      <c r="B67" t="s">
        <v>236</v>
      </c>
      <c r="C67" s="20">
        <f>'Allocators Data'!F67/'Allocators Data'!$DF67</f>
        <v>0</v>
      </c>
      <c r="D67" s="20">
        <f>'Allocators Data'!G67/'Allocators Data'!$DF67</f>
        <v>0</v>
      </c>
      <c r="E67" s="20">
        <f>'Allocators Data'!H67/'Allocators Data'!$DF67</f>
        <v>0</v>
      </c>
      <c r="F67" s="20">
        <f>'Allocators Data'!I67/'Allocators Data'!$DF67</f>
        <v>0</v>
      </c>
      <c r="G67" s="31">
        <f>'Allocators Data'!J67/'Allocators Data'!$DF67</f>
        <v>0</v>
      </c>
      <c r="H67" s="20">
        <f>'Allocators Data'!K67/'Allocators Data'!$DF67</f>
        <v>0</v>
      </c>
      <c r="I67" s="20">
        <f>'Allocators Data'!L67/'Allocators Data'!$DF67</f>
        <v>0</v>
      </c>
      <c r="J67" s="20">
        <f>'Allocators Data'!M67/'Allocators Data'!$DF67</f>
        <v>0</v>
      </c>
      <c r="K67" s="21">
        <f>'Allocators Data'!N67/'Allocators Data'!$DF67</f>
        <v>0</v>
      </c>
      <c r="L67" s="20">
        <f>'Allocators Data'!O67/'Allocators Data'!$DF67</f>
        <v>0</v>
      </c>
      <c r="M67" s="20">
        <f>'Allocators Data'!P67/'Allocators Data'!$DF67</f>
        <v>0</v>
      </c>
      <c r="N67" s="20">
        <f>'Allocators Data'!Q67/'Allocators Data'!$DF67</f>
        <v>0</v>
      </c>
      <c r="O67" s="21">
        <f>'Allocators Data'!R67/'Allocators Data'!$DF67</f>
        <v>0</v>
      </c>
      <c r="P67" s="20">
        <f>'Allocators Data'!S67/'Allocators Data'!$DF67</f>
        <v>0</v>
      </c>
      <c r="Q67" s="20">
        <f>'Allocators Data'!T67/'Allocators Data'!$DF67</f>
        <v>0</v>
      </c>
      <c r="R67" s="20">
        <f>'Allocators Data'!U67/'Allocators Data'!$DF67</f>
        <v>0</v>
      </c>
      <c r="S67" s="21">
        <f>'Allocators Data'!V67/'Allocators Data'!$DF67</f>
        <v>0</v>
      </c>
      <c r="T67" s="20">
        <f>'Allocators Data'!W67/'Allocators Data'!$DF67</f>
        <v>0</v>
      </c>
      <c r="U67" s="20">
        <f>'Allocators Data'!X67/'Allocators Data'!$DF67</f>
        <v>0</v>
      </c>
      <c r="V67" s="20">
        <f>'Allocators Data'!Y67/'Allocators Data'!$DF67</f>
        <v>0</v>
      </c>
      <c r="W67" s="20">
        <f>'Allocators Data'!Z67/'Allocators Data'!$DF67</f>
        <v>0</v>
      </c>
      <c r="X67" s="22"/>
      <c r="Y67" s="20">
        <f>'Allocators Data'!AB67/'Allocators Data'!$DF67</f>
        <v>0</v>
      </c>
      <c r="Z67" s="20">
        <f>'Allocators Data'!AC67/'Allocators Data'!$DF67</f>
        <v>0</v>
      </c>
      <c r="AA67" s="20">
        <f>'Allocators Data'!AD67/'Allocators Data'!$DF67</f>
        <v>0</v>
      </c>
      <c r="AB67" s="20">
        <f>'Allocators Data'!AE67/'Allocators Data'!$DF67</f>
        <v>0</v>
      </c>
      <c r="AC67" s="20">
        <f>'Allocators Data'!AF67/'Allocators Data'!$DF67</f>
        <v>0</v>
      </c>
      <c r="AD67" s="20">
        <f>'Allocators Data'!AG67/'Allocators Data'!$DF67</f>
        <v>0</v>
      </c>
      <c r="AE67" s="20">
        <f>'Allocators Data'!AH67/'Allocators Data'!$DF67</f>
        <v>0</v>
      </c>
      <c r="AF67" s="22"/>
      <c r="AG67" s="20">
        <f>'Allocators Data'!AJ67/'Allocators Data'!$DF67</f>
        <v>0</v>
      </c>
      <c r="AH67" s="20">
        <f>'Allocators Data'!AK67/'Allocators Data'!$DF67</f>
        <v>0</v>
      </c>
      <c r="AI67" s="20">
        <f>'Allocators Data'!AL67/'Allocators Data'!$DF67</f>
        <v>0</v>
      </c>
      <c r="AJ67" s="20">
        <f>'Allocators Data'!AM67/'Allocators Data'!$DF67</f>
        <v>0</v>
      </c>
      <c r="AK67" s="20">
        <f>'Allocators Data'!AN67/'Allocators Data'!$DF67</f>
        <v>0</v>
      </c>
      <c r="AL67" s="21">
        <f>'Allocators Data'!AO67/'Allocators Data'!$DF67</f>
        <v>0</v>
      </c>
      <c r="AM67" s="20">
        <f>'Allocators Data'!AP67/'Allocators Data'!$DF67</f>
        <v>0</v>
      </c>
      <c r="AN67" s="20">
        <f>'Allocators Data'!AQ67/'Allocators Data'!$DF67</f>
        <v>0</v>
      </c>
      <c r="AO67" s="20">
        <f>'Allocators Data'!AR67/'Allocators Data'!$DF67</f>
        <v>0</v>
      </c>
      <c r="AP67" s="20">
        <f>'Allocators Data'!AS67/'Allocators Data'!$DF67</f>
        <v>0</v>
      </c>
      <c r="AQ67" s="20">
        <f>'Allocators Data'!AT67/'Allocators Data'!$DF67</f>
        <v>0</v>
      </c>
      <c r="AR67" s="21">
        <f>'Allocators Data'!AU67/'Allocators Data'!$DF67</f>
        <v>0</v>
      </c>
      <c r="AS67" s="20">
        <f>'Allocators Data'!AV67/'Allocators Data'!$DF67</f>
        <v>0</v>
      </c>
      <c r="AT67" s="20">
        <f>'Allocators Data'!AW67/'Allocators Data'!$DF67</f>
        <v>0</v>
      </c>
      <c r="AU67" s="20">
        <f>'Allocators Data'!AX67/'Allocators Data'!$DF67</f>
        <v>0</v>
      </c>
      <c r="AV67" s="20">
        <f>'Allocators Data'!AY67/'Allocators Data'!$DF67</f>
        <v>0</v>
      </c>
      <c r="AW67" s="20">
        <f>'Allocators Data'!AZ67/'Allocators Data'!$DF67</f>
        <v>0</v>
      </c>
      <c r="AX67" s="21">
        <f>'Allocators Data'!BA67/'Allocators Data'!$DF67</f>
        <v>0</v>
      </c>
      <c r="AY67" s="20">
        <f>'Allocators Data'!BB67/'Allocators Data'!$DF67</f>
        <v>0</v>
      </c>
      <c r="AZ67" s="20">
        <f>'Allocators Data'!BC67/'Allocators Data'!$DF67</f>
        <v>0</v>
      </c>
      <c r="BA67" s="20">
        <f>'Allocators Data'!BD67/'Allocators Data'!$DF67</f>
        <v>0</v>
      </c>
      <c r="BB67" s="20">
        <f>'Allocators Data'!BE67/'Allocators Data'!$DF67</f>
        <v>0</v>
      </c>
      <c r="BC67" s="20">
        <f>'Allocators Data'!BF67/'Allocators Data'!$DF67</f>
        <v>0</v>
      </c>
      <c r="BD67" s="21">
        <f>'Allocators Data'!BG67/'Allocators Data'!$DF67</f>
        <v>0</v>
      </c>
      <c r="BE67" s="20">
        <f>'Allocators Data'!BH67/'Allocators Data'!$DF67</f>
        <v>0</v>
      </c>
      <c r="BF67" s="20">
        <f>'Allocators Data'!BI67/'Allocators Data'!$DF67</f>
        <v>0</v>
      </c>
      <c r="BG67" s="20">
        <f>'Allocators Data'!BJ67/'Allocators Data'!$DF67</f>
        <v>0</v>
      </c>
      <c r="BH67" s="20">
        <f>'Allocators Data'!BK67/'Allocators Data'!$DF67</f>
        <v>0</v>
      </c>
      <c r="BI67" s="20">
        <f>'Allocators Data'!BL67/'Allocators Data'!$DF67</f>
        <v>0</v>
      </c>
      <c r="BJ67" s="21">
        <f>'Allocators Data'!BM67/'Allocators Data'!$DF67</f>
        <v>0</v>
      </c>
      <c r="BK67" s="20">
        <f>'Allocators Data'!BN67/'Allocators Data'!$DF67</f>
        <v>0</v>
      </c>
      <c r="BL67" s="20">
        <f>'Allocators Data'!BO67/'Allocators Data'!$DF67</f>
        <v>0</v>
      </c>
      <c r="BM67" s="20">
        <f>'Allocators Data'!BP67/'Allocators Data'!$DF67</f>
        <v>0</v>
      </c>
      <c r="BN67" s="20">
        <f>'Allocators Data'!BQ67/'Allocators Data'!$DF67</f>
        <v>0</v>
      </c>
      <c r="BO67" s="20">
        <f>'Allocators Data'!BR67/'Allocators Data'!$DF67</f>
        <v>0</v>
      </c>
      <c r="BP67" s="21">
        <f>'Allocators Data'!BS67/'Allocators Data'!$DF67</f>
        <v>0</v>
      </c>
      <c r="BQ67" s="20">
        <f>'Allocators Data'!BT67/'Allocators Data'!$DF67</f>
        <v>0</v>
      </c>
      <c r="BR67" s="20">
        <f>'Allocators Data'!BU67/'Allocators Data'!$DF67</f>
        <v>0</v>
      </c>
      <c r="BS67" s="20">
        <f>'Allocators Data'!BV67/'Allocators Data'!$DF67</f>
        <v>0</v>
      </c>
      <c r="BT67" s="20">
        <f>'Allocators Data'!BW67/'Allocators Data'!$DF67</f>
        <v>0</v>
      </c>
      <c r="BU67" s="20">
        <f>'Allocators Data'!BX67/'Allocators Data'!$DF67</f>
        <v>0</v>
      </c>
      <c r="BV67" s="21">
        <f>'Allocators Data'!BY67/'Allocators Data'!$DF67</f>
        <v>0</v>
      </c>
      <c r="BW67" s="22"/>
      <c r="BX67" s="20">
        <f>'Allocators Data'!CA67/'Allocators Data'!$DF67</f>
        <v>0</v>
      </c>
      <c r="BY67" s="20">
        <f>'Allocators Data'!CB67/'Allocators Data'!$DF67</f>
        <v>0</v>
      </c>
      <c r="BZ67" s="20">
        <f>'Allocators Data'!CC67/'Allocators Data'!$DF67</f>
        <v>0</v>
      </c>
      <c r="CA67" s="20">
        <f>'Allocators Data'!CD67/'Allocators Data'!$DF67</f>
        <v>0</v>
      </c>
      <c r="CB67" s="20">
        <f>'Allocators Data'!CE67/'Allocators Data'!$DF67</f>
        <v>0</v>
      </c>
      <c r="CC67" s="20">
        <f>'Allocators Data'!CF67/'Allocators Data'!$DF67</f>
        <v>0</v>
      </c>
      <c r="CD67" s="20">
        <f>'Allocators Data'!CG67/'Allocators Data'!$DF67</f>
        <v>0</v>
      </c>
      <c r="CE67" s="20">
        <f>'Allocators Data'!CH67/'Allocators Data'!$DF67</f>
        <v>0</v>
      </c>
      <c r="CF67" s="20">
        <f>'Allocators Data'!CI67/'Allocators Data'!$DF67</f>
        <v>0</v>
      </c>
      <c r="CG67" s="20">
        <f>'Allocators Data'!CJ67/'Allocators Data'!$DF67</f>
        <v>0</v>
      </c>
      <c r="CH67" s="22"/>
      <c r="CI67" s="20">
        <f>'Allocators Data'!CL67/'Allocators Data'!$DF67</f>
        <v>0</v>
      </c>
      <c r="CJ67" s="20">
        <f>'Allocators Data'!CM67/'Allocators Data'!$DF67</f>
        <v>0</v>
      </c>
      <c r="CK67" s="20">
        <f>'Allocators Data'!CN67/'Allocators Data'!$DF67</f>
        <v>0</v>
      </c>
      <c r="CL67" s="29">
        <f>'Allocators Data'!CO67/'Allocators Data'!$DF67</f>
        <v>0</v>
      </c>
      <c r="CM67" s="20">
        <f>'Allocators Data'!CP67/'Allocators Data'!$DF67</f>
        <v>0</v>
      </c>
      <c r="CN67" s="20">
        <f>'Allocators Data'!CQ67/'Allocators Data'!$DF67</f>
        <v>0</v>
      </c>
      <c r="CO67" s="22"/>
      <c r="CP67" s="20">
        <f>'Allocators Data'!CS67/'Allocators Data'!$DF67</f>
        <v>0</v>
      </c>
      <c r="CQ67" s="20">
        <f>'Allocators Data'!CT67/'Allocators Data'!$DF67</f>
        <v>0</v>
      </c>
      <c r="CR67" s="22"/>
      <c r="CS67" s="20">
        <f>'Allocators Data'!CV67/'Allocators Data'!$DF67</f>
        <v>2.7790514472956614E-2</v>
      </c>
      <c r="CT67" s="20">
        <f>'Allocators Data'!CW67/'Allocators Data'!$DF67</f>
        <v>2.319497528752378E-3</v>
      </c>
      <c r="CU67" s="20">
        <f>'Allocators Data'!CX67/'Allocators Data'!$DF67</f>
        <v>1.137499861559777E-2</v>
      </c>
      <c r="CV67" s="20">
        <f>'Allocators Data'!CY67/'Allocators Data'!$DF67</f>
        <v>2.0377462807211474E-2</v>
      </c>
      <c r="CW67" s="20">
        <f>'Allocators Data'!CZ67/'Allocators Data'!$DF67</f>
        <v>0.26642818420792469</v>
      </c>
      <c r="CX67" s="20">
        <f>'Allocators Data'!DA67/'Allocators Data'!$DF67</f>
        <v>2.5204375663533469E-2</v>
      </c>
      <c r="CY67" s="20">
        <f>'Allocators Data'!DB67/'Allocators Data'!$DF67</f>
        <v>0.61428467391019004</v>
      </c>
      <c r="CZ67" s="20">
        <f>'Allocators Data'!DC67/'Allocators Data'!$DF67</f>
        <v>1.3034764966829209E-4</v>
      </c>
      <c r="DA67" s="20">
        <f>'Allocators Data'!DD67/'Allocators Data'!$DF67</f>
        <v>3.208994514416539E-2</v>
      </c>
      <c r="DB67" s="22"/>
      <c r="DC67" s="20">
        <f t="shared" si="28"/>
        <v>1</v>
      </c>
    </row>
    <row r="68" spans="1:107" x14ac:dyDescent="0.2">
      <c r="A68">
        <v>6</v>
      </c>
      <c r="B68" t="s">
        <v>237</v>
      </c>
      <c r="C68" s="20">
        <f>'Allocators Data'!F68/'Allocators Data'!$DF68</f>
        <v>0</v>
      </c>
      <c r="D68" s="20">
        <f>'Allocators Data'!G68/'Allocators Data'!$DF68</f>
        <v>0</v>
      </c>
      <c r="E68" s="20">
        <f>'Allocators Data'!H68/'Allocators Data'!$DF68</f>
        <v>0</v>
      </c>
      <c r="F68" s="20">
        <f>'Allocators Data'!I68/'Allocators Data'!$DF68</f>
        <v>0</v>
      </c>
      <c r="G68" s="31">
        <f>'Allocators Data'!J68/'Allocators Data'!$DF68</f>
        <v>0</v>
      </c>
      <c r="H68" s="20">
        <f>'Allocators Data'!K68/'Allocators Data'!$DF68</f>
        <v>0</v>
      </c>
      <c r="I68" s="20">
        <f>'Allocators Data'!L68/'Allocators Data'!$DF68</f>
        <v>0</v>
      </c>
      <c r="J68" s="20">
        <f>'Allocators Data'!M68/'Allocators Data'!$DF68</f>
        <v>0</v>
      </c>
      <c r="K68" s="21">
        <f>'Allocators Data'!N68/'Allocators Data'!$DF68</f>
        <v>0</v>
      </c>
      <c r="L68" s="20">
        <f>'Allocators Data'!O68/'Allocators Data'!$DF68</f>
        <v>0</v>
      </c>
      <c r="M68" s="20">
        <f>'Allocators Data'!P68/'Allocators Data'!$DF68</f>
        <v>0</v>
      </c>
      <c r="N68" s="20">
        <f>'Allocators Data'!Q68/'Allocators Data'!$DF68</f>
        <v>0</v>
      </c>
      <c r="O68" s="21">
        <f>'Allocators Data'!R68/'Allocators Data'!$DF68</f>
        <v>0</v>
      </c>
      <c r="P68" s="20">
        <f>'Allocators Data'!S68/'Allocators Data'!$DF68</f>
        <v>0</v>
      </c>
      <c r="Q68" s="20">
        <f>'Allocators Data'!T68/'Allocators Data'!$DF68</f>
        <v>0</v>
      </c>
      <c r="R68" s="20">
        <f>'Allocators Data'!U68/'Allocators Data'!$DF68</f>
        <v>0</v>
      </c>
      <c r="S68" s="21">
        <f>'Allocators Data'!V68/'Allocators Data'!$DF68</f>
        <v>0</v>
      </c>
      <c r="T68" s="20">
        <f>'Allocators Data'!W68/'Allocators Data'!$DF68</f>
        <v>0</v>
      </c>
      <c r="U68" s="20">
        <f>'Allocators Data'!X68/'Allocators Data'!$DF68</f>
        <v>0</v>
      </c>
      <c r="V68" s="20">
        <f>'Allocators Data'!Y68/'Allocators Data'!$DF68</f>
        <v>0</v>
      </c>
      <c r="W68" s="20">
        <f>'Allocators Data'!Z68/'Allocators Data'!$DF68</f>
        <v>0</v>
      </c>
      <c r="X68" s="22"/>
      <c r="Y68" s="20">
        <f>'Allocators Data'!AB68/'Allocators Data'!$DF68</f>
        <v>0</v>
      </c>
      <c r="Z68" s="20">
        <f>'Allocators Data'!AC68/'Allocators Data'!$DF68</f>
        <v>0</v>
      </c>
      <c r="AA68" s="20">
        <f>'Allocators Data'!AD68/'Allocators Data'!$DF68</f>
        <v>0</v>
      </c>
      <c r="AB68" s="20">
        <f>'Allocators Data'!AE68/'Allocators Data'!$DF68</f>
        <v>0</v>
      </c>
      <c r="AC68" s="20">
        <f>'Allocators Data'!AF68/'Allocators Data'!$DF68</f>
        <v>0</v>
      </c>
      <c r="AD68" s="20">
        <f>'Allocators Data'!AG68/'Allocators Data'!$DF68</f>
        <v>0</v>
      </c>
      <c r="AE68" s="20">
        <f>'Allocators Data'!AH68/'Allocators Data'!$DF68</f>
        <v>0</v>
      </c>
      <c r="AF68" s="22"/>
      <c r="AG68" s="20">
        <f>'Allocators Data'!AJ68/'Allocators Data'!$DF68</f>
        <v>0</v>
      </c>
      <c r="AH68" s="20">
        <f>'Allocators Data'!AK68/'Allocators Data'!$DF68</f>
        <v>0</v>
      </c>
      <c r="AI68" s="20">
        <f>'Allocators Data'!AL68/'Allocators Data'!$DF68</f>
        <v>0</v>
      </c>
      <c r="AJ68" s="20">
        <f>'Allocators Data'!AM68/'Allocators Data'!$DF68</f>
        <v>0</v>
      </c>
      <c r="AK68" s="20">
        <f>'Allocators Data'!AN68/'Allocators Data'!$DF68</f>
        <v>0</v>
      </c>
      <c r="AL68" s="21">
        <f>'Allocators Data'!AO68/'Allocators Data'!$DF68</f>
        <v>0</v>
      </c>
      <c r="AM68" s="20">
        <f>'Allocators Data'!AP68/'Allocators Data'!$DF68</f>
        <v>0</v>
      </c>
      <c r="AN68" s="20">
        <f>'Allocators Data'!AQ68/'Allocators Data'!$DF68</f>
        <v>0</v>
      </c>
      <c r="AO68" s="20">
        <f>'Allocators Data'!AR68/'Allocators Data'!$DF68</f>
        <v>0</v>
      </c>
      <c r="AP68" s="20">
        <f>'Allocators Data'!AS68/'Allocators Data'!$DF68</f>
        <v>0</v>
      </c>
      <c r="AQ68" s="20">
        <f>'Allocators Data'!AT68/'Allocators Data'!$DF68</f>
        <v>0</v>
      </c>
      <c r="AR68" s="21">
        <f>'Allocators Data'!AU68/'Allocators Data'!$DF68</f>
        <v>0</v>
      </c>
      <c r="AS68" s="20">
        <f>'Allocators Data'!AV68/'Allocators Data'!$DF68</f>
        <v>0</v>
      </c>
      <c r="AT68" s="20">
        <f>'Allocators Data'!AW68/'Allocators Data'!$DF68</f>
        <v>0</v>
      </c>
      <c r="AU68" s="20">
        <f>'Allocators Data'!AX68/'Allocators Data'!$DF68</f>
        <v>0</v>
      </c>
      <c r="AV68" s="20">
        <f>'Allocators Data'!AY68/'Allocators Data'!$DF68</f>
        <v>0</v>
      </c>
      <c r="AW68" s="20">
        <f>'Allocators Data'!AZ68/'Allocators Data'!$DF68</f>
        <v>0</v>
      </c>
      <c r="AX68" s="21">
        <f>'Allocators Data'!BA68/'Allocators Data'!$DF68</f>
        <v>0</v>
      </c>
      <c r="AY68" s="20">
        <f>'Allocators Data'!BB68/'Allocators Data'!$DF68</f>
        <v>0</v>
      </c>
      <c r="AZ68" s="20">
        <f>'Allocators Data'!BC68/'Allocators Data'!$DF68</f>
        <v>0</v>
      </c>
      <c r="BA68" s="20">
        <f>'Allocators Data'!BD68/'Allocators Data'!$DF68</f>
        <v>0</v>
      </c>
      <c r="BB68" s="20">
        <f>'Allocators Data'!BE68/'Allocators Data'!$DF68</f>
        <v>0</v>
      </c>
      <c r="BC68" s="20">
        <f>'Allocators Data'!BF68/'Allocators Data'!$DF68</f>
        <v>0</v>
      </c>
      <c r="BD68" s="21">
        <f>'Allocators Data'!BG68/'Allocators Data'!$DF68</f>
        <v>0</v>
      </c>
      <c r="BE68" s="20">
        <f>'Allocators Data'!BH68/'Allocators Data'!$DF68</f>
        <v>0</v>
      </c>
      <c r="BF68" s="20">
        <f>'Allocators Data'!BI68/'Allocators Data'!$DF68</f>
        <v>0</v>
      </c>
      <c r="BG68" s="20">
        <f>'Allocators Data'!BJ68/'Allocators Data'!$DF68</f>
        <v>0</v>
      </c>
      <c r="BH68" s="20">
        <f>'Allocators Data'!BK68/'Allocators Data'!$DF68</f>
        <v>0</v>
      </c>
      <c r="BI68" s="20">
        <f>'Allocators Data'!BL68/'Allocators Data'!$DF68</f>
        <v>0</v>
      </c>
      <c r="BJ68" s="21">
        <f>'Allocators Data'!BM68/'Allocators Data'!$DF68</f>
        <v>0</v>
      </c>
      <c r="BK68" s="20">
        <f>'Allocators Data'!BN68/'Allocators Data'!$DF68</f>
        <v>0</v>
      </c>
      <c r="BL68" s="20">
        <f>'Allocators Data'!BO68/'Allocators Data'!$DF68</f>
        <v>0</v>
      </c>
      <c r="BM68" s="20">
        <f>'Allocators Data'!BP68/'Allocators Data'!$DF68</f>
        <v>0</v>
      </c>
      <c r="BN68" s="20">
        <f>'Allocators Data'!BQ68/'Allocators Data'!$DF68</f>
        <v>0</v>
      </c>
      <c r="BO68" s="20">
        <f>'Allocators Data'!BR68/'Allocators Data'!$DF68</f>
        <v>0</v>
      </c>
      <c r="BP68" s="21">
        <f>'Allocators Data'!BS68/'Allocators Data'!$DF68</f>
        <v>0</v>
      </c>
      <c r="BQ68" s="20">
        <f>'Allocators Data'!BT68/'Allocators Data'!$DF68</f>
        <v>0</v>
      </c>
      <c r="BR68" s="20">
        <f>'Allocators Data'!BU68/'Allocators Data'!$DF68</f>
        <v>0</v>
      </c>
      <c r="BS68" s="20">
        <f>'Allocators Data'!BV68/'Allocators Data'!$DF68</f>
        <v>0</v>
      </c>
      <c r="BT68" s="20">
        <f>'Allocators Data'!BW68/'Allocators Data'!$DF68</f>
        <v>0</v>
      </c>
      <c r="BU68" s="20">
        <f>'Allocators Data'!BX68/'Allocators Data'!$DF68</f>
        <v>0</v>
      </c>
      <c r="BV68" s="21">
        <f>'Allocators Data'!BY68/'Allocators Data'!$DF68</f>
        <v>0</v>
      </c>
      <c r="BW68" s="22"/>
      <c r="BX68" s="20">
        <f>'Allocators Data'!CA68/'Allocators Data'!$DF68</f>
        <v>0</v>
      </c>
      <c r="BY68" s="20">
        <f>'Allocators Data'!CB68/'Allocators Data'!$DF68</f>
        <v>0</v>
      </c>
      <c r="BZ68" s="20">
        <f>'Allocators Data'!CC68/'Allocators Data'!$DF68</f>
        <v>0</v>
      </c>
      <c r="CA68" s="20">
        <f>'Allocators Data'!CD68/'Allocators Data'!$DF68</f>
        <v>0</v>
      </c>
      <c r="CB68" s="20">
        <f>'Allocators Data'!CE68/'Allocators Data'!$DF68</f>
        <v>0</v>
      </c>
      <c r="CC68" s="20">
        <f>'Allocators Data'!CF68/'Allocators Data'!$DF68</f>
        <v>0</v>
      </c>
      <c r="CD68" s="20">
        <f>'Allocators Data'!CG68/'Allocators Data'!$DF68</f>
        <v>0</v>
      </c>
      <c r="CE68" s="20">
        <f>'Allocators Data'!CH68/'Allocators Data'!$DF68</f>
        <v>0</v>
      </c>
      <c r="CF68" s="20">
        <f>'Allocators Data'!CI68/'Allocators Data'!$DF68</f>
        <v>0</v>
      </c>
      <c r="CG68" s="20">
        <f>'Allocators Data'!CJ68/'Allocators Data'!$DF68</f>
        <v>0</v>
      </c>
      <c r="CH68" s="22"/>
      <c r="CI68" s="20">
        <f>'Allocators Data'!CL68/'Allocators Data'!$DF68</f>
        <v>0</v>
      </c>
      <c r="CJ68" s="20">
        <f>'Allocators Data'!CM68/'Allocators Data'!$DF68</f>
        <v>0</v>
      </c>
      <c r="CK68" s="20">
        <f>'Allocators Data'!CN68/'Allocators Data'!$DF68</f>
        <v>0</v>
      </c>
      <c r="CL68" s="29">
        <f>'Allocators Data'!CO68/'Allocators Data'!$DF68</f>
        <v>0</v>
      </c>
      <c r="CM68" s="20">
        <f>'Allocators Data'!CP68/'Allocators Data'!$DF68</f>
        <v>0</v>
      </c>
      <c r="CN68" s="20">
        <f>'Allocators Data'!CQ68/'Allocators Data'!$DF68</f>
        <v>0</v>
      </c>
      <c r="CO68" s="22"/>
      <c r="CP68" s="20">
        <f>'Allocators Data'!CS68/'Allocators Data'!$DF68</f>
        <v>0</v>
      </c>
      <c r="CQ68" s="20">
        <f>'Allocators Data'!CT68/'Allocators Data'!$DF68</f>
        <v>0</v>
      </c>
      <c r="CR68" s="22"/>
      <c r="CS68" s="20">
        <f>'Allocators Data'!CV68/'Allocators Data'!$DF68</f>
        <v>2.7485964537412776E-2</v>
      </c>
      <c r="CT68" s="20">
        <f>'Allocators Data'!CW68/'Allocators Data'!$DF68</f>
        <v>2.3125893915061911E-3</v>
      </c>
      <c r="CU68" s="20">
        <f>'Allocators Data'!CX68/'Allocators Data'!$DF68</f>
        <v>1.1347894844304637E-2</v>
      </c>
      <c r="CV68" s="20">
        <f>'Allocators Data'!CY68/'Allocators Data'!$DF68</f>
        <v>2.1775797314899325E-2</v>
      </c>
      <c r="CW68" s="20">
        <f>'Allocators Data'!CZ68/'Allocators Data'!$DF68</f>
        <v>0.26265424359235334</v>
      </c>
      <c r="CX68" s="20">
        <f>'Allocators Data'!DA68/'Allocators Data'!$DF68</f>
        <v>2.5274903921364771E-2</v>
      </c>
      <c r="CY68" s="20">
        <f>'Allocators Data'!DB68/'Allocators Data'!$DF68</f>
        <v>0.61396571167626324</v>
      </c>
      <c r="CZ68" s="20">
        <f>'Allocators Data'!DC68/'Allocators Data'!$DF68</f>
        <v>1.3675689940786427E-4</v>
      </c>
      <c r="DA68" s="20">
        <f>'Allocators Data'!DD68/'Allocators Data'!$DF68</f>
        <v>3.504613782248793E-2</v>
      </c>
      <c r="DB68" s="22"/>
      <c r="DC68" s="20">
        <f t="shared" si="28"/>
        <v>1</v>
      </c>
    </row>
    <row r="69" spans="1:107" x14ac:dyDescent="0.2">
      <c r="A69">
        <v>7</v>
      </c>
      <c r="B69" t="s">
        <v>238</v>
      </c>
      <c r="C69" s="20">
        <f>'Allocators Data'!F69/'Allocators Data'!$DF69</f>
        <v>0</v>
      </c>
      <c r="D69" s="20">
        <f>'Allocators Data'!G69/'Allocators Data'!$DF69</f>
        <v>0</v>
      </c>
      <c r="E69" s="20">
        <f>'Allocators Data'!H69/'Allocators Data'!$DF69</f>
        <v>0</v>
      </c>
      <c r="F69" s="20">
        <f>'Allocators Data'!I69/'Allocators Data'!$DF69</f>
        <v>0</v>
      </c>
      <c r="G69" s="31">
        <f>'Allocators Data'!J69/'Allocators Data'!$DF69</f>
        <v>0</v>
      </c>
      <c r="H69" s="20">
        <f>'Allocators Data'!K69/'Allocators Data'!$DF69</f>
        <v>0</v>
      </c>
      <c r="I69" s="20">
        <f>'Allocators Data'!L69/'Allocators Data'!$DF69</f>
        <v>0</v>
      </c>
      <c r="J69" s="20">
        <f>'Allocators Data'!M69/'Allocators Data'!$DF69</f>
        <v>0</v>
      </c>
      <c r="K69" s="21">
        <f>'Allocators Data'!N69/'Allocators Data'!$DF69</f>
        <v>0</v>
      </c>
      <c r="L69" s="20">
        <f>'Allocators Data'!O69/'Allocators Data'!$DF69</f>
        <v>0</v>
      </c>
      <c r="M69" s="20">
        <f>'Allocators Data'!P69/'Allocators Data'!$DF69</f>
        <v>0</v>
      </c>
      <c r="N69" s="20">
        <f>'Allocators Data'!Q69/'Allocators Data'!$DF69</f>
        <v>0</v>
      </c>
      <c r="O69" s="21">
        <f>'Allocators Data'!R69/'Allocators Data'!$DF69</f>
        <v>0</v>
      </c>
      <c r="P69" s="20">
        <f>'Allocators Data'!S69/'Allocators Data'!$DF69</f>
        <v>0</v>
      </c>
      <c r="Q69" s="20">
        <f>'Allocators Data'!T69/'Allocators Data'!$DF69</f>
        <v>0</v>
      </c>
      <c r="R69" s="20">
        <f>'Allocators Data'!U69/'Allocators Data'!$DF69</f>
        <v>0</v>
      </c>
      <c r="S69" s="21">
        <f>'Allocators Data'!V69/'Allocators Data'!$DF69</f>
        <v>0</v>
      </c>
      <c r="T69" s="20">
        <f>'Allocators Data'!W69/'Allocators Data'!$DF69</f>
        <v>0</v>
      </c>
      <c r="U69" s="20">
        <f>'Allocators Data'!X69/'Allocators Data'!$DF69</f>
        <v>0</v>
      </c>
      <c r="V69" s="20">
        <f>'Allocators Data'!Y69/'Allocators Data'!$DF69</f>
        <v>0</v>
      </c>
      <c r="W69" s="20">
        <f>'Allocators Data'!Z69/'Allocators Data'!$DF69</f>
        <v>0</v>
      </c>
      <c r="X69" s="22"/>
      <c r="Y69" s="20">
        <f>'Allocators Data'!AB69/'Allocators Data'!$DF69</f>
        <v>0</v>
      </c>
      <c r="Z69" s="20">
        <f>'Allocators Data'!AC69/'Allocators Data'!$DF69</f>
        <v>0</v>
      </c>
      <c r="AA69" s="20">
        <f>'Allocators Data'!AD69/'Allocators Data'!$DF69</f>
        <v>0</v>
      </c>
      <c r="AB69" s="20">
        <f>'Allocators Data'!AE69/'Allocators Data'!$DF69</f>
        <v>0</v>
      </c>
      <c r="AC69" s="20">
        <f>'Allocators Data'!AF69/'Allocators Data'!$DF69</f>
        <v>0</v>
      </c>
      <c r="AD69" s="20">
        <f>'Allocators Data'!AG69/'Allocators Data'!$DF69</f>
        <v>0</v>
      </c>
      <c r="AE69" s="20">
        <f>'Allocators Data'!AH69/'Allocators Data'!$DF69</f>
        <v>0</v>
      </c>
      <c r="AF69" s="22"/>
      <c r="AG69" s="20">
        <f>'Allocators Data'!AJ69/'Allocators Data'!$DF69</f>
        <v>0</v>
      </c>
      <c r="AH69" s="20">
        <f>'Allocators Data'!AK69/'Allocators Data'!$DF69</f>
        <v>0</v>
      </c>
      <c r="AI69" s="20">
        <f>'Allocators Data'!AL69/'Allocators Data'!$DF69</f>
        <v>0</v>
      </c>
      <c r="AJ69" s="20">
        <f>'Allocators Data'!AM69/'Allocators Data'!$DF69</f>
        <v>0</v>
      </c>
      <c r="AK69" s="20">
        <f>'Allocators Data'!AN69/'Allocators Data'!$DF69</f>
        <v>0</v>
      </c>
      <c r="AL69" s="21">
        <f>'Allocators Data'!AO69/'Allocators Data'!$DF69</f>
        <v>0</v>
      </c>
      <c r="AM69" s="20">
        <f>'Allocators Data'!AP69/'Allocators Data'!$DF69</f>
        <v>0</v>
      </c>
      <c r="AN69" s="20">
        <f>'Allocators Data'!AQ69/'Allocators Data'!$DF69</f>
        <v>0</v>
      </c>
      <c r="AO69" s="20">
        <f>'Allocators Data'!AR69/'Allocators Data'!$DF69</f>
        <v>0</v>
      </c>
      <c r="AP69" s="20">
        <f>'Allocators Data'!AS69/'Allocators Data'!$DF69</f>
        <v>0</v>
      </c>
      <c r="AQ69" s="20">
        <f>'Allocators Data'!AT69/'Allocators Data'!$DF69</f>
        <v>0</v>
      </c>
      <c r="AR69" s="21">
        <f>'Allocators Data'!AU69/'Allocators Data'!$DF69</f>
        <v>0</v>
      </c>
      <c r="AS69" s="20">
        <f>'Allocators Data'!AV69/'Allocators Data'!$DF69</f>
        <v>0</v>
      </c>
      <c r="AT69" s="20">
        <f>'Allocators Data'!AW69/'Allocators Data'!$DF69</f>
        <v>0</v>
      </c>
      <c r="AU69" s="20">
        <f>'Allocators Data'!AX69/'Allocators Data'!$DF69</f>
        <v>0</v>
      </c>
      <c r="AV69" s="20">
        <f>'Allocators Data'!AY69/'Allocators Data'!$DF69</f>
        <v>0</v>
      </c>
      <c r="AW69" s="20">
        <f>'Allocators Data'!AZ69/'Allocators Data'!$DF69</f>
        <v>0</v>
      </c>
      <c r="AX69" s="21">
        <f>'Allocators Data'!BA69/'Allocators Data'!$DF69</f>
        <v>0</v>
      </c>
      <c r="AY69" s="20">
        <f>'Allocators Data'!BB69/'Allocators Data'!$DF69</f>
        <v>0</v>
      </c>
      <c r="AZ69" s="20">
        <f>'Allocators Data'!BC69/'Allocators Data'!$DF69</f>
        <v>0</v>
      </c>
      <c r="BA69" s="20">
        <f>'Allocators Data'!BD69/'Allocators Data'!$DF69</f>
        <v>0</v>
      </c>
      <c r="BB69" s="20">
        <f>'Allocators Data'!BE69/'Allocators Data'!$DF69</f>
        <v>0</v>
      </c>
      <c r="BC69" s="20">
        <f>'Allocators Data'!BF69/'Allocators Data'!$DF69</f>
        <v>0</v>
      </c>
      <c r="BD69" s="21">
        <f>'Allocators Data'!BG69/'Allocators Data'!$DF69</f>
        <v>0</v>
      </c>
      <c r="BE69" s="20">
        <f>'Allocators Data'!BH69/'Allocators Data'!$DF69</f>
        <v>0</v>
      </c>
      <c r="BF69" s="20">
        <f>'Allocators Data'!BI69/'Allocators Data'!$DF69</f>
        <v>0</v>
      </c>
      <c r="BG69" s="20">
        <f>'Allocators Data'!BJ69/'Allocators Data'!$DF69</f>
        <v>0</v>
      </c>
      <c r="BH69" s="20">
        <f>'Allocators Data'!BK69/'Allocators Data'!$DF69</f>
        <v>0</v>
      </c>
      <c r="BI69" s="20">
        <f>'Allocators Data'!BL69/'Allocators Data'!$DF69</f>
        <v>0</v>
      </c>
      <c r="BJ69" s="21">
        <f>'Allocators Data'!BM69/'Allocators Data'!$DF69</f>
        <v>0</v>
      </c>
      <c r="BK69" s="20">
        <f>'Allocators Data'!BN69/'Allocators Data'!$DF69</f>
        <v>0</v>
      </c>
      <c r="BL69" s="20">
        <f>'Allocators Data'!BO69/'Allocators Data'!$DF69</f>
        <v>0</v>
      </c>
      <c r="BM69" s="20">
        <f>'Allocators Data'!BP69/'Allocators Data'!$DF69</f>
        <v>0</v>
      </c>
      <c r="BN69" s="20">
        <f>'Allocators Data'!BQ69/'Allocators Data'!$DF69</f>
        <v>0</v>
      </c>
      <c r="BO69" s="20">
        <f>'Allocators Data'!BR69/'Allocators Data'!$DF69</f>
        <v>0</v>
      </c>
      <c r="BP69" s="21">
        <f>'Allocators Data'!BS69/'Allocators Data'!$DF69</f>
        <v>0</v>
      </c>
      <c r="BQ69" s="20">
        <f>'Allocators Data'!BT69/'Allocators Data'!$DF69</f>
        <v>0</v>
      </c>
      <c r="BR69" s="20">
        <f>'Allocators Data'!BU69/'Allocators Data'!$DF69</f>
        <v>0</v>
      </c>
      <c r="BS69" s="20">
        <f>'Allocators Data'!BV69/'Allocators Data'!$DF69</f>
        <v>0</v>
      </c>
      <c r="BT69" s="20">
        <f>'Allocators Data'!BW69/'Allocators Data'!$DF69</f>
        <v>0</v>
      </c>
      <c r="BU69" s="20">
        <f>'Allocators Data'!BX69/'Allocators Data'!$DF69</f>
        <v>0</v>
      </c>
      <c r="BV69" s="21">
        <f>'Allocators Data'!BY69/'Allocators Data'!$DF69</f>
        <v>0</v>
      </c>
      <c r="BW69" s="22"/>
      <c r="BX69" s="20">
        <f>'Allocators Data'!CA69/'Allocators Data'!$DF69</f>
        <v>0</v>
      </c>
      <c r="BY69" s="20">
        <f>'Allocators Data'!CB69/'Allocators Data'!$DF69</f>
        <v>0</v>
      </c>
      <c r="BZ69" s="20">
        <f>'Allocators Data'!CC69/'Allocators Data'!$DF69</f>
        <v>0</v>
      </c>
      <c r="CA69" s="20">
        <f>'Allocators Data'!CD69/'Allocators Data'!$DF69</f>
        <v>0</v>
      </c>
      <c r="CB69" s="20">
        <f>'Allocators Data'!CE69/'Allocators Data'!$DF69</f>
        <v>0</v>
      </c>
      <c r="CC69" s="20">
        <f>'Allocators Data'!CF69/'Allocators Data'!$DF69</f>
        <v>0</v>
      </c>
      <c r="CD69" s="20">
        <f>'Allocators Data'!CG69/'Allocators Data'!$DF69</f>
        <v>0</v>
      </c>
      <c r="CE69" s="20">
        <f>'Allocators Data'!CH69/'Allocators Data'!$DF69</f>
        <v>0</v>
      </c>
      <c r="CF69" s="20">
        <f>'Allocators Data'!CI69/'Allocators Data'!$DF69</f>
        <v>0</v>
      </c>
      <c r="CG69" s="20">
        <f>'Allocators Data'!CJ69/'Allocators Data'!$DF69</f>
        <v>0</v>
      </c>
      <c r="CH69" s="22"/>
      <c r="CI69" s="20">
        <f>'Allocators Data'!CL69/'Allocators Data'!$DF69</f>
        <v>0</v>
      </c>
      <c r="CJ69" s="20">
        <f>'Allocators Data'!CM69/'Allocators Data'!$DF69</f>
        <v>0</v>
      </c>
      <c r="CK69" s="20">
        <f>'Allocators Data'!CN69/'Allocators Data'!$DF69</f>
        <v>0</v>
      </c>
      <c r="CL69" s="29">
        <f>'Allocators Data'!CO69/'Allocators Data'!$DF69</f>
        <v>0</v>
      </c>
      <c r="CM69" s="20">
        <f>'Allocators Data'!CP69/'Allocators Data'!$DF69</f>
        <v>0</v>
      </c>
      <c r="CN69" s="20">
        <f>'Allocators Data'!CQ69/'Allocators Data'!$DF69</f>
        <v>0</v>
      </c>
      <c r="CO69" s="22"/>
      <c r="CP69" s="20">
        <f>'Allocators Data'!CS69/'Allocators Data'!$DF69</f>
        <v>0</v>
      </c>
      <c r="CQ69" s="20">
        <f>'Allocators Data'!CT69/'Allocators Data'!$DF69</f>
        <v>0</v>
      </c>
      <c r="CR69" s="22"/>
      <c r="CS69" s="20">
        <f>'Allocators Data'!CV69/'Allocators Data'!$DF69</f>
        <v>2.5090457618319899E-2</v>
      </c>
      <c r="CT69" s="20">
        <f>'Allocators Data'!CW69/'Allocators Data'!$DF69</f>
        <v>2.3420262322156066E-3</v>
      </c>
      <c r="CU69" s="20">
        <f>'Allocators Data'!CX69/'Allocators Data'!$DF69</f>
        <v>1.1084119064229743E-2</v>
      </c>
      <c r="CV69" s="20">
        <f>'Allocators Data'!CY69/'Allocators Data'!$DF69</f>
        <v>2.0568599632322753E-2</v>
      </c>
      <c r="CW69" s="20">
        <f>'Allocators Data'!CZ69/'Allocators Data'!$DF69</f>
        <v>0.25811768314998113</v>
      </c>
      <c r="CX69" s="20">
        <f>'Allocators Data'!DA69/'Allocators Data'!$DF69</f>
        <v>2.5426803894487062E-2</v>
      </c>
      <c r="CY69" s="20">
        <f>'Allocators Data'!DB69/'Allocators Data'!$DF69</f>
        <v>0.61816537181905873</v>
      </c>
      <c r="CZ69" s="20">
        <f>'Allocators Data'!DC69/'Allocators Data'!$DF69</f>
        <v>1.4513447603945698E-4</v>
      </c>
      <c r="DA69" s="20">
        <f>'Allocators Data'!DD69/'Allocators Data'!$DF69</f>
        <v>3.9059804113345642E-2</v>
      </c>
      <c r="DB69" s="22"/>
      <c r="DC69" s="20">
        <f t="shared" si="28"/>
        <v>1</v>
      </c>
    </row>
    <row r="70" spans="1:107" x14ac:dyDescent="0.2">
      <c r="A70">
        <v>8</v>
      </c>
      <c r="B70" t="s">
        <v>239</v>
      </c>
      <c r="C70" s="20">
        <f>'Allocators Data'!F70/'Allocators Data'!$DF70</f>
        <v>0</v>
      </c>
      <c r="D70" s="20">
        <f>'Allocators Data'!G70/'Allocators Data'!$DF70</f>
        <v>0</v>
      </c>
      <c r="E70" s="20">
        <f>'Allocators Data'!H70/'Allocators Data'!$DF70</f>
        <v>0</v>
      </c>
      <c r="F70" s="20">
        <f>'Allocators Data'!I70/'Allocators Data'!$DF70</f>
        <v>0</v>
      </c>
      <c r="G70" s="31">
        <f>'Allocators Data'!J70/'Allocators Data'!$DF70</f>
        <v>0</v>
      </c>
      <c r="H70" s="20">
        <f>'Allocators Data'!K70/'Allocators Data'!$DF70</f>
        <v>0</v>
      </c>
      <c r="I70" s="20">
        <f>'Allocators Data'!L70/'Allocators Data'!$DF70</f>
        <v>0</v>
      </c>
      <c r="J70" s="20">
        <f>'Allocators Data'!M70/'Allocators Data'!$DF70</f>
        <v>0</v>
      </c>
      <c r="K70" s="21">
        <f>'Allocators Data'!N70/'Allocators Data'!$DF70</f>
        <v>0</v>
      </c>
      <c r="L70" s="20">
        <f>'Allocators Data'!O70/'Allocators Data'!$DF70</f>
        <v>0</v>
      </c>
      <c r="M70" s="20">
        <f>'Allocators Data'!P70/'Allocators Data'!$DF70</f>
        <v>0</v>
      </c>
      <c r="N70" s="20">
        <f>'Allocators Data'!Q70/'Allocators Data'!$DF70</f>
        <v>0</v>
      </c>
      <c r="O70" s="21">
        <f>'Allocators Data'!R70/'Allocators Data'!$DF70</f>
        <v>0</v>
      </c>
      <c r="P70" s="20">
        <f>'Allocators Data'!S70/'Allocators Data'!$DF70</f>
        <v>0</v>
      </c>
      <c r="Q70" s="20">
        <f>'Allocators Data'!T70/'Allocators Data'!$DF70</f>
        <v>0</v>
      </c>
      <c r="R70" s="20">
        <f>'Allocators Data'!U70/'Allocators Data'!$DF70</f>
        <v>0</v>
      </c>
      <c r="S70" s="21">
        <f>'Allocators Data'!V70/'Allocators Data'!$DF70</f>
        <v>0</v>
      </c>
      <c r="T70" s="20">
        <f>'Allocators Data'!W70/'Allocators Data'!$DF70</f>
        <v>0</v>
      </c>
      <c r="U70" s="20">
        <f>'Allocators Data'!X70/'Allocators Data'!$DF70</f>
        <v>0</v>
      </c>
      <c r="V70" s="20">
        <f>'Allocators Data'!Y70/'Allocators Data'!$DF70</f>
        <v>0</v>
      </c>
      <c r="W70" s="20">
        <f>'Allocators Data'!Z70/'Allocators Data'!$DF70</f>
        <v>0</v>
      </c>
      <c r="X70" s="22"/>
      <c r="Y70" s="20">
        <f>'Allocators Data'!AB70/'Allocators Data'!$DF70</f>
        <v>0</v>
      </c>
      <c r="Z70" s="20">
        <f>'Allocators Data'!AC70/'Allocators Data'!$DF70</f>
        <v>0</v>
      </c>
      <c r="AA70" s="20">
        <f>'Allocators Data'!AD70/'Allocators Data'!$DF70</f>
        <v>0</v>
      </c>
      <c r="AB70" s="20">
        <f>'Allocators Data'!AE70/'Allocators Data'!$DF70</f>
        <v>0</v>
      </c>
      <c r="AC70" s="20">
        <f>'Allocators Data'!AF70/'Allocators Data'!$DF70</f>
        <v>0</v>
      </c>
      <c r="AD70" s="20">
        <f>'Allocators Data'!AG70/'Allocators Data'!$DF70</f>
        <v>0</v>
      </c>
      <c r="AE70" s="20">
        <f>'Allocators Data'!AH70/'Allocators Data'!$DF70</f>
        <v>0</v>
      </c>
      <c r="AF70" s="22"/>
      <c r="AG70" s="20">
        <f>'Allocators Data'!AJ70/'Allocators Data'!$DF70</f>
        <v>0</v>
      </c>
      <c r="AH70" s="20">
        <f>'Allocators Data'!AK70/'Allocators Data'!$DF70</f>
        <v>0</v>
      </c>
      <c r="AI70" s="20">
        <f>'Allocators Data'!AL70/'Allocators Data'!$DF70</f>
        <v>0</v>
      </c>
      <c r="AJ70" s="20">
        <f>'Allocators Data'!AM70/'Allocators Data'!$DF70</f>
        <v>0</v>
      </c>
      <c r="AK70" s="20">
        <f>'Allocators Data'!AN70/'Allocators Data'!$DF70</f>
        <v>0</v>
      </c>
      <c r="AL70" s="21">
        <f>'Allocators Data'!AO70/'Allocators Data'!$DF70</f>
        <v>0</v>
      </c>
      <c r="AM70" s="20">
        <f>'Allocators Data'!AP70/'Allocators Data'!$DF70</f>
        <v>0</v>
      </c>
      <c r="AN70" s="20">
        <f>'Allocators Data'!AQ70/'Allocators Data'!$DF70</f>
        <v>0</v>
      </c>
      <c r="AO70" s="20">
        <f>'Allocators Data'!AR70/'Allocators Data'!$DF70</f>
        <v>0</v>
      </c>
      <c r="AP70" s="20">
        <f>'Allocators Data'!AS70/'Allocators Data'!$DF70</f>
        <v>0</v>
      </c>
      <c r="AQ70" s="20">
        <f>'Allocators Data'!AT70/'Allocators Data'!$DF70</f>
        <v>0</v>
      </c>
      <c r="AR70" s="21">
        <f>'Allocators Data'!AU70/'Allocators Data'!$DF70</f>
        <v>0</v>
      </c>
      <c r="AS70" s="20">
        <f>'Allocators Data'!AV70/'Allocators Data'!$DF70</f>
        <v>0</v>
      </c>
      <c r="AT70" s="20">
        <f>'Allocators Data'!AW70/'Allocators Data'!$DF70</f>
        <v>0</v>
      </c>
      <c r="AU70" s="20">
        <f>'Allocators Data'!AX70/'Allocators Data'!$DF70</f>
        <v>0</v>
      </c>
      <c r="AV70" s="20">
        <f>'Allocators Data'!AY70/'Allocators Data'!$DF70</f>
        <v>0</v>
      </c>
      <c r="AW70" s="20">
        <f>'Allocators Data'!AZ70/'Allocators Data'!$DF70</f>
        <v>0</v>
      </c>
      <c r="AX70" s="21">
        <f>'Allocators Data'!BA70/'Allocators Data'!$DF70</f>
        <v>0</v>
      </c>
      <c r="AY70" s="20">
        <f>'Allocators Data'!BB70/'Allocators Data'!$DF70</f>
        <v>0</v>
      </c>
      <c r="AZ70" s="20">
        <f>'Allocators Data'!BC70/'Allocators Data'!$DF70</f>
        <v>0</v>
      </c>
      <c r="BA70" s="20">
        <f>'Allocators Data'!BD70/'Allocators Data'!$DF70</f>
        <v>0</v>
      </c>
      <c r="BB70" s="20">
        <f>'Allocators Data'!BE70/'Allocators Data'!$DF70</f>
        <v>0</v>
      </c>
      <c r="BC70" s="20">
        <f>'Allocators Data'!BF70/'Allocators Data'!$DF70</f>
        <v>0</v>
      </c>
      <c r="BD70" s="21">
        <f>'Allocators Data'!BG70/'Allocators Data'!$DF70</f>
        <v>0</v>
      </c>
      <c r="BE70" s="20">
        <f>'Allocators Data'!BH70/'Allocators Data'!$DF70</f>
        <v>0</v>
      </c>
      <c r="BF70" s="20">
        <f>'Allocators Data'!BI70/'Allocators Data'!$DF70</f>
        <v>0</v>
      </c>
      <c r="BG70" s="20">
        <f>'Allocators Data'!BJ70/'Allocators Data'!$DF70</f>
        <v>0</v>
      </c>
      <c r="BH70" s="20">
        <f>'Allocators Data'!BK70/'Allocators Data'!$DF70</f>
        <v>0</v>
      </c>
      <c r="BI70" s="20">
        <f>'Allocators Data'!BL70/'Allocators Data'!$DF70</f>
        <v>0</v>
      </c>
      <c r="BJ70" s="21">
        <f>'Allocators Data'!BM70/'Allocators Data'!$DF70</f>
        <v>0</v>
      </c>
      <c r="BK70" s="20">
        <f>'Allocators Data'!BN70/'Allocators Data'!$DF70</f>
        <v>0</v>
      </c>
      <c r="BL70" s="20">
        <f>'Allocators Data'!BO70/'Allocators Data'!$DF70</f>
        <v>0</v>
      </c>
      <c r="BM70" s="20">
        <f>'Allocators Data'!BP70/'Allocators Data'!$DF70</f>
        <v>0</v>
      </c>
      <c r="BN70" s="20">
        <f>'Allocators Data'!BQ70/'Allocators Data'!$DF70</f>
        <v>0</v>
      </c>
      <c r="BO70" s="20">
        <f>'Allocators Data'!BR70/'Allocators Data'!$DF70</f>
        <v>0</v>
      </c>
      <c r="BP70" s="21">
        <f>'Allocators Data'!BS70/'Allocators Data'!$DF70</f>
        <v>0</v>
      </c>
      <c r="BQ70" s="20">
        <f>'Allocators Data'!BT70/'Allocators Data'!$DF70</f>
        <v>0</v>
      </c>
      <c r="BR70" s="20">
        <f>'Allocators Data'!BU70/'Allocators Data'!$DF70</f>
        <v>0</v>
      </c>
      <c r="BS70" s="20">
        <f>'Allocators Data'!BV70/'Allocators Data'!$DF70</f>
        <v>0</v>
      </c>
      <c r="BT70" s="20">
        <f>'Allocators Data'!BW70/'Allocators Data'!$DF70</f>
        <v>0</v>
      </c>
      <c r="BU70" s="20">
        <f>'Allocators Data'!BX70/'Allocators Data'!$DF70</f>
        <v>0</v>
      </c>
      <c r="BV70" s="21">
        <f>'Allocators Data'!BY70/'Allocators Data'!$DF70</f>
        <v>0</v>
      </c>
      <c r="BW70" s="22"/>
      <c r="BX70" s="20">
        <f>'Allocators Data'!CA70/'Allocators Data'!$DF70</f>
        <v>0</v>
      </c>
      <c r="BY70" s="20">
        <f>'Allocators Data'!CB70/'Allocators Data'!$DF70</f>
        <v>0</v>
      </c>
      <c r="BZ70" s="20">
        <f>'Allocators Data'!CC70/'Allocators Data'!$DF70</f>
        <v>0</v>
      </c>
      <c r="CA70" s="20">
        <f>'Allocators Data'!CD70/'Allocators Data'!$DF70</f>
        <v>0</v>
      </c>
      <c r="CB70" s="20">
        <f>'Allocators Data'!CE70/'Allocators Data'!$DF70</f>
        <v>0</v>
      </c>
      <c r="CC70" s="20">
        <f>'Allocators Data'!CF70/'Allocators Data'!$DF70</f>
        <v>0</v>
      </c>
      <c r="CD70" s="20">
        <f>'Allocators Data'!CG70/'Allocators Data'!$DF70</f>
        <v>0</v>
      </c>
      <c r="CE70" s="20">
        <f>'Allocators Data'!CH70/'Allocators Data'!$DF70</f>
        <v>0</v>
      </c>
      <c r="CF70" s="20">
        <f>'Allocators Data'!CI70/'Allocators Data'!$DF70</f>
        <v>0</v>
      </c>
      <c r="CG70" s="20">
        <f>'Allocators Data'!CJ70/'Allocators Data'!$DF70</f>
        <v>0</v>
      </c>
      <c r="CH70" s="22"/>
      <c r="CI70" s="20">
        <f>'Allocators Data'!CL70/'Allocators Data'!$DF70</f>
        <v>0</v>
      </c>
      <c r="CJ70" s="20">
        <f>'Allocators Data'!CM70/'Allocators Data'!$DF70</f>
        <v>0</v>
      </c>
      <c r="CK70" s="20">
        <f>'Allocators Data'!CN70/'Allocators Data'!$DF70</f>
        <v>0</v>
      </c>
      <c r="CL70" s="29">
        <f>'Allocators Data'!CO70/'Allocators Data'!$DF70</f>
        <v>0</v>
      </c>
      <c r="CM70" s="20">
        <f>'Allocators Data'!CP70/'Allocators Data'!$DF70</f>
        <v>0</v>
      </c>
      <c r="CN70" s="20">
        <f>'Allocators Data'!CQ70/'Allocators Data'!$DF70</f>
        <v>0</v>
      </c>
      <c r="CO70" s="22"/>
      <c r="CP70" s="20">
        <f>'Allocators Data'!CS70/'Allocators Data'!$DF70</f>
        <v>0</v>
      </c>
      <c r="CQ70" s="20">
        <f>'Allocators Data'!CT70/'Allocators Data'!$DF70</f>
        <v>0</v>
      </c>
      <c r="CR70" s="22"/>
      <c r="CS70" s="20">
        <f>'Allocators Data'!CV70/'Allocators Data'!$DF70</f>
        <v>2.4814147569450166E-2</v>
      </c>
      <c r="CT70" s="20">
        <f>'Allocators Data'!CW70/'Allocators Data'!$DF70</f>
        <v>2.3097891214539025E-3</v>
      </c>
      <c r="CU70" s="20">
        <f>'Allocators Data'!CX70/'Allocators Data'!$DF70</f>
        <v>1.2024442755838206E-2</v>
      </c>
      <c r="CV70" s="20">
        <f>'Allocators Data'!CY70/'Allocators Data'!$DF70</f>
        <v>2.0129473521898832E-2</v>
      </c>
      <c r="CW70" s="20">
        <f>'Allocators Data'!CZ70/'Allocators Data'!$DF70</f>
        <v>0.25473974466952193</v>
      </c>
      <c r="CX70" s="20">
        <f>'Allocators Data'!DA70/'Allocators Data'!$DF70</f>
        <v>3.0810349423933542E-2</v>
      </c>
      <c r="CY70" s="20">
        <f>'Allocators Data'!DB70/'Allocators Data'!$DF70</f>
        <v>0.61476265543008701</v>
      </c>
      <c r="CZ70" s="20">
        <f>'Allocators Data'!DC70/'Allocators Data'!$DF70</f>
        <v>1.3381013693371881E-4</v>
      </c>
      <c r="DA70" s="20">
        <f>'Allocators Data'!DD70/'Allocators Data'!$DF70</f>
        <v>4.0275587370882771E-2</v>
      </c>
      <c r="DB70" s="22"/>
      <c r="DC70" s="20">
        <f t="shared" si="28"/>
        <v>1</v>
      </c>
    </row>
    <row r="71" spans="1:107" x14ac:dyDescent="0.2">
      <c r="A71">
        <v>9</v>
      </c>
      <c r="B71" t="s">
        <v>240</v>
      </c>
      <c r="C71" s="20">
        <f>'Allocators Data'!F71/'Allocators Data'!$DF71</f>
        <v>0</v>
      </c>
      <c r="D71" s="20">
        <f>'Allocators Data'!G71/'Allocators Data'!$DF71</f>
        <v>0</v>
      </c>
      <c r="E71" s="20">
        <f>'Allocators Data'!H71/'Allocators Data'!$DF71</f>
        <v>0</v>
      </c>
      <c r="F71" s="20">
        <f>'Allocators Data'!I71/'Allocators Data'!$DF71</f>
        <v>0</v>
      </c>
      <c r="G71" s="31">
        <f>'Allocators Data'!J71/'Allocators Data'!$DF71</f>
        <v>0</v>
      </c>
      <c r="H71" s="20">
        <f>'Allocators Data'!K71/'Allocators Data'!$DF71</f>
        <v>0</v>
      </c>
      <c r="I71" s="20">
        <f>'Allocators Data'!L71/'Allocators Data'!$DF71</f>
        <v>0</v>
      </c>
      <c r="J71" s="20">
        <f>'Allocators Data'!M71/'Allocators Data'!$DF71</f>
        <v>0</v>
      </c>
      <c r="K71" s="21">
        <f>'Allocators Data'!N71/'Allocators Data'!$DF71</f>
        <v>0</v>
      </c>
      <c r="L71" s="20">
        <f>'Allocators Data'!O71/'Allocators Data'!$DF71</f>
        <v>0</v>
      </c>
      <c r="M71" s="20">
        <f>'Allocators Data'!P71/'Allocators Data'!$DF71</f>
        <v>0</v>
      </c>
      <c r="N71" s="20">
        <f>'Allocators Data'!Q71/'Allocators Data'!$DF71</f>
        <v>0</v>
      </c>
      <c r="O71" s="21">
        <f>'Allocators Data'!R71/'Allocators Data'!$DF71</f>
        <v>0</v>
      </c>
      <c r="P71" s="20">
        <f>'Allocators Data'!S71/'Allocators Data'!$DF71</f>
        <v>0</v>
      </c>
      <c r="Q71" s="20">
        <f>'Allocators Data'!T71/'Allocators Data'!$DF71</f>
        <v>0</v>
      </c>
      <c r="R71" s="20">
        <f>'Allocators Data'!U71/'Allocators Data'!$DF71</f>
        <v>0</v>
      </c>
      <c r="S71" s="21">
        <f>'Allocators Data'!V71/'Allocators Data'!$DF71</f>
        <v>0</v>
      </c>
      <c r="T71" s="20">
        <f>'Allocators Data'!W71/'Allocators Data'!$DF71</f>
        <v>0</v>
      </c>
      <c r="U71" s="20">
        <f>'Allocators Data'!X71/'Allocators Data'!$DF71</f>
        <v>0</v>
      </c>
      <c r="V71" s="20">
        <f>'Allocators Data'!Y71/'Allocators Data'!$DF71</f>
        <v>0</v>
      </c>
      <c r="W71" s="20">
        <f>'Allocators Data'!Z71/'Allocators Data'!$DF71</f>
        <v>0</v>
      </c>
      <c r="X71" s="22"/>
      <c r="Y71" s="20">
        <f>'Allocators Data'!AB71/'Allocators Data'!$DF71</f>
        <v>0</v>
      </c>
      <c r="Z71" s="20">
        <f>'Allocators Data'!AC71/'Allocators Data'!$DF71</f>
        <v>0</v>
      </c>
      <c r="AA71" s="20">
        <f>'Allocators Data'!AD71/'Allocators Data'!$DF71</f>
        <v>0</v>
      </c>
      <c r="AB71" s="20">
        <f>'Allocators Data'!AE71/'Allocators Data'!$DF71</f>
        <v>0</v>
      </c>
      <c r="AC71" s="20">
        <f>'Allocators Data'!AF71/'Allocators Data'!$DF71</f>
        <v>0</v>
      </c>
      <c r="AD71" s="20">
        <f>'Allocators Data'!AG71/'Allocators Data'!$DF71</f>
        <v>0</v>
      </c>
      <c r="AE71" s="20">
        <f>'Allocators Data'!AH71/'Allocators Data'!$DF71</f>
        <v>0</v>
      </c>
      <c r="AF71" s="22"/>
      <c r="AG71" s="20">
        <f>'Allocators Data'!AJ71/'Allocators Data'!$DF71</f>
        <v>0</v>
      </c>
      <c r="AH71" s="20">
        <f>'Allocators Data'!AK71/'Allocators Data'!$DF71</f>
        <v>0</v>
      </c>
      <c r="AI71" s="20">
        <f>'Allocators Data'!AL71/'Allocators Data'!$DF71</f>
        <v>0</v>
      </c>
      <c r="AJ71" s="20">
        <f>'Allocators Data'!AM71/'Allocators Data'!$DF71</f>
        <v>0</v>
      </c>
      <c r="AK71" s="20">
        <f>'Allocators Data'!AN71/'Allocators Data'!$DF71</f>
        <v>0</v>
      </c>
      <c r="AL71" s="21">
        <f>'Allocators Data'!AO71/'Allocators Data'!$DF71</f>
        <v>0</v>
      </c>
      <c r="AM71" s="20">
        <f>'Allocators Data'!AP71/'Allocators Data'!$DF71</f>
        <v>0</v>
      </c>
      <c r="AN71" s="20">
        <f>'Allocators Data'!AQ71/'Allocators Data'!$DF71</f>
        <v>0</v>
      </c>
      <c r="AO71" s="20">
        <f>'Allocators Data'!AR71/'Allocators Data'!$DF71</f>
        <v>0</v>
      </c>
      <c r="AP71" s="20">
        <f>'Allocators Data'!AS71/'Allocators Data'!$DF71</f>
        <v>0</v>
      </c>
      <c r="AQ71" s="20">
        <f>'Allocators Data'!AT71/'Allocators Data'!$DF71</f>
        <v>0</v>
      </c>
      <c r="AR71" s="21">
        <f>'Allocators Data'!AU71/'Allocators Data'!$DF71</f>
        <v>0</v>
      </c>
      <c r="AS71" s="20">
        <f>'Allocators Data'!AV71/'Allocators Data'!$DF71</f>
        <v>0</v>
      </c>
      <c r="AT71" s="20">
        <f>'Allocators Data'!AW71/'Allocators Data'!$DF71</f>
        <v>0</v>
      </c>
      <c r="AU71" s="20">
        <f>'Allocators Data'!AX71/'Allocators Data'!$DF71</f>
        <v>0</v>
      </c>
      <c r="AV71" s="20">
        <f>'Allocators Data'!AY71/'Allocators Data'!$DF71</f>
        <v>0</v>
      </c>
      <c r="AW71" s="20">
        <f>'Allocators Data'!AZ71/'Allocators Data'!$DF71</f>
        <v>0</v>
      </c>
      <c r="AX71" s="21">
        <f>'Allocators Data'!BA71/'Allocators Data'!$DF71</f>
        <v>0</v>
      </c>
      <c r="AY71" s="20">
        <f>'Allocators Data'!BB71/'Allocators Data'!$DF71</f>
        <v>0</v>
      </c>
      <c r="AZ71" s="20">
        <f>'Allocators Data'!BC71/'Allocators Data'!$DF71</f>
        <v>0</v>
      </c>
      <c r="BA71" s="20">
        <f>'Allocators Data'!BD71/'Allocators Data'!$DF71</f>
        <v>0</v>
      </c>
      <c r="BB71" s="20">
        <f>'Allocators Data'!BE71/'Allocators Data'!$DF71</f>
        <v>0</v>
      </c>
      <c r="BC71" s="20">
        <f>'Allocators Data'!BF71/'Allocators Data'!$DF71</f>
        <v>0</v>
      </c>
      <c r="BD71" s="21">
        <f>'Allocators Data'!BG71/'Allocators Data'!$DF71</f>
        <v>0</v>
      </c>
      <c r="BE71" s="20">
        <f>'Allocators Data'!BH71/'Allocators Data'!$DF71</f>
        <v>0</v>
      </c>
      <c r="BF71" s="20">
        <f>'Allocators Data'!BI71/'Allocators Data'!$DF71</f>
        <v>0</v>
      </c>
      <c r="BG71" s="20">
        <f>'Allocators Data'!BJ71/'Allocators Data'!$DF71</f>
        <v>0</v>
      </c>
      <c r="BH71" s="20">
        <f>'Allocators Data'!BK71/'Allocators Data'!$DF71</f>
        <v>0</v>
      </c>
      <c r="BI71" s="20">
        <f>'Allocators Data'!BL71/'Allocators Data'!$DF71</f>
        <v>0</v>
      </c>
      <c r="BJ71" s="21">
        <f>'Allocators Data'!BM71/'Allocators Data'!$DF71</f>
        <v>0</v>
      </c>
      <c r="BK71" s="20">
        <f>'Allocators Data'!BN71/'Allocators Data'!$DF71</f>
        <v>0</v>
      </c>
      <c r="BL71" s="20">
        <f>'Allocators Data'!BO71/'Allocators Data'!$DF71</f>
        <v>0</v>
      </c>
      <c r="BM71" s="20">
        <f>'Allocators Data'!BP71/'Allocators Data'!$DF71</f>
        <v>0</v>
      </c>
      <c r="BN71" s="20">
        <f>'Allocators Data'!BQ71/'Allocators Data'!$DF71</f>
        <v>0</v>
      </c>
      <c r="BO71" s="20">
        <f>'Allocators Data'!BR71/'Allocators Data'!$DF71</f>
        <v>0</v>
      </c>
      <c r="BP71" s="21">
        <f>'Allocators Data'!BS71/'Allocators Data'!$DF71</f>
        <v>0</v>
      </c>
      <c r="BQ71" s="20">
        <f>'Allocators Data'!BT71/'Allocators Data'!$DF71</f>
        <v>0</v>
      </c>
      <c r="BR71" s="20">
        <f>'Allocators Data'!BU71/'Allocators Data'!$DF71</f>
        <v>0</v>
      </c>
      <c r="BS71" s="20">
        <f>'Allocators Data'!BV71/'Allocators Data'!$DF71</f>
        <v>0</v>
      </c>
      <c r="BT71" s="20">
        <f>'Allocators Data'!BW71/'Allocators Data'!$DF71</f>
        <v>0</v>
      </c>
      <c r="BU71" s="20">
        <f>'Allocators Data'!BX71/'Allocators Data'!$DF71</f>
        <v>0</v>
      </c>
      <c r="BV71" s="21">
        <f>'Allocators Data'!BY71/'Allocators Data'!$DF71</f>
        <v>0</v>
      </c>
      <c r="BW71" s="22"/>
      <c r="BX71" s="20">
        <f>'Allocators Data'!CA71/'Allocators Data'!$DF71</f>
        <v>0</v>
      </c>
      <c r="BY71" s="20">
        <f>'Allocators Data'!CB71/'Allocators Data'!$DF71</f>
        <v>0</v>
      </c>
      <c r="BZ71" s="20">
        <f>'Allocators Data'!CC71/'Allocators Data'!$DF71</f>
        <v>0</v>
      </c>
      <c r="CA71" s="20">
        <f>'Allocators Data'!CD71/'Allocators Data'!$DF71</f>
        <v>0</v>
      </c>
      <c r="CB71" s="20">
        <f>'Allocators Data'!CE71/'Allocators Data'!$DF71</f>
        <v>0</v>
      </c>
      <c r="CC71" s="20">
        <f>'Allocators Data'!CF71/'Allocators Data'!$DF71</f>
        <v>0</v>
      </c>
      <c r="CD71" s="20">
        <f>'Allocators Data'!CG71/'Allocators Data'!$DF71</f>
        <v>0</v>
      </c>
      <c r="CE71" s="20">
        <f>'Allocators Data'!CH71/'Allocators Data'!$DF71</f>
        <v>0</v>
      </c>
      <c r="CF71" s="20">
        <f>'Allocators Data'!CI71/'Allocators Data'!$DF71</f>
        <v>0</v>
      </c>
      <c r="CG71" s="20">
        <f>'Allocators Data'!CJ71/'Allocators Data'!$DF71</f>
        <v>0</v>
      </c>
      <c r="CH71" s="22"/>
      <c r="CI71" s="20">
        <f>'Allocators Data'!CL71/'Allocators Data'!$DF71</f>
        <v>0</v>
      </c>
      <c r="CJ71" s="20">
        <f>'Allocators Data'!CM71/'Allocators Data'!$DF71</f>
        <v>0</v>
      </c>
      <c r="CK71" s="20">
        <f>'Allocators Data'!CN71/'Allocators Data'!$DF71</f>
        <v>0</v>
      </c>
      <c r="CL71" s="29">
        <f>'Allocators Data'!CO71/'Allocators Data'!$DF71</f>
        <v>0</v>
      </c>
      <c r="CM71" s="20">
        <f>'Allocators Data'!CP71/'Allocators Data'!$DF71</f>
        <v>0</v>
      </c>
      <c r="CN71" s="20">
        <f>'Allocators Data'!CQ71/'Allocators Data'!$DF71</f>
        <v>0</v>
      </c>
      <c r="CO71" s="22"/>
      <c r="CP71" s="20">
        <f>'Allocators Data'!CS71/'Allocators Data'!$DF71</f>
        <v>0</v>
      </c>
      <c r="CQ71" s="20">
        <f>'Allocators Data'!CT71/'Allocators Data'!$DF71</f>
        <v>0</v>
      </c>
      <c r="CR71" s="22"/>
      <c r="CS71" s="20">
        <f>'Allocators Data'!CV71/'Allocators Data'!$DF71</f>
        <v>3.0755056694483005E-2</v>
      </c>
      <c r="CT71" s="20">
        <f>'Allocators Data'!CW71/'Allocators Data'!$DF71</f>
        <v>2.2786980787623101E-3</v>
      </c>
      <c r="CU71" s="20">
        <f>'Allocators Data'!CX71/'Allocators Data'!$DF71</f>
        <v>1.2251751815308902E-2</v>
      </c>
      <c r="CV71" s="20">
        <f>'Allocators Data'!CY71/'Allocators Data'!$DF71</f>
        <v>2.2308381908828338E-2</v>
      </c>
      <c r="CW71" s="20">
        <f>'Allocators Data'!CZ71/'Allocators Data'!$DF71</f>
        <v>0.2691450233253973</v>
      </c>
      <c r="CX71" s="20">
        <f>'Allocators Data'!DA71/'Allocators Data'!$DF71</f>
        <v>2.6468993664573229E-2</v>
      </c>
      <c r="CY71" s="20">
        <f>'Allocators Data'!DB71/'Allocators Data'!$DF71</f>
        <v>0.61665236212441843</v>
      </c>
      <c r="CZ71" s="20">
        <f>'Allocators Data'!DC71/'Allocators Data'!$DF71</f>
        <v>8.8907173255436684E-5</v>
      </c>
      <c r="DA71" s="20">
        <f>'Allocators Data'!DD71/'Allocators Data'!$DF71</f>
        <v>2.0050825214973061E-2</v>
      </c>
      <c r="DB71" s="22"/>
      <c r="DC71" s="20">
        <f t="shared" si="28"/>
        <v>1</v>
      </c>
    </row>
    <row r="72" spans="1:107" x14ac:dyDescent="0.2">
      <c r="A72">
        <v>10</v>
      </c>
      <c r="B72" t="s">
        <v>241</v>
      </c>
      <c r="C72" s="20">
        <f>'Allocators Data'!F72/'Allocators Data'!$DF72</f>
        <v>0</v>
      </c>
      <c r="D72" s="20">
        <f>'Allocators Data'!G72/'Allocators Data'!$DF72</f>
        <v>0</v>
      </c>
      <c r="E72" s="20">
        <f>'Allocators Data'!H72/'Allocators Data'!$DF72</f>
        <v>0</v>
      </c>
      <c r="F72" s="20">
        <f>'Allocators Data'!I72/'Allocators Data'!$DF72</f>
        <v>0</v>
      </c>
      <c r="G72" s="31">
        <f>'Allocators Data'!J72/'Allocators Data'!$DF72</f>
        <v>0</v>
      </c>
      <c r="H72" s="20">
        <f>'Allocators Data'!K72/'Allocators Data'!$DF72</f>
        <v>0</v>
      </c>
      <c r="I72" s="20">
        <f>'Allocators Data'!L72/'Allocators Data'!$DF72</f>
        <v>0</v>
      </c>
      <c r="J72" s="20">
        <f>'Allocators Data'!M72/'Allocators Data'!$DF72</f>
        <v>0</v>
      </c>
      <c r="K72" s="21">
        <f>'Allocators Data'!N72/'Allocators Data'!$DF72</f>
        <v>0</v>
      </c>
      <c r="L72" s="20">
        <f>'Allocators Data'!O72/'Allocators Data'!$DF72</f>
        <v>0</v>
      </c>
      <c r="M72" s="20">
        <f>'Allocators Data'!P72/'Allocators Data'!$DF72</f>
        <v>0</v>
      </c>
      <c r="N72" s="20">
        <f>'Allocators Data'!Q72/'Allocators Data'!$DF72</f>
        <v>0</v>
      </c>
      <c r="O72" s="21">
        <f>'Allocators Data'!R72/'Allocators Data'!$DF72</f>
        <v>0</v>
      </c>
      <c r="P72" s="20">
        <f>'Allocators Data'!S72/'Allocators Data'!$DF72</f>
        <v>0</v>
      </c>
      <c r="Q72" s="20">
        <f>'Allocators Data'!T72/'Allocators Data'!$DF72</f>
        <v>0</v>
      </c>
      <c r="R72" s="20">
        <f>'Allocators Data'!U72/'Allocators Data'!$DF72</f>
        <v>0</v>
      </c>
      <c r="S72" s="21">
        <f>'Allocators Data'!V72/'Allocators Data'!$DF72</f>
        <v>0</v>
      </c>
      <c r="T72" s="20">
        <f>'Allocators Data'!W72/'Allocators Data'!$DF72</f>
        <v>0</v>
      </c>
      <c r="U72" s="20">
        <f>'Allocators Data'!X72/'Allocators Data'!$DF72</f>
        <v>0</v>
      </c>
      <c r="V72" s="20">
        <f>'Allocators Data'!Y72/'Allocators Data'!$DF72</f>
        <v>0</v>
      </c>
      <c r="W72" s="20">
        <f>'Allocators Data'!Z72/'Allocators Data'!$DF72</f>
        <v>0</v>
      </c>
      <c r="X72" s="22"/>
      <c r="Y72" s="20">
        <f>'Allocators Data'!AB72/'Allocators Data'!$DF72</f>
        <v>0</v>
      </c>
      <c r="Z72" s="20">
        <f>'Allocators Data'!AC72/'Allocators Data'!$DF72</f>
        <v>0</v>
      </c>
      <c r="AA72" s="20">
        <f>'Allocators Data'!AD72/'Allocators Data'!$DF72</f>
        <v>0</v>
      </c>
      <c r="AB72" s="20">
        <f>'Allocators Data'!AE72/'Allocators Data'!$DF72</f>
        <v>0</v>
      </c>
      <c r="AC72" s="20">
        <f>'Allocators Data'!AF72/'Allocators Data'!$DF72</f>
        <v>0</v>
      </c>
      <c r="AD72" s="20">
        <f>'Allocators Data'!AG72/'Allocators Data'!$DF72</f>
        <v>0</v>
      </c>
      <c r="AE72" s="20">
        <f>'Allocators Data'!AH72/'Allocators Data'!$DF72</f>
        <v>0</v>
      </c>
      <c r="AF72" s="22"/>
      <c r="AG72" s="20">
        <f>'Allocators Data'!AJ72/'Allocators Data'!$DF72</f>
        <v>0</v>
      </c>
      <c r="AH72" s="20">
        <f>'Allocators Data'!AK72/'Allocators Data'!$DF72</f>
        <v>0</v>
      </c>
      <c r="AI72" s="20">
        <f>'Allocators Data'!AL72/'Allocators Data'!$DF72</f>
        <v>0</v>
      </c>
      <c r="AJ72" s="20">
        <f>'Allocators Data'!AM72/'Allocators Data'!$DF72</f>
        <v>0</v>
      </c>
      <c r="AK72" s="20">
        <f>'Allocators Data'!AN72/'Allocators Data'!$DF72</f>
        <v>0</v>
      </c>
      <c r="AL72" s="21">
        <f>'Allocators Data'!AO72/'Allocators Data'!$DF72</f>
        <v>0</v>
      </c>
      <c r="AM72" s="20">
        <f>'Allocators Data'!AP72/'Allocators Data'!$DF72</f>
        <v>0</v>
      </c>
      <c r="AN72" s="20">
        <f>'Allocators Data'!AQ72/'Allocators Data'!$DF72</f>
        <v>0</v>
      </c>
      <c r="AO72" s="20">
        <f>'Allocators Data'!AR72/'Allocators Data'!$DF72</f>
        <v>0</v>
      </c>
      <c r="AP72" s="20">
        <f>'Allocators Data'!AS72/'Allocators Data'!$DF72</f>
        <v>0</v>
      </c>
      <c r="AQ72" s="20">
        <f>'Allocators Data'!AT72/'Allocators Data'!$DF72</f>
        <v>0</v>
      </c>
      <c r="AR72" s="21">
        <f>'Allocators Data'!AU72/'Allocators Data'!$DF72</f>
        <v>0</v>
      </c>
      <c r="AS72" s="20">
        <f>'Allocators Data'!AV72/'Allocators Data'!$DF72</f>
        <v>0</v>
      </c>
      <c r="AT72" s="20">
        <f>'Allocators Data'!AW72/'Allocators Data'!$DF72</f>
        <v>0</v>
      </c>
      <c r="AU72" s="20">
        <f>'Allocators Data'!AX72/'Allocators Data'!$DF72</f>
        <v>0</v>
      </c>
      <c r="AV72" s="20">
        <f>'Allocators Data'!AY72/'Allocators Data'!$DF72</f>
        <v>0</v>
      </c>
      <c r="AW72" s="20">
        <f>'Allocators Data'!AZ72/'Allocators Data'!$DF72</f>
        <v>0</v>
      </c>
      <c r="AX72" s="21">
        <f>'Allocators Data'!BA72/'Allocators Data'!$DF72</f>
        <v>0</v>
      </c>
      <c r="AY72" s="20">
        <f>'Allocators Data'!BB72/'Allocators Data'!$DF72</f>
        <v>0</v>
      </c>
      <c r="AZ72" s="20">
        <f>'Allocators Data'!BC72/'Allocators Data'!$DF72</f>
        <v>0</v>
      </c>
      <c r="BA72" s="20">
        <f>'Allocators Data'!BD72/'Allocators Data'!$DF72</f>
        <v>0</v>
      </c>
      <c r="BB72" s="20">
        <f>'Allocators Data'!BE72/'Allocators Data'!$DF72</f>
        <v>0</v>
      </c>
      <c r="BC72" s="20">
        <f>'Allocators Data'!BF72/'Allocators Data'!$DF72</f>
        <v>0</v>
      </c>
      <c r="BD72" s="21">
        <f>'Allocators Data'!BG72/'Allocators Data'!$DF72</f>
        <v>0</v>
      </c>
      <c r="BE72" s="20">
        <f>'Allocators Data'!BH72/'Allocators Data'!$DF72</f>
        <v>0</v>
      </c>
      <c r="BF72" s="20">
        <f>'Allocators Data'!BI72/'Allocators Data'!$DF72</f>
        <v>0</v>
      </c>
      <c r="BG72" s="20">
        <f>'Allocators Data'!BJ72/'Allocators Data'!$DF72</f>
        <v>0</v>
      </c>
      <c r="BH72" s="20">
        <f>'Allocators Data'!BK72/'Allocators Data'!$DF72</f>
        <v>0</v>
      </c>
      <c r="BI72" s="20">
        <f>'Allocators Data'!BL72/'Allocators Data'!$DF72</f>
        <v>0</v>
      </c>
      <c r="BJ72" s="21">
        <f>'Allocators Data'!BM72/'Allocators Data'!$DF72</f>
        <v>0</v>
      </c>
      <c r="BK72" s="20">
        <f>'Allocators Data'!BN72/'Allocators Data'!$DF72</f>
        <v>0</v>
      </c>
      <c r="BL72" s="20">
        <f>'Allocators Data'!BO72/'Allocators Data'!$DF72</f>
        <v>0</v>
      </c>
      <c r="BM72" s="20">
        <f>'Allocators Data'!BP72/'Allocators Data'!$DF72</f>
        <v>0</v>
      </c>
      <c r="BN72" s="20">
        <f>'Allocators Data'!BQ72/'Allocators Data'!$DF72</f>
        <v>0</v>
      </c>
      <c r="BO72" s="20">
        <f>'Allocators Data'!BR72/'Allocators Data'!$DF72</f>
        <v>0</v>
      </c>
      <c r="BP72" s="21">
        <f>'Allocators Data'!BS72/'Allocators Data'!$DF72</f>
        <v>0</v>
      </c>
      <c r="BQ72" s="20">
        <f>'Allocators Data'!BT72/'Allocators Data'!$DF72</f>
        <v>0</v>
      </c>
      <c r="BR72" s="20">
        <f>'Allocators Data'!BU72/'Allocators Data'!$DF72</f>
        <v>0</v>
      </c>
      <c r="BS72" s="20">
        <f>'Allocators Data'!BV72/'Allocators Data'!$DF72</f>
        <v>0</v>
      </c>
      <c r="BT72" s="20">
        <f>'Allocators Data'!BW72/'Allocators Data'!$DF72</f>
        <v>0</v>
      </c>
      <c r="BU72" s="20">
        <f>'Allocators Data'!BX72/'Allocators Data'!$DF72</f>
        <v>0</v>
      </c>
      <c r="BV72" s="21">
        <f>'Allocators Data'!BY72/'Allocators Data'!$DF72</f>
        <v>0</v>
      </c>
      <c r="BW72" s="22"/>
      <c r="BX72" s="20">
        <f>'Allocators Data'!CA72/'Allocators Data'!$DF72</f>
        <v>0</v>
      </c>
      <c r="BY72" s="20">
        <f>'Allocators Data'!CB72/'Allocators Data'!$DF72</f>
        <v>0</v>
      </c>
      <c r="BZ72" s="20">
        <f>'Allocators Data'!CC72/'Allocators Data'!$DF72</f>
        <v>0</v>
      </c>
      <c r="CA72" s="20">
        <f>'Allocators Data'!CD72/'Allocators Data'!$DF72</f>
        <v>0</v>
      </c>
      <c r="CB72" s="20">
        <f>'Allocators Data'!CE72/'Allocators Data'!$DF72</f>
        <v>0</v>
      </c>
      <c r="CC72" s="20">
        <f>'Allocators Data'!CF72/'Allocators Data'!$DF72</f>
        <v>0</v>
      </c>
      <c r="CD72" s="20">
        <f>'Allocators Data'!CG72/'Allocators Data'!$DF72</f>
        <v>0</v>
      </c>
      <c r="CE72" s="20">
        <f>'Allocators Data'!CH72/'Allocators Data'!$DF72</f>
        <v>0</v>
      </c>
      <c r="CF72" s="20">
        <f>'Allocators Data'!CI72/'Allocators Data'!$DF72</f>
        <v>0</v>
      </c>
      <c r="CG72" s="20">
        <f>'Allocators Data'!CJ72/'Allocators Data'!$DF72</f>
        <v>0</v>
      </c>
      <c r="CH72" s="22"/>
      <c r="CI72" s="20">
        <f>'Allocators Data'!CL72/'Allocators Data'!$DF72</f>
        <v>0</v>
      </c>
      <c r="CJ72" s="20">
        <f>'Allocators Data'!CM72/'Allocators Data'!$DF72</f>
        <v>0</v>
      </c>
      <c r="CK72" s="20">
        <f>'Allocators Data'!CN72/'Allocators Data'!$DF72</f>
        <v>0</v>
      </c>
      <c r="CL72" s="29">
        <f>'Allocators Data'!CO72/'Allocators Data'!$DF72</f>
        <v>0</v>
      </c>
      <c r="CM72" s="20">
        <f>'Allocators Data'!CP72/'Allocators Data'!$DF72</f>
        <v>0</v>
      </c>
      <c r="CN72" s="20">
        <f>'Allocators Data'!CQ72/'Allocators Data'!$DF72</f>
        <v>0</v>
      </c>
      <c r="CO72" s="22"/>
      <c r="CP72" s="20">
        <f>'Allocators Data'!CS72/'Allocators Data'!$DF72</f>
        <v>0</v>
      </c>
      <c r="CQ72" s="20">
        <f>'Allocators Data'!CT72/'Allocators Data'!$DF72</f>
        <v>0</v>
      </c>
      <c r="CR72" s="22"/>
      <c r="CS72" s="20">
        <f>'Allocators Data'!CV72/'Allocators Data'!$DF72</f>
        <v>3.1708611364615814E-2</v>
      </c>
      <c r="CT72" s="20">
        <f>'Allocators Data'!CW72/'Allocators Data'!$DF72</f>
        <v>2.2803169114171394E-3</v>
      </c>
      <c r="CU72" s="20">
        <f>'Allocators Data'!CX72/'Allocators Data'!$DF72</f>
        <v>1.2645089651563092E-2</v>
      </c>
      <c r="CV72" s="20">
        <f>'Allocators Data'!CY72/'Allocators Data'!$DF72</f>
        <v>2.127530253331783E-2</v>
      </c>
      <c r="CW72" s="20">
        <f>'Allocators Data'!CZ72/'Allocators Data'!$DF72</f>
        <v>0.26733724204070569</v>
      </c>
      <c r="CX72" s="20">
        <f>'Allocators Data'!DA72/'Allocators Data'!$DF72</f>
        <v>2.6792005786022248E-2</v>
      </c>
      <c r="CY72" s="20">
        <f>'Allocators Data'!DB72/'Allocators Data'!$DF72</f>
        <v>0.61709044428624082</v>
      </c>
      <c r="CZ72" s="20">
        <f>'Allocators Data'!DC72/'Allocators Data'!$DF72</f>
        <v>8.2098642171560759E-5</v>
      </c>
      <c r="DA72" s="20">
        <f>'Allocators Data'!DD72/'Allocators Data'!$DF72</f>
        <v>2.0788888783945893E-2</v>
      </c>
      <c r="DB72" s="22"/>
      <c r="DC72" s="20">
        <f t="shared" si="28"/>
        <v>1</v>
      </c>
    </row>
    <row r="73" spans="1:107" x14ac:dyDescent="0.2">
      <c r="A73">
        <v>11</v>
      </c>
      <c r="B73" t="s">
        <v>242</v>
      </c>
      <c r="C73" s="20">
        <f>'Allocators Data'!F73/'Allocators Data'!$DF73</f>
        <v>0</v>
      </c>
      <c r="D73" s="20">
        <f>'Allocators Data'!G73/'Allocators Data'!$DF73</f>
        <v>0</v>
      </c>
      <c r="E73" s="20">
        <f>'Allocators Data'!H73/'Allocators Data'!$DF73</f>
        <v>0</v>
      </c>
      <c r="F73" s="20">
        <f>'Allocators Data'!I73/'Allocators Data'!$DF73</f>
        <v>0</v>
      </c>
      <c r="G73" s="31">
        <f>'Allocators Data'!J73/'Allocators Data'!$DF73</f>
        <v>0</v>
      </c>
      <c r="H73" s="20">
        <f>'Allocators Data'!K73/'Allocators Data'!$DF73</f>
        <v>0</v>
      </c>
      <c r="I73" s="20">
        <f>'Allocators Data'!L73/'Allocators Data'!$DF73</f>
        <v>0</v>
      </c>
      <c r="J73" s="20">
        <f>'Allocators Data'!M73/'Allocators Data'!$DF73</f>
        <v>0</v>
      </c>
      <c r="K73" s="21">
        <f>'Allocators Data'!N73/'Allocators Data'!$DF73</f>
        <v>0</v>
      </c>
      <c r="L73" s="20">
        <f>'Allocators Data'!O73/'Allocators Data'!$DF73</f>
        <v>0</v>
      </c>
      <c r="M73" s="20">
        <f>'Allocators Data'!P73/'Allocators Data'!$DF73</f>
        <v>0</v>
      </c>
      <c r="N73" s="20">
        <f>'Allocators Data'!Q73/'Allocators Data'!$DF73</f>
        <v>0</v>
      </c>
      <c r="O73" s="21">
        <f>'Allocators Data'!R73/'Allocators Data'!$DF73</f>
        <v>0</v>
      </c>
      <c r="P73" s="20">
        <f>'Allocators Data'!S73/'Allocators Data'!$DF73</f>
        <v>0</v>
      </c>
      <c r="Q73" s="20">
        <f>'Allocators Data'!T73/'Allocators Data'!$DF73</f>
        <v>0</v>
      </c>
      <c r="R73" s="20">
        <f>'Allocators Data'!U73/'Allocators Data'!$DF73</f>
        <v>0</v>
      </c>
      <c r="S73" s="21">
        <f>'Allocators Data'!V73/'Allocators Data'!$DF73</f>
        <v>0</v>
      </c>
      <c r="T73" s="20">
        <f>'Allocators Data'!W73/'Allocators Data'!$DF73</f>
        <v>0</v>
      </c>
      <c r="U73" s="20">
        <f>'Allocators Data'!X73/'Allocators Data'!$DF73</f>
        <v>0</v>
      </c>
      <c r="V73" s="20">
        <f>'Allocators Data'!Y73/'Allocators Data'!$DF73</f>
        <v>0</v>
      </c>
      <c r="W73" s="20">
        <f>'Allocators Data'!Z73/'Allocators Data'!$DF73</f>
        <v>0</v>
      </c>
      <c r="X73" s="22"/>
      <c r="Y73" s="20">
        <f>'Allocators Data'!AB73/'Allocators Data'!$DF73</f>
        <v>0</v>
      </c>
      <c r="Z73" s="20">
        <f>'Allocators Data'!AC73/'Allocators Data'!$DF73</f>
        <v>0</v>
      </c>
      <c r="AA73" s="20">
        <f>'Allocators Data'!AD73/'Allocators Data'!$DF73</f>
        <v>0</v>
      </c>
      <c r="AB73" s="20">
        <f>'Allocators Data'!AE73/'Allocators Data'!$DF73</f>
        <v>0</v>
      </c>
      <c r="AC73" s="20">
        <f>'Allocators Data'!AF73/'Allocators Data'!$DF73</f>
        <v>0</v>
      </c>
      <c r="AD73" s="20">
        <f>'Allocators Data'!AG73/'Allocators Data'!$DF73</f>
        <v>0</v>
      </c>
      <c r="AE73" s="20">
        <f>'Allocators Data'!AH73/'Allocators Data'!$DF73</f>
        <v>0</v>
      </c>
      <c r="AF73" s="22"/>
      <c r="AG73" s="20">
        <f>'Allocators Data'!AJ73/'Allocators Data'!$DF73</f>
        <v>0</v>
      </c>
      <c r="AH73" s="20">
        <f>'Allocators Data'!AK73/'Allocators Data'!$DF73</f>
        <v>0</v>
      </c>
      <c r="AI73" s="20">
        <f>'Allocators Data'!AL73/'Allocators Data'!$DF73</f>
        <v>0</v>
      </c>
      <c r="AJ73" s="20">
        <f>'Allocators Data'!AM73/'Allocators Data'!$DF73</f>
        <v>0</v>
      </c>
      <c r="AK73" s="20">
        <f>'Allocators Data'!AN73/'Allocators Data'!$DF73</f>
        <v>0</v>
      </c>
      <c r="AL73" s="21">
        <f>'Allocators Data'!AO73/'Allocators Data'!$DF73</f>
        <v>0</v>
      </c>
      <c r="AM73" s="20">
        <f>'Allocators Data'!AP73/'Allocators Data'!$DF73</f>
        <v>0</v>
      </c>
      <c r="AN73" s="20">
        <f>'Allocators Data'!AQ73/'Allocators Data'!$DF73</f>
        <v>0</v>
      </c>
      <c r="AO73" s="20">
        <f>'Allocators Data'!AR73/'Allocators Data'!$DF73</f>
        <v>0</v>
      </c>
      <c r="AP73" s="20">
        <f>'Allocators Data'!AS73/'Allocators Data'!$DF73</f>
        <v>0</v>
      </c>
      <c r="AQ73" s="20">
        <f>'Allocators Data'!AT73/'Allocators Data'!$DF73</f>
        <v>0</v>
      </c>
      <c r="AR73" s="21">
        <f>'Allocators Data'!AU73/'Allocators Data'!$DF73</f>
        <v>0</v>
      </c>
      <c r="AS73" s="20">
        <f>'Allocators Data'!AV73/'Allocators Data'!$DF73</f>
        <v>0</v>
      </c>
      <c r="AT73" s="20">
        <f>'Allocators Data'!AW73/'Allocators Data'!$DF73</f>
        <v>0</v>
      </c>
      <c r="AU73" s="20">
        <f>'Allocators Data'!AX73/'Allocators Data'!$DF73</f>
        <v>0</v>
      </c>
      <c r="AV73" s="20">
        <f>'Allocators Data'!AY73/'Allocators Data'!$DF73</f>
        <v>0</v>
      </c>
      <c r="AW73" s="20">
        <f>'Allocators Data'!AZ73/'Allocators Data'!$DF73</f>
        <v>0</v>
      </c>
      <c r="AX73" s="21">
        <f>'Allocators Data'!BA73/'Allocators Data'!$DF73</f>
        <v>0</v>
      </c>
      <c r="AY73" s="20">
        <f>'Allocators Data'!BB73/'Allocators Data'!$DF73</f>
        <v>0</v>
      </c>
      <c r="AZ73" s="20">
        <f>'Allocators Data'!BC73/'Allocators Data'!$DF73</f>
        <v>0</v>
      </c>
      <c r="BA73" s="20">
        <f>'Allocators Data'!BD73/'Allocators Data'!$DF73</f>
        <v>0</v>
      </c>
      <c r="BB73" s="20">
        <f>'Allocators Data'!BE73/'Allocators Data'!$DF73</f>
        <v>0</v>
      </c>
      <c r="BC73" s="20">
        <f>'Allocators Data'!BF73/'Allocators Data'!$DF73</f>
        <v>0</v>
      </c>
      <c r="BD73" s="21">
        <f>'Allocators Data'!BG73/'Allocators Data'!$DF73</f>
        <v>0</v>
      </c>
      <c r="BE73" s="20">
        <f>'Allocators Data'!BH73/'Allocators Data'!$DF73</f>
        <v>0</v>
      </c>
      <c r="BF73" s="20">
        <f>'Allocators Data'!BI73/'Allocators Data'!$DF73</f>
        <v>0</v>
      </c>
      <c r="BG73" s="20">
        <f>'Allocators Data'!BJ73/'Allocators Data'!$DF73</f>
        <v>0</v>
      </c>
      <c r="BH73" s="20">
        <f>'Allocators Data'!BK73/'Allocators Data'!$DF73</f>
        <v>0</v>
      </c>
      <c r="BI73" s="20">
        <f>'Allocators Data'!BL73/'Allocators Data'!$DF73</f>
        <v>0</v>
      </c>
      <c r="BJ73" s="21">
        <f>'Allocators Data'!BM73/'Allocators Data'!$DF73</f>
        <v>0</v>
      </c>
      <c r="BK73" s="20">
        <f>'Allocators Data'!BN73/'Allocators Data'!$DF73</f>
        <v>0</v>
      </c>
      <c r="BL73" s="20">
        <f>'Allocators Data'!BO73/'Allocators Data'!$DF73</f>
        <v>0</v>
      </c>
      <c r="BM73" s="20">
        <f>'Allocators Data'!BP73/'Allocators Data'!$DF73</f>
        <v>0</v>
      </c>
      <c r="BN73" s="20">
        <f>'Allocators Data'!BQ73/'Allocators Data'!$DF73</f>
        <v>0</v>
      </c>
      <c r="BO73" s="20">
        <f>'Allocators Data'!BR73/'Allocators Data'!$DF73</f>
        <v>0</v>
      </c>
      <c r="BP73" s="21">
        <f>'Allocators Data'!BS73/'Allocators Data'!$DF73</f>
        <v>0</v>
      </c>
      <c r="BQ73" s="20">
        <f>'Allocators Data'!BT73/'Allocators Data'!$DF73</f>
        <v>0</v>
      </c>
      <c r="BR73" s="20">
        <f>'Allocators Data'!BU73/'Allocators Data'!$DF73</f>
        <v>0</v>
      </c>
      <c r="BS73" s="20">
        <f>'Allocators Data'!BV73/'Allocators Data'!$DF73</f>
        <v>0</v>
      </c>
      <c r="BT73" s="20">
        <f>'Allocators Data'!BW73/'Allocators Data'!$DF73</f>
        <v>0</v>
      </c>
      <c r="BU73" s="20">
        <f>'Allocators Data'!BX73/'Allocators Data'!$DF73</f>
        <v>0</v>
      </c>
      <c r="BV73" s="21">
        <f>'Allocators Data'!BY73/'Allocators Data'!$DF73</f>
        <v>0</v>
      </c>
      <c r="BW73" s="22"/>
      <c r="BX73" s="20">
        <f>'Allocators Data'!CA73/'Allocators Data'!$DF73</f>
        <v>0</v>
      </c>
      <c r="BY73" s="20">
        <f>'Allocators Data'!CB73/'Allocators Data'!$DF73</f>
        <v>0</v>
      </c>
      <c r="BZ73" s="20">
        <f>'Allocators Data'!CC73/'Allocators Data'!$DF73</f>
        <v>0</v>
      </c>
      <c r="CA73" s="20">
        <f>'Allocators Data'!CD73/'Allocators Data'!$DF73</f>
        <v>0</v>
      </c>
      <c r="CB73" s="20">
        <f>'Allocators Data'!CE73/'Allocators Data'!$DF73</f>
        <v>0</v>
      </c>
      <c r="CC73" s="20">
        <f>'Allocators Data'!CF73/'Allocators Data'!$DF73</f>
        <v>0</v>
      </c>
      <c r="CD73" s="20">
        <f>'Allocators Data'!CG73/'Allocators Data'!$DF73</f>
        <v>0</v>
      </c>
      <c r="CE73" s="20">
        <f>'Allocators Data'!CH73/'Allocators Data'!$DF73</f>
        <v>0</v>
      </c>
      <c r="CF73" s="20">
        <f>'Allocators Data'!CI73/'Allocators Data'!$DF73</f>
        <v>0</v>
      </c>
      <c r="CG73" s="20">
        <f>'Allocators Data'!CJ73/'Allocators Data'!$DF73</f>
        <v>0</v>
      </c>
      <c r="CH73" s="22"/>
      <c r="CI73" s="20">
        <f>'Allocators Data'!CL73/'Allocators Data'!$DF73</f>
        <v>0</v>
      </c>
      <c r="CJ73" s="20">
        <f>'Allocators Data'!CM73/'Allocators Data'!$DF73</f>
        <v>0</v>
      </c>
      <c r="CK73" s="20">
        <f>'Allocators Data'!CN73/'Allocators Data'!$DF73</f>
        <v>0</v>
      </c>
      <c r="CL73" s="29">
        <f>'Allocators Data'!CO73/'Allocators Data'!$DF73</f>
        <v>0</v>
      </c>
      <c r="CM73" s="20">
        <f>'Allocators Data'!CP73/'Allocators Data'!$DF73</f>
        <v>0</v>
      </c>
      <c r="CN73" s="20">
        <f>'Allocators Data'!CQ73/'Allocators Data'!$DF73</f>
        <v>0</v>
      </c>
      <c r="CO73" s="22"/>
      <c r="CP73" s="20">
        <f>'Allocators Data'!CS73/'Allocators Data'!$DF73</f>
        <v>0</v>
      </c>
      <c r="CQ73" s="20">
        <f>'Allocators Data'!CT73/'Allocators Data'!$DF73</f>
        <v>0</v>
      </c>
      <c r="CR73" s="22"/>
      <c r="CS73" s="20">
        <f>'Allocators Data'!CV73/'Allocators Data'!$DF73</f>
        <v>3.7343649781474336E-2</v>
      </c>
      <c r="CT73" s="20">
        <f>'Allocators Data'!CW73/'Allocators Data'!$DF73</f>
        <v>2.2740828097414035E-3</v>
      </c>
      <c r="CU73" s="20">
        <f>'Allocators Data'!CX73/'Allocators Data'!$DF73</f>
        <v>1.3764873565466851E-2</v>
      </c>
      <c r="CV73" s="20">
        <f>'Allocators Data'!CY73/'Allocators Data'!$DF73</f>
        <v>2.21929562832987E-2</v>
      </c>
      <c r="CW73" s="20">
        <f>'Allocators Data'!CZ73/'Allocators Data'!$DF73</f>
        <v>0.26604351817901273</v>
      </c>
      <c r="CX73" s="20">
        <f>'Allocators Data'!DA73/'Allocators Data'!$DF73</f>
        <v>2.6718759787919658E-2</v>
      </c>
      <c r="CY73" s="20">
        <f>'Allocators Data'!DB73/'Allocators Data'!$DF73</f>
        <v>0.60939298150026222</v>
      </c>
      <c r="CZ73" s="20">
        <f>'Allocators Data'!DC73/'Allocators Data'!$DF73</f>
        <v>8.6022006363731127E-5</v>
      </c>
      <c r="DA73" s="20">
        <f>'Allocators Data'!DD73/'Allocators Data'!$DF73</f>
        <v>2.2183156086460497E-2</v>
      </c>
      <c r="DB73" s="22"/>
      <c r="DC73" s="20">
        <f t="shared" si="28"/>
        <v>1.0000000000000002</v>
      </c>
    </row>
    <row r="74" spans="1:107" x14ac:dyDescent="0.2">
      <c r="A74">
        <v>12</v>
      </c>
      <c r="B74" t="s">
        <v>243</v>
      </c>
      <c r="C74" s="20">
        <f>'Allocators Data'!F74/'Allocators Data'!$DF74</f>
        <v>0</v>
      </c>
      <c r="D74" s="20">
        <f>'Allocators Data'!G74/'Allocators Data'!$DF74</f>
        <v>0</v>
      </c>
      <c r="E74" s="20">
        <f>'Allocators Data'!H74/'Allocators Data'!$DF74</f>
        <v>0</v>
      </c>
      <c r="F74" s="20">
        <f>'Allocators Data'!I74/'Allocators Data'!$DF74</f>
        <v>0</v>
      </c>
      <c r="G74" s="31">
        <f>'Allocators Data'!J74/'Allocators Data'!$DF74</f>
        <v>0</v>
      </c>
      <c r="H74" s="20">
        <f>'Allocators Data'!K74/'Allocators Data'!$DF74</f>
        <v>0</v>
      </c>
      <c r="I74" s="20">
        <f>'Allocators Data'!L74/'Allocators Data'!$DF74</f>
        <v>0</v>
      </c>
      <c r="J74" s="20">
        <f>'Allocators Data'!M74/'Allocators Data'!$DF74</f>
        <v>0</v>
      </c>
      <c r="K74" s="21">
        <f>'Allocators Data'!N74/'Allocators Data'!$DF74</f>
        <v>0</v>
      </c>
      <c r="L74" s="20">
        <f>'Allocators Data'!O74/'Allocators Data'!$DF74</f>
        <v>0</v>
      </c>
      <c r="M74" s="20">
        <f>'Allocators Data'!P74/'Allocators Data'!$DF74</f>
        <v>0</v>
      </c>
      <c r="N74" s="20">
        <f>'Allocators Data'!Q74/'Allocators Data'!$DF74</f>
        <v>0</v>
      </c>
      <c r="O74" s="21">
        <f>'Allocators Data'!R74/'Allocators Data'!$DF74</f>
        <v>0</v>
      </c>
      <c r="P74" s="20">
        <f>'Allocators Data'!S74/'Allocators Data'!$DF74</f>
        <v>0</v>
      </c>
      <c r="Q74" s="20">
        <f>'Allocators Data'!T74/'Allocators Data'!$DF74</f>
        <v>0</v>
      </c>
      <c r="R74" s="20">
        <f>'Allocators Data'!U74/'Allocators Data'!$DF74</f>
        <v>0</v>
      </c>
      <c r="S74" s="21">
        <f>'Allocators Data'!V74/'Allocators Data'!$DF74</f>
        <v>0</v>
      </c>
      <c r="T74" s="20">
        <f>'Allocators Data'!W74/'Allocators Data'!$DF74</f>
        <v>0</v>
      </c>
      <c r="U74" s="20">
        <f>'Allocators Data'!X74/'Allocators Data'!$DF74</f>
        <v>0</v>
      </c>
      <c r="V74" s="20">
        <f>'Allocators Data'!Y74/'Allocators Data'!$DF74</f>
        <v>0</v>
      </c>
      <c r="W74" s="20">
        <f>'Allocators Data'!Z74/'Allocators Data'!$DF74</f>
        <v>0</v>
      </c>
      <c r="X74" s="22"/>
      <c r="Y74" s="20">
        <f>'Allocators Data'!AB74/'Allocators Data'!$DF74</f>
        <v>0</v>
      </c>
      <c r="Z74" s="20">
        <f>'Allocators Data'!AC74/'Allocators Data'!$DF74</f>
        <v>0</v>
      </c>
      <c r="AA74" s="20">
        <f>'Allocators Data'!AD74/'Allocators Data'!$DF74</f>
        <v>0</v>
      </c>
      <c r="AB74" s="20">
        <f>'Allocators Data'!AE74/'Allocators Data'!$DF74</f>
        <v>0</v>
      </c>
      <c r="AC74" s="20">
        <f>'Allocators Data'!AF74/'Allocators Data'!$DF74</f>
        <v>0</v>
      </c>
      <c r="AD74" s="20">
        <f>'Allocators Data'!AG74/'Allocators Data'!$DF74</f>
        <v>0</v>
      </c>
      <c r="AE74" s="20">
        <f>'Allocators Data'!AH74/'Allocators Data'!$DF74</f>
        <v>0</v>
      </c>
      <c r="AF74" s="22"/>
      <c r="AG74" s="20">
        <f>'Allocators Data'!AJ74/'Allocators Data'!$DF74</f>
        <v>0</v>
      </c>
      <c r="AH74" s="20">
        <f>'Allocators Data'!AK74/'Allocators Data'!$DF74</f>
        <v>0</v>
      </c>
      <c r="AI74" s="20">
        <f>'Allocators Data'!AL74/'Allocators Data'!$DF74</f>
        <v>0</v>
      </c>
      <c r="AJ74" s="20">
        <f>'Allocators Data'!AM74/'Allocators Data'!$DF74</f>
        <v>0</v>
      </c>
      <c r="AK74" s="20">
        <f>'Allocators Data'!AN74/'Allocators Data'!$DF74</f>
        <v>0</v>
      </c>
      <c r="AL74" s="21">
        <f>'Allocators Data'!AO74/'Allocators Data'!$DF74</f>
        <v>0</v>
      </c>
      <c r="AM74" s="20">
        <f>'Allocators Data'!AP74/'Allocators Data'!$DF74</f>
        <v>0</v>
      </c>
      <c r="AN74" s="20">
        <f>'Allocators Data'!AQ74/'Allocators Data'!$DF74</f>
        <v>0</v>
      </c>
      <c r="AO74" s="20">
        <f>'Allocators Data'!AR74/'Allocators Data'!$DF74</f>
        <v>0</v>
      </c>
      <c r="AP74" s="20">
        <f>'Allocators Data'!AS74/'Allocators Data'!$DF74</f>
        <v>0</v>
      </c>
      <c r="AQ74" s="20">
        <f>'Allocators Data'!AT74/'Allocators Data'!$DF74</f>
        <v>0</v>
      </c>
      <c r="AR74" s="21">
        <f>'Allocators Data'!AU74/'Allocators Data'!$DF74</f>
        <v>0</v>
      </c>
      <c r="AS74" s="20">
        <f>'Allocators Data'!AV74/'Allocators Data'!$DF74</f>
        <v>0</v>
      </c>
      <c r="AT74" s="20">
        <f>'Allocators Data'!AW74/'Allocators Data'!$DF74</f>
        <v>0</v>
      </c>
      <c r="AU74" s="20">
        <f>'Allocators Data'!AX74/'Allocators Data'!$DF74</f>
        <v>0</v>
      </c>
      <c r="AV74" s="20">
        <f>'Allocators Data'!AY74/'Allocators Data'!$DF74</f>
        <v>0</v>
      </c>
      <c r="AW74" s="20">
        <f>'Allocators Data'!AZ74/'Allocators Data'!$DF74</f>
        <v>0</v>
      </c>
      <c r="AX74" s="21">
        <f>'Allocators Data'!BA74/'Allocators Data'!$DF74</f>
        <v>0</v>
      </c>
      <c r="AY74" s="20">
        <f>'Allocators Data'!BB74/'Allocators Data'!$DF74</f>
        <v>0</v>
      </c>
      <c r="AZ74" s="20">
        <f>'Allocators Data'!BC74/'Allocators Data'!$DF74</f>
        <v>0</v>
      </c>
      <c r="BA74" s="20">
        <f>'Allocators Data'!BD74/'Allocators Data'!$DF74</f>
        <v>0</v>
      </c>
      <c r="BB74" s="20">
        <f>'Allocators Data'!BE74/'Allocators Data'!$DF74</f>
        <v>0</v>
      </c>
      <c r="BC74" s="20">
        <f>'Allocators Data'!BF74/'Allocators Data'!$DF74</f>
        <v>0</v>
      </c>
      <c r="BD74" s="21">
        <f>'Allocators Data'!BG74/'Allocators Data'!$DF74</f>
        <v>0</v>
      </c>
      <c r="BE74" s="20">
        <f>'Allocators Data'!BH74/'Allocators Data'!$DF74</f>
        <v>0</v>
      </c>
      <c r="BF74" s="20">
        <f>'Allocators Data'!BI74/'Allocators Data'!$DF74</f>
        <v>0</v>
      </c>
      <c r="BG74" s="20">
        <f>'Allocators Data'!BJ74/'Allocators Data'!$DF74</f>
        <v>0</v>
      </c>
      <c r="BH74" s="20">
        <f>'Allocators Data'!BK74/'Allocators Data'!$DF74</f>
        <v>0</v>
      </c>
      <c r="BI74" s="20">
        <f>'Allocators Data'!BL74/'Allocators Data'!$DF74</f>
        <v>0</v>
      </c>
      <c r="BJ74" s="21">
        <f>'Allocators Data'!BM74/'Allocators Data'!$DF74</f>
        <v>0</v>
      </c>
      <c r="BK74" s="20">
        <f>'Allocators Data'!BN74/'Allocators Data'!$DF74</f>
        <v>0</v>
      </c>
      <c r="BL74" s="20">
        <f>'Allocators Data'!BO74/'Allocators Data'!$DF74</f>
        <v>0</v>
      </c>
      <c r="BM74" s="20">
        <f>'Allocators Data'!BP74/'Allocators Data'!$DF74</f>
        <v>0</v>
      </c>
      <c r="BN74" s="20">
        <f>'Allocators Data'!BQ74/'Allocators Data'!$DF74</f>
        <v>0</v>
      </c>
      <c r="BO74" s="20">
        <f>'Allocators Data'!BR74/'Allocators Data'!$DF74</f>
        <v>0</v>
      </c>
      <c r="BP74" s="21">
        <f>'Allocators Data'!BS74/'Allocators Data'!$DF74</f>
        <v>0</v>
      </c>
      <c r="BQ74" s="20">
        <f>'Allocators Data'!BT74/'Allocators Data'!$DF74</f>
        <v>0</v>
      </c>
      <c r="BR74" s="20">
        <f>'Allocators Data'!BU74/'Allocators Data'!$DF74</f>
        <v>0</v>
      </c>
      <c r="BS74" s="20">
        <f>'Allocators Data'!BV74/'Allocators Data'!$DF74</f>
        <v>0</v>
      </c>
      <c r="BT74" s="20">
        <f>'Allocators Data'!BW74/'Allocators Data'!$DF74</f>
        <v>0</v>
      </c>
      <c r="BU74" s="20">
        <f>'Allocators Data'!BX74/'Allocators Data'!$DF74</f>
        <v>0</v>
      </c>
      <c r="BV74" s="21">
        <f>'Allocators Data'!BY74/'Allocators Data'!$DF74</f>
        <v>0</v>
      </c>
      <c r="BW74" s="22"/>
      <c r="BX74" s="20">
        <f>'Allocators Data'!CA74/'Allocators Data'!$DF74</f>
        <v>0</v>
      </c>
      <c r="BY74" s="20">
        <f>'Allocators Data'!CB74/'Allocators Data'!$DF74</f>
        <v>0</v>
      </c>
      <c r="BZ74" s="20">
        <f>'Allocators Data'!CC74/'Allocators Data'!$DF74</f>
        <v>0</v>
      </c>
      <c r="CA74" s="20">
        <f>'Allocators Data'!CD74/'Allocators Data'!$DF74</f>
        <v>0</v>
      </c>
      <c r="CB74" s="20">
        <f>'Allocators Data'!CE74/'Allocators Data'!$DF74</f>
        <v>0</v>
      </c>
      <c r="CC74" s="20">
        <f>'Allocators Data'!CF74/'Allocators Data'!$DF74</f>
        <v>0</v>
      </c>
      <c r="CD74" s="20">
        <f>'Allocators Data'!CG74/'Allocators Data'!$DF74</f>
        <v>0</v>
      </c>
      <c r="CE74" s="20">
        <f>'Allocators Data'!CH74/'Allocators Data'!$DF74</f>
        <v>0</v>
      </c>
      <c r="CF74" s="20">
        <f>'Allocators Data'!CI74/'Allocators Data'!$DF74</f>
        <v>0</v>
      </c>
      <c r="CG74" s="20">
        <f>'Allocators Data'!CJ74/'Allocators Data'!$DF74</f>
        <v>0</v>
      </c>
      <c r="CH74" s="22"/>
      <c r="CI74" s="20">
        <f>'Allocators Data'!CL74/'Allocators Data'!$DF74</f>
        <v>0</v>
      </c>
      <c r="CJ74" s="20">
        <f>'Allocators Data'!CM74/'Allocators Data'!$DF74</f>
        <v>0</v>
      </c>
      <c r="CK74" s="20">
        <f>'Allocators Data'!CN74/'Allocators Data'!$DF74</f>
        <v>0</v>
      </c>
      <c r="CL74" s="29">
        <f>'Allocators Data'!CO74/'Allocators Data'!$DF74</f>
        <v>0</v>
      </c>
      <c r="CM74" s="20">
        <f>'Allocators Data'!CP74/'Allocators Data'!$DF74</f>
        <v>0</v>
      </c>
      <c r="CN74" s="20">
        <f>'Allocators Data'!CQ74/'Allocators Data'!$DF74</f>
        <v>0</v>
      </c>
      <c r="CO74" s="22"/>
      <c r="CP74" s="20">
        <f>'Allocators Data'!CS74/'Allocators Data'!$DF74</f>
        <v>0</v>
      </c>
      <c r="CQ74" s="20">
        <f>'Allocators Data'!CT74/'Allocators Data'!$DF74</f>
        <v>0</v>
      </c>
      <c r="CR74" s="22"/>
      <c r="CS74" s="20">
        <f>'Allocators Data'!CV74/'Allocators Data'!$DF74</f>
        <v>4.173943909377989E-2</v>
      </c>
      <c r="CT74" s="20">
        <f>'Allocators Data'!CW74/'Allocators Data'!$DF74</f>
        <v>2.25678568139748E-3</v>
      </c>
      <c r="CU74" s="20">
        <f>'Allocators Data'!CX74/'Allocators Data'!$DF74</f>
        <v>1.642809329463597E-2</v>
      </c>
      <c r="CV74" s="20">
        <f>'Allocators Data'!CY74/'Allocators Data'!$DF74</f>
        <v>2.4292302367750009E-2</v>
      </c>
      <c r="CW74" s="20">
        <f>'Allocators Data'!CZ74/'Allocators Data'!$DF74</f>
        <v>0.26326693694768366</v>
      </c>
      <c r="CX74" s="20">
        <f>'Allocators Data'!DA74/'Allocators Data'!$DF74</f>
        <v>2.6515531561022029E-2</v>
      </c>
      <c r="CY74" s="20">
        <f>'Allocators Data'!DB74/'Allocators Data'!$DF74</f>
        <v>0.60244386113404969</v>
      </c>
      <c r="CZ74" s="20">
        <f>'Allocators Data'!DC74/'Allocators Data'!$DF74</f>
        <v>1.2080335725164939E-4</v>
      </c>
      <c r="DA74" s="20">
        <f>'Allocators Data'!DD74/'Allocators Data'!$DF74</f>
        <v>2.2936246562429735E-2</v>
      </c>
      <c r="DB74" s="22"/>
      <c r="DC74" s="20">
        <f t="shared" si="28"/>
        <v>1</v>
      </c>
    </row>
    <row r="75" spans="1:107" x14ac:dyDescent="0.2">
      <c r="B75" s="11"/>
      <c r="C75" s="11"/>
      <c r="D75" s="11"/>
      <c r="E75" s="11"/>
      <c r="F75" s="14"/>
      <c r="G75" s="16"/>
      <c r="H75" s="11"/>
      <c r="I75" s="11"/>
      <c r="J75" s="11"/>
      <c r="K75" s="14"/>
      <c r="L75" s="11"/>
      <c r="M75" s="11"/>
      <c r="N75" s="11"/>
      <c r="O75" s="14"/>
      <c r="P75" s="11"/>
      <c r="Q75" s="11"/>
      <c r="R75" s="11"/>
      <c r="S75" s="14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4"/>
      <c r="AM75" s="11"/>
      <c r="AN75" s="11"/>
      <c r="AO75" s="11"/>
      <c r="AP75" s="11"/>
      <c r="AQ75" s="11"/>
      <c r="AR75" s="14"/>
      <c r="AS75" s="11"/>
      <c r="AT75" s="11"/>
      <c r="AU75" s="11"/>
      <c r="AV75" s="11"/>
      <c r="AW75" s="11"/>
      <c r="AX75" s="14"/>
      <c r="AY75" s="11"/>
      <c r="AZ75" s="11"/>
      <c r="BA75" s="11"/>
      <c r="BB75" s="11"/>
      <c r="BC75" s="11"/>
      <c r="BD75" s="14"/>
      <c r="BE75" s="11"/>
      <c r="BF75" s="11"/>
      <c r="BG75" s="11"/>
      <c r="BH75" s="11"/>
      <c r="BI75" s="11"/>
      <c r="BJ75" s="14"/>
      <c r="BK75" s="11"/>
      <c r="BL75" s="11"/>
      <c r="BM75" s="11"/>
      <c r="BN75" s="11"/>
      <c r="BO75" s="11"/>
      <c r="BP75" s="14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27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20"/>
    </row>
    <row r="76" spans="1:107" x14ac:dyDescent="0.2">
      <c r="DC76" s="20"/>
    </row>
    <row r="77" spans="1:107" x14ac:dyDescent="0.2">
      <c r="DC77" s="20"/>
    </row>
    <row r="78" spans="1:107" x14ac:dyDescent="0.2">
      <c r="DC78" s="20"/>
    </row>
    <row r="79" spans="1:107" x14ac:dyDescent="0.2">
      <c r="DC79" s="20"/>
    </row>
    <row r="80" spans="1:107" x14ac:dyDescent="0.2">
      <c r="DC80" s="20"/>
    </row>
    <row r="81" spans="107:107" x14ac:dyDescent="0.2">
      <c r="DC81" s="20"/>
    </row>
  </sheetData>
  <mergeCells count="72">
    <mergeCell ref="CL1:CN1"/>
    <mergeCell ref="CI16:CK16"/>
    <mergeCell ref="CL16:CN16"/>
    <mergeCell ref="CP61:CQ61"/>
    <mergeCell ref="CP1:CQ1"/>
    <mergeCell ref="CP16:CQ16"/>
    <mergeCell ref="CP31:CQ31"/>
    <mergeCell ref="CP46:CQ46"/>
    <mergeCell ref="BE61:BJ61"/>
    <mergeCell ref="BK61:BP61"/>
    <mergeCell ref="CI61:CK61"/>
    <mergeCell ref="CL61:CN61"/>
    <mergeCell ref="BE31:BJ31"/>
    <mergeCell ref="BK31:BP31"/>
    <mergeCell ref="CI31:CK31"/>
    <mergeCell ref="CL31:CN31"/>
    <mergeCell ref="CI46:CK46"/>
    <mergeCell ref="CL46:CN46"/>
    <mergeCell ref="BK46:BP46"/>
    <mergeCell ref="BQ1:BV1"/>
    <mergeCell ref="BQ16:BV16"/>
    <mergeCell ref="CI1:CK1"/>
    <mergeCell ref="AM61:AR61"/>
    <mergeCell ref="AS61:AX61"/>
    <mergeCell ref="AY61:BD61"/>
    <mergeCell ref="AS16:AX16"/>
    <mergeCell ref="AS1:AX1"/>
    <mergeCell ref="AY1:BD1"/>
    <mergeCell ref="BE1:BJ1"/>
    <mergeCell ref="BK1:BP1"/>
    <mergeCell ref="BE16:BJ16"/>
    <mergeCell ref="BK16:BP16"/>
    <mergeCell ref="AY16:BD16"/>
    <mergeCell ref="AS31:AX31"/>
    <mergeCell ref="AY31:BD31"/>
    <mergeCell ref="AG61:AL61"/>
    <mergeCell ref="C61:F61"/>
    <mergeCell ref="H61:K61"/>
    <mergeCell ref="L61:O61"/>
    <mergeCell ref="P61:S61"/>
    <mergeCell ref="T61:W61"/>
    <mergeCell ref="AG1:AL1"/>
    <mergeCell ref="AM1:AR1"/>
    <mergeCell ref="AM16:AR16"/>
    <mergeCell ref="C16:F16"/>
    <mergeCell ref="H16:K16"/>
    <mergeCell ref="L16:O16"/>
    <mergeCell ref="P16:S16"/>
    <mergeCell ref="T16:W16"/>
    <mergeCell ref="AG16:AL16"/>
    <mergeCell ref="C1:F1"/>
    <mergeCell ref="H1:K1"/>
    <mergeCell ref="L1:O1"/>
    <mergeCell ref="P1:S1"/>
    <mergeCell ref="T1:W1"/>
    <mergeCell ref="AG31:AL31"/>
    <mergeCell ref="AM31:AR31"/>
    <mergeCell ref="C46:F46"/>
    <mergeCell ref="H46:K46"/>
    <mergeCell ref="L46:O46"/>
    <mergeCell ref="P46:S46"/>
    <mergeCell ref="T46:W46"/>
    <mergeCell ref="C31:F31"/>
    <mergeCell ref="H31:K31"/>
    <mergeCell ref="L31:O31"/>
    <mergeCell ref="P31:S31"/>
    <mergeCell ref="T31:W31"/>
    <mergeCell ref="AY46:BD46"/>
    <mergeCell ref="BE46:BJ46"/>
    <mergeCell ref="AG46:AL46"/>
    <mergeCell ref="AM46:AR46"/>
    <mergeCell ref="AS46:AX46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DQ136"/>
  <sheetViews>
    <sheetView topLeftCell="CE34" zoomScale="93" zoomScaleNormal="93" workbookViewId="0">
      <selection activeCell="CW77" sqref="CU77:CW77"/>
    </sheetView>
  </sheetViews>
  <sheetFormatPr defaultRowHeight="12.75" x14ac:dyDescent="0.2"/>
  <cols>
    <col min="1" max="1" width="17.5703125" bestFit="1" customWidth="1"/>
    <col min="3" max="4" width="16.28515625" customWidth="1"/>
    <col min="5" max="5" width="15.140625" bestFit="1" customWidth="1"/>
    <col min="6" max="6" width="15.140625" customWidth="1"/>
    <col min="7" max="7" width="17.7109375" customWidth="1"/>
    <col min="8" max="8" width="15.42578125" bestFit="1" customWidth="1"/>
    <col min="9" max="9" width="12.5703125" bestFit="1" customWidth="1"/>
    <col min="10" max="10" width="14" bestFit="1" customWidth="1"/>
    <col min="11" max="11" width="10.5703125" customWidth="1"/>
    <col min="12" max="28" width="12.5703125" customWidth="1"/>
    <col min="29" max="32" width="12.5703125" bestFit="1" customWidth="1"/>
    <col min="33" max="33" width="7.140625" bestFit="1" customWidth="1"/>
    <col min="34" max="35" width="16.5703125" bestFit="1" customWidth="1"/>
    <col min="36" max="36" width="15" bestFit="1" customWidth="1"/>
    <col min="37" max="37" width="12.5703125" customWidth="1"/>
    <col min="38" max="40" width="16.5703125" bestFit="1" customWidth="1"/>
    <col min="41" max="41" width="7.140625" bestFit="1" customWidth="1"/>
    <col min="42" max="43" width="12.5703125" customWidth="1"/>
    <col min="44" max="44" width="13.42578125" customWidth="1"/>
    <col min="45" max="45" width="13.85546875" customWidth="1"/>
    <col min="46" max="46" width="14.140625" customWidth="1"/>
    <col min="47" max="49" width="12.5703125" customWidth="1"/>
    <col min="50" max="50" width="13.42578125" customWidth="1"/>
    <col min="51" max="51" width="13.85546875" bestFit="1" customWidth="1"/>
    <col min="52" max="52" width="14.140625" bestFit="1" customWidth="1"/>
    <col min="53" max="55" width="12.5703125" customWidth="1"/>
    <col min="56" max="56" width="13.42578125" bestFit="1" customWidth="1"/>
    <col min="57" max="57" width="13.85546875" bestFit="1" customWidth="1"/>
    <col min="58" max="58" width="14.140625" customWidth="1"/>
    <col min="59" max="61" width="12.5703125" bestFit="1" customWidth="1"/>
    <col min="62" max="62" width="13.42578125" bestFit="1" customWidth="1"/>
    <col min="63" max="63" width="13.85546875" bestFit="1" customWidth="1"/>
    <col min="64" max="64" width="14.140625" bestFit="1" customWidth="1"/>
    <col min="65" max="67" width="12.5703125" bestFit="1" customWidth="1"/>
    <col min="68" max="68" width="13.42578125" bestFit="1" customWidth="1"/>
    <col min="69" max="69" width="13.85546875" bestFit="1" customWidth="1"/>
    <col min="70" max="70" width="14.140625" bestFit="1" customWidth="1"/>
    <col min="71" max="73" width="12.5703125" bestFit="1" customWidth="1"/>
    <col min="74" max="74" width="13.42578125" bestFit="1" customWidth="1"/>
    <col min="75" max="75" width="13.85546875" bestFit="1" customWidth="1"/>
    <col min="76" max="76" width="14.140625" bestFit="1" customWidth="1"/>
    <col min="77" max="79" width="12.5703125" bestFit="1" customWidth="1"/>
    <col min="80" max="80" width="13.42578125" bestFit="1" customWidth="1"/>
    <col min="81" max="81" width="13.85546875" bestFit="1" customWidth="1"/>
    <col min="82" max="82" width="14.140625" bestFit="1" customWidth="1"/>
    <col min="83" max="83" width="12.5703125" bestFit="1" customWidth="1"/>
    <col min="84" max="84" width="5" customWidth="1"/>
    <col min="85" max="94" width="11" customWidth="1"/>
    <col min="95" max="95" width="5" customWidth="1"/>
    <col min="96" max="96" width="14.7109375" customWidth="1"/>
    <col min="97" max="97" width="15.5703125" customWidth="1"/>
    <col min="98" max="98" width="13.7109375" customWidth="1"/>
    <col min="99" max="99" width="12.42578125" customWidth="1"/>
    <col min="100" max="100" width="12.28515625" customWidth="1"/>
    <col min="101" max="101" width="13.7109375" customWidth="1"/>
    <col min="102" max="102" width="4.42578125" customWidth="1"/>
    <col min="103" max="104" width="12.5703125" bestFit="1" customWidth="1"/>
    <col min="105" max="105" width="4.85546875" customWidth="1"/>
    <col min="106" max="109" width="8.85546875"/>
    <col min="110" max="110" width="10.85546875" customWidth="1"/>
    <col min="111" max="111" width="8.85546875"/>
    <col min="112" max="112" width="14.5703125" customWidth="1"/>
    <col min="113" max="113" width="10.42578125" bestFit="1" customWidth="1"/>
    <col min="114" max="114" width="8.85546875"/>
    <col min="115" max="115" width="5.42578125" customWidth="1"/>
    <col min="116" max="116" width="15.140625" customWidth="1"/>
    <col min="117" max="117" width="15.140625" bestFit="1" customWidth="1"/>
    <col min="118" max="118" width="12.42578125" bestFit="1" customWidth="1"/>
    <col min="119" max="119" width="15" bestFit="1" customWidth="1"/>
    <col min="120" max="120" width="10" bestFit="1" customWidth="1"/>
    <col min="121" max="121" width="13.7109375" customWidth="1"/>
    <col min="127" max="127" width="11.42578125" bestFit="1" customWidth="1"/>
    <col min="133" max="133" width="15.42578125" bestFit="1" customWidth="1"/>
    <col min="288" max="288" width="10.140625" bestFit="1" customWidth="1"/>
    <col min="289" max="289" width="14" customWidth="1"/>
    <col min="290" max="290" width="10" customWidth="1"/>
    <col min="296" max="296" width="10.5703125" bestFit="1" customWidth="1"/>
    <col min="297" max="297" width="11.42578125" bestFit="1" customWidth="1"/>
    <col min="298" max="298" width="9.42578125" bestFit="1" customWidth="1"/>
    <col min="300" max="300" width="9.5703125" bestFit="1" customWidth="1"/>
    <col min="303" max="303" width="9.5703125" bestFit="1" customWidth="1"/>
    <col min="319" max="319" width="9.5703125" bestFit="1" customWidth="1"/>
    <col min="322" max="322" width="9.5703125" bestFit="1" customWidth="1"/>
    <col min="329" max="329" width="9.5703125" bestFit="1" customWidth="1"/>
    <col min="332" max="332" width="9.5703125" bestFit="1" customWidth="1"/>
    <col min="335" max="335" width="9.5703125" bestFit="1" customWidth="1"/>
    <col min="544" max="544" width="10.140625" bestFit="1" customWidth="1"/>
    <col min="545" max="545" width="14" customWidth="1"/>
    <col min="546" max="546" width="10" customWidth="1"/>
    <col min="552" max="552" width="10.5703125" bestFit="1" customWidth="1"/>
    <col min="553" max="553" width="11.42578125" bestFit="1" customWidth="1"/>
    <col min="554" max="554" width="9.42578125" bestFit="1" customWidth="1"/>
    <col min="556" max="556" width="9.5703125" bestFit="1" customWidth="1"/>
    <col min="559" max="559" width="9.5703125" bestFit="1" customWidth="1"/>
    <col min="575" max="575" width="9.5703125" bestFit="1" customWidth="1"/>
    <col min="578" max="578" width="9.5703125" bestFit="1" customWidth="1"/>
    <col min="585" max="585" width="9.5703125" bestFit="1" customWidth="1"/>
    <col min="588" max="588" width="9.5703125" bestFit="1" customWidth="1"/>
    <col min="591" max="591" width="9.5703125" bestFit="1" customWidth="1"/>
    <col min="800" max="800" width="10.140625" bestFit="1" customWidth="1"/>
    <col min="801" max="801" width="14" customWidth="1"/>
    <col min="802" max="802" width="10" customWidth="1"/>
    <col min="808" max="808" width="10.5703125" bestFit="1" customWidth="1"/>
    <col min="809" max="809" width="11.42578125" bestFit="1" customWidth="1"/>
    <col min="810" max="810" width="9.42578125" bestFit="1" customWidth="1"/>
    <col min="812" max="812" width="9.5703125" bestFit="1" customWidth="1"/>
    <col min="815" max="815" width="9.5703125" bestFit="1" customWidth="1"/>
    <col min="831" max="831" width="9.5703125" bestFit="1" customWidth="1"/>
    <col min="834" max="834" width="9.5703125" bestFit="1" customWidth="1"/>
    <col min="841" max="841" width="9.5703125" bestFit="1" customWidth="1"/>
    <col min="844" max="844" width="9.5703125" bestFit="1" customWidth="1"/>
    <col min="847" max="847" width="9.5703125" bestFit="1" customWidth="1"/>
    <col min="1056" max="1056" width="10.140625" bestFit="1" customWidth="1"/>
    <col min="1057" max="1057" width="14" customWidth="1"/>
    <col min="1058" max="1058" width="10" customWidth="1"/>
    <col min="1064" max="1064" width="10.5703125" bestFit="1" customWidth="1"/>
    <col min="1065" max="1065" width="11.42578125" bestFit="1" customWidth="1"/>
    <col min="1066" max="1066" width="9.42578125" bestFit="1" customWidth="1"/>
    <col min="1068" max="1068" width="9.5703125" bestFit="1" customWidth="1"/>
    <col min="1071" max="1071" width="9.5703125" bestFit="1" customWidth="1"/>
    <col min="1087" max="1087" width="9.5703125" bestFit="1" customWidth="1"/>
    <col min="1090" max="1090" width="9.5703125" bestFit="1" customWidth="1"/>
    <col min="1097" max="1097" width="9.5703125" bestFit="1" customWidth="1"/>
    <col min="1100" max="1100" width="9.5703125" bestFit="1" customWidth="1"/>
    <col min="1103" max="1103" width="9.5703125" bestFit="1" customWidth="1"/>
    <col min="1312" max="1312" width="10.140625" bestFit="1" customWidth="1"/>
    <col min="1313" max="1313" width="14" customWidth="1"/>
    <col min="1314" max="1314" width="10" customWidth="1"/>
    <col min="1320" max="1320" width="10.5703125" bestFit="1" customWidth="1"/>
    <col min="1321" max="1321" width="11.42578125" bestFit="1" customWidth="1"/>
    <col min="1322" max="1322" width="9.42578125" bestFit="1" customWidth="1"/>
    <col min="1324" max="1324" width="9.5703125" bestFit="1" customWidth="1"/>
    <col min="1327" max="1327" width="9.5703125" bestFit="1" customWidth="1"/>
    <col min="1343" max="1343" width="9.5703125" bestFit="1" customWidth="1"/>
    <col min="1346" max="1346" width="9.5703125" bestFit="1" customWidth="1"/>
    <col min="1353" max="1353" width="9.5703125" bestFit="1" customWidth="1"/>
    <col min="1356" max="1356" width="9.5703125" bestFit="1" customWidth="1"/>
    <col min="1359" max="1359" width="9.5703125" bestFit="1" customWidth="1"/>
    <col min="1568" max="1568" width="10.140625" bestFit="1" customWidth="1"/>
    <col min="1569" max="1569" width="14" customWidth="1"/>
    <col min="1570" max="1570" width="10" customWidth="1"/>
    <col min="1576" max="1576" width="10.5703125" bestFit="1" customWidth="1"/>
    <col min="1577" max="1577" width="11.42578125" bestFit="1" customWidth="1"/>
    <col min="1578" max="1578" width="9.42578125" bestFit="1" customWidth="1"/>
    <col min="1580" max="1580" width="9.5703125" bestFit="1" customWidth="1"/>
    <col min="1583" max="1583" width="9.5703125" bestFit="1" customWidth="1"/>
    <col min="1599" max="1599" width="9.5703125" bestFit="1" customWidth="1"/>
    <col min="1602" max="1602" width="9.5703125" bestFit="1" customWidth="1"/>
    <col min="1609" max="1609" width="9.5703125" bestFit="1" customWidth="1"/>
    <col min="1612" max="1612" width="9.5703125" bestFit="1" customWidth="1"/>
    <col min="1615" max="1615" width="9.5703125" bestFit="1" customWidth="1"/>
    <col min="1824" max="1824" width="10.140625" bestFit="1" customWidth="1"/>
    <col min="1825" max="1825" width="14" customWidth="1"/>
    <col min="1826" max="1826" width="10" customWidth="1"/>
    <col min="1832" max="1832" width="10.5703125" bestFit="1" customWidth="1"/>
    <col min="1833" max="1833" width="11.42578125" bestFit="1" customWidth="1"/>
    <col min="1834" max="1834" width="9.42578125" bestFit="1" customWidth="1"/>
    <col min="1836" max="1836" width="9.5703125" bestFit="1" customWidth="1"/>
    <col min="1839" max="1839" width="9.5703125" bestFit="1" customWidth="1"/>
    <col min="1855" max="1855" width="9.5703125" bestFit="1" customWidth="1"/>
    <col min="1858" max="1858" width="9.5703125" bestFit="1" customWidth="1"/>
    <col min="1865" max="1865" width="9.5703125" bestFit="1" customWidth="1"/>
    <col min="1868" max="1868" width="9.5703125" bestFit="1" customWidth="1"/>
    <col min="1871" max="1871" width="9.5703125" bestFit="1" customWidth="1"/>
    <col min="2080" max="2080" width="10.140625" bestFit="1" customWidth="1"/>
    <col min="2081" max="2081" width="14" customWidth="1"/>
    <col min="2082" max="2082" width="10" customWidth="1"/>
    <col min="2088" max="2088" width="10.5703125" bestFit="1" customWidth="1"/>
    <col min="2089" max="2089" width="11.42578125" bestFit="1" customWidth="1"/>
    <col min="2090" max="2090" width="9.42578125" bestFit="1" customWidth="1"/>
    <col min="2092" max="2092" width="9.5703125" bestFit="1" customWidth="1"/>
    <col min="2095" max="2095" width="9.5703125" bestFit="1" customWidth="1"/>
    <col min="2111" max="2111" width="9.5703125" bestFit="1" customWidth="1"/>
    <col min="2114" max="2114" width="9.5703125" bestFit="1" customWidth="1"/>
    <col min="2121" max="2121" width="9.5703125" bestFit="1" customWidth="1"/>
    <col min="2124" max="2124" width="9.5703125" bestFit="1" customWidth="1"/>
    <col min="2127" max="2127" width="9.5703125" bestFit="1" customWidth="1"/>
    <col min="2336" max="2336" width="10.140625" bestFit="1" customWidth="1"/>
    <col min="2337" max="2337" width="14" customWidth="1"/>
    <col min="2338" max="2338" width="10" customWidth="1"/>
    <col min="2344" max="2344" width="10.5703125" bestFit="1" customWidth="1"/>
    <col min="2345" max="2345" width="11.42578125" bestFit="1" customWidth="1"/>
    <col min="2346" max="2346" width="9.42578125" bestFit="1" customWidth="1"/>
    <col min="2348" max="2348" width="9.5703125" bestFit="1" customWidth="1"/>
    <col min="2351" max="2351" width="9.5703125" bestFit="1" customWidth="1"/>
    <col min="2367" max="2367" width="9.5703125" bestFit="1" customWidth="1"/>
    <col min="2370" max="2370" width="9.5703125" bestFit="1" customWidth="1"/>
    <col min="2377" max="2377" width="9.5703125" bestFit="1" customWidth="1"/>
    <col min="2380" max="2380" width="9.5703125" bestFit="1" customWidth="1"/>
    <col min="2383" max="2383" width="9.5703125" bestFit="1" customWidth="1"/>
    <col min="2592" max="2592" width="10.140625" bestFit="1" customWidth="1"/>
    <col min="2593" max="2593" width="14" customWidth="1"/>
    <col min="2594" max="2594" width="10" customWidth="1"/>
    <col min="2600" max="2600" width="10.5703125" bestFit="1" customWidth="1"/>
    <col min="2601" max="2601" width="11.42578125" bestFit="1" customWidth="1"/>
    <col min="2602" max="2602" width="9.42578125" bestFit="1" customWidth="1"/>
    <col min="2604" max="2604" width="9.5703125" bestFit="1" customWidth="1"/>
    <col min="2607" max="2607" width="9.5703125" bestFit="1" customWidth="1"/>
    <col min="2623" max="2623" width="9.5703125" bestFit="1" customWidth="1"/>
    <col min="2626" max="2626" width="9.5703125" bestFit="1" customWidth="1"/>
    <col min="2633" max="2633" width="9.5703125" bestFit="1" customWidth="1"/>
    <col min="2636" max="2636" width="9.5703125" bestFit="1" customWidth="1"/>
    <col min="2639" max="2639" width="9.5703125" bestFit="1" customWidth="1"/>
    <col min="2848" max="2848" width="10.140625" bestFit="1" customWidth="1"/>
    <col min="2849" max="2849" width="14" customWidth="1"/>
    <col min="2850" max="2850" width="10" customWidth="1"/>
    <col min="2856" max="2856" width="10.5703125" bestFit="1" customWidth="1"/>
    <col min="2857" max="2857" width="11.42578125" bestFit="1" customWidth="1"/>
    <col min="2858" max="2858" width="9.42578125" bestFit="1" customWidth="1"/>
    <col min="2860" max="2860" width="9.5703125" bestFit="1" customWidth="1"/>
    <col min="2863" max="2863" width="9.5703125" bestFit="1" customWidth="1"/>
    <col min="2879" max="2879" width="9.5703125" bestFit="1" customWidth="1"/>
    <col min="2882" max="2882" width="9.5703125" bestFit="1" customWidth="1"/>
    <col min="2889" max="2889" width="9.5703125" bestFit="1" customWidth="1"/>
    <col min="2892" max="2892" width="9.5703125" bestFit="1" customWidth="1"/>
    <col min="2895" max="2895" width="9.5703125" bestFit="1" customWidth="1"/>
    <col min="3104" max="3104" width="10.140625" bestFit="1" customWidth="1"/>
    <col min="3105" max="3105" width="14" customWidth="1"/>
    <col min="3106" max="3106" width="10" customWidth="1"/>
    <col min="3112" max="3112" width="10.5703125" bestFit="1" customWidth="1"/>
    <col min="3113" max="3113" width="11.42578125" bestFit="1" customWidth="1"/>
    <col min="3114" max="3114" width="9.42578125" bestFit="1" customWidth="1"/>
    <col min="3116" max="3116" width="9.5703125" bestFit="1" customWidth="1"/>
    <col min="3119" max="3119" width="9.5703125" bestFit="1" customWidth="1"/>
    <col min="3135" max="3135" width="9.5703125" bestFit="1" customWidth="1"/>
    <col min="3138" max="3138" width="9.5703125" bestFit="1" customWidth="1"/>
    <col min="3145" max="3145" width="9.5703125" bestFit="1" customWidth="1"/>
    <col min="3148" max="3148" width="9.5703125" bestFit="1" customWidth="1"/>
    <col min="3151" max="3151" width="9.5703125" bestFit="1" customWidth="1"/>
    <col min="3360" max="3360" width="10.140625" bestFit="1" customWidth="1"/>
    <col min="3361" max="3361" width="14" customWidth="1"/>
    <col min="3362" max="3362" width="10" customWidth="1"/>
    <col min="3368" max="3368" width="10.5703125" bestFit="1" customWidth="1"/>
    <col min="3369" max="3369" width="11.42578125" bestFit="1" customWidth="1"/>
    <col min="3370" max="3370" width="9.42578125" bestFit="1" customWidth="1"/>
    <col min="3372" max="3372" width="9.5703125" bestFit="1" customWidth="1"/>
    <col min="3375" max="3375" width="9.5703125" bestFit="1" customWidth="1"/>
    <col min="3391" max="3391" width="9.5703125" bestFit="1" customWidth="1"/>
    <col min="3394" max="3394" width="9.5703125" bestFit="1" customWidth="1"/>
    <col min="3401" max="3401" width="9.5703125" bestFit="1" customWidth="1"/>
    <col min="3404" max="3404" width="9.5703125" bestFit="1" customWidth="1"/>
    <col min="3407" max="3407" width="9.5703125" bestFit="1" customWidth="1"/>
    <col min="3616" max="3616" width="10.140625" bestFit="1" customWidth="1"/>
    <col min="3617" max="3617" width="14" customWidth="1"/>
    <col min="3618" max="3618" width="10" customWidth="1"/>
    <col min="3624" max="3624" width="10.5703125" bestFit="1" customWidth="1"/>
    <col min="3625" max="3625" width="11.42578125" bestFit="1" customWidth="1"/>
    <col min="3626" max="3626" width="9.42578125" bestFit="1" customWidth="1"/>
    <col min="3628" max="3628" width="9.5703125" bestFit="1" customWidth="1"/>
    <col min="3631" max="3631" width="9.5703125" bestFit="1" customWidth="1"/>
    <col min="3647" max="3647" width="9.5703125" bestFit="1" customWidth="1"/>
    <col min="3650" max="3650" width="9.5703125" bestFit="1" customWidth="1"/>
    <col min="3657" max="3657" width="9.5703125" bestFit="1" customWidth="1"/>
    <col min="3660" max="3660" width="9.5703125" bestFit="1" customWidth="1"/>
    <col min="3663" max="3663" width="9.5703125" bestFit="1" customWidth="1"/>
    <col min="3872" max="3872" width="10.140625" bestFit="1" customWidth="1"/>
    <col min="3873" max="3873" width="14" customWidth="1"/>
    <col min="3874" max="3874" width="10" customWidth="1"/>
    <col min="3880" max="3880" width="10.5703125" bestFit="1" customWidth="1"/>
    <col min="3881" max="3881" width="11.42578125" bestFit="1" customWidth="1"/>
    <col min="3882" max="3882" width="9.42578125" bestFit="1" customWidth="1"/>
    <col min="3884" max="3884" width="9.5703125" bestFit="1" customWidth="1"/>
    <col min="3887" max="3887" width="9.5703125" bestFit="1" customWidth="1"/>
    <col min="3903" max="3903" width="9.5703125" bestFit="1" customWidth="1"/>
    <col min="3906" max="3906" width="9.5703125" bestFit="1" customWidth="1"/>
    <col min="3913" max="3913" width="9.5703125" bestFit="1" customWidth="1"/>
    <col min="3916" max="3916" width="9.5703125" bestFit="1" customWidth="1"/>
    <col min="3919" max="3919" width="9.5703125" bestFit="1" customWidth="1"/>
    <col min="4128" max="4128" width="10.140625" bestFit="1" customWidth="1"/>
    <col min="4129" max="4129" width="14" customWidth="1"/>
    <col min="4130" max="4130" width="10" customWidth="1"/>
    <col min="4136" max="4136" width="10.5703125" bestFit="1" customWidth="1"/>
    <col min="4137" max="4137" width="11.42578125" bestFit="1" customWidth="1"/>
    <col min="4138" max="4138" width="9.42578125" bestFit="1" customWidth="1"/>
    <col min="4140" max="4140" width="9.5703125" bestFit="1" customWidth="1"/>
    <col min="4143" max="4143" width="9.5703125" bestFit="1" customWidth="1"/>
    <col min="4159" max="4159" width="9.5703125" bestFit="1" customWidth="1"/>
    <col min="4162" max="4162" width="9.5703125" bestFit="1" customWidth="1"/>
    <col min="4169" max="4169" width="9.5703125" bestFit="1" customWidth="1"/>
    <col min="4172" max="4172" width="9.5703125" bestFit="1" customWidth="1"/>
    <col min="4175" max="4175" width="9.5703125" bestFit="1" customWidth="1"/>
    <col min="4384" max="4384" width="10.140625" bestFit="1" customWidth="1"/>
    <col min="4385" max="4385" width="14" customWidth="1"/>
    <col min="4386" max="4386" width="10" customWidth="1"/>
    <col min="4392" max="4392" width="10.5703125" bestFit="1" customWidth="1"/>
    <col min="4393" max="4393" width="11.42578125" bestFit="1" customWidth="1"/>
    <col min="4394" max="4394" width="9.42578125" bestFit="1" customWidth="1"/>
    <col min="4396" max="4396" width="9.5703125" bestFit="1" customWidth="1"/>
    <col min="4399" max="4399" width="9.5703125" bestFit="1" customWidth="1"/>
    <col min="4415" max="4415" width="9.5703125" bestFit="1" customWidth="1"/>
    <col min="4418" max="4418" width="9.5703125" bestFit="1" customWidth="1"/>
    <col min="4425" max="4425" width="9.5703125" bestFit="1" customWidth="1"/>
    <col min="4428" max="4428" width="9.5703125" bestFit="1" customWidth="1"/>
    <col min="4431" max="4431" width="9.5703125" bestFit="1" customWidth="1"/>
    <col min="4640" max="4640" width="10.140625" bestFit="1" customWidth="1"/>
    <col min="4641" max="4641" width="14" customWidth="1"/>
    <col min="4642" max="4642" width="10" customWidth="1"/>
    <col min="4648" max="4648" width="10.5703125" bestFit="1" customWidth="1"/>
    <col min="4649" max="4649" width="11.42578125" bestFit="1" customWidth="1"/>
    <col min="4650" max="4650" width="9.42578125" bestFit="1" customWidth="1"/>
    <col min="4652" max="4652" width="9.5703125" bestFit="1" customWidth="1"/>
    <col min="4655" max="4655" width="9.5703125" bestFit="1" customWidth="1"/>
    <col min="4671" max="4671" width="9.5703125" bestFit="1" customWidth="1"/>
    <col min="4674" max="4674" width="9.5703125" bestFit="1" customWidth="1"/>
    <col min="4681" max="4681" width="9.5703125" bestFit="1" customWidth="1"/>
    <col min="4684" max="4684" width="9.5703125" bestFit="1" customWidth="1"/>
    <col min="4687" max="4687" width="9.5703125" bestFit="1" customWidth="1"/>
    <col min="4896" max="4896" width="10.140625" bestFit="1" customWidth="1"/>
    <col min="4897" max="4897" width="14" customWidth="1"/>
    <col min="4898" max="4898" width="10" customWidth="1"/>
    <col min="4904" max="4904" width="10.5703125" bestFit="1" customWidth="1"/>
    <col min="4905" max="4905" width="11.42578125" bestFit="1" customWidth="1"/>
    <col min="4906" max="4906" width="9.42578125" bestFit="1" customWidth="1"/>
    <col min="4908" max="4908" width="9.5703125" bestFit="1" customWidth="1"/>
    <col min="4911" max="4911" width="9.5703125" bestFit="1" customWidth="1"/>
    <col min="4927" max="4927" width="9.5703125" bestFit="1" customWidth="1"/>
    <col min="4930" max="4930" width="9.5703125" bestFit="1" customWidth="1"/>
    <col min="4937" max="4937" width="9.5703125" bestFit="1" customWidth="1"/>
    <col min="4940" max="4940" width="9.5703125" bestFit="1" customWidth="1"/>
    <col min="4943" max="4943" width="9.5703125" bestFit="1" customWidth="1"/>
    <col min="5152" max="5152" width="10.140625" bestFit="1" customWidth="1"/>
    <col min="5153" max="5153" width="14" customWidth="1"/>
    <col min="5154" max="5154" width="10" customWidth="1"/>
    <col min="5160" max="5160" width="10.5703125" bestFit="1" customWidth="1"/>
    <col min="5161" max="5161" width="11.42578125" bestFit="1" customWidth="1"/>
    <col min="5162" max="5162" width="9.42578125" bestFit="1" customWidth="1"/>
    <col min="5164" max="5164" width="9.5703125" bestFit="1" customWidth="1"/>
    <col min="5167" max="5167" width="9.5703125" bestFit="1" customWidth="1"/>
    <col min="5183" max="5183" width="9.5703125" bestFit="1" customWidth="1"/>
    <col min="5186" max="5186" width="9.5703125" bestFit="1" customWidth="1"/>
    <col min="5193" max="5193" width="9.5703125" bestFit="1" customWidth="1"/>
    <col min="5196" max="5196" width="9.5703125" bestFit="1" customWidth="1"/>
    <col min="5199" max="5199" width="9.5703125" bestFit="1" customWidth="1"/>
    <col min="5408" max="5408" width="10.140625" bestFit="1" customWidth="1"/>
    <col min="5409" max="5409" width="14" customWidth="1"/>
    <col min="5410" max="5410" width="10" customWidth="1"/>
    <col min="5416" max="5416" width="10.5703125" bestFit="1" customWidth="1"/>
    <col min="5417" max="5417" width="11.42578125" bestFit="1" customWidth="1"/>
    <col min="5418" max="5418" width="9.42578125" bestFit="1" customWidth="1"/>
    <col min="5420" max="5420" width="9.5703125" bestFit="1" customWidth="1"/>
    <col min="5423" max="5423" width="9.5703125" bestFit="1" customWidth="1"/>
    <col min="5439" max="5439" width="9.5703125" bestFit="1" customWidth="1"/>
    <col min="5442" max="5442" width="9.5703125" bestFit="1" customWidth="1"/>
    <col min="5449" max="5449" width="9.5703125" bestFit="1" customWidth="1"/>
    <col min="5452" max="5452" width="9.5703125" bestFit="1" customWidth="1"/>
    <col min="5455" max="5455" width="9.5703125" bestFit="1" customWidth="1"/>
    <col min="5664" max="5664" width="10.140625" bestFit="1" customWidth="1"/>
    <col min="5665" max="5665" width="14" customWidth="1"/>
    <col min="5666" max="5666" width="10" customWidth="1"/>
    <col min="5672" max="5672" width="10.5703125" bestFit="1" customWidth="1"/>
    <col min="5673" max="5673" width="11.42578125" bestFit="1" customWidth="1"/>
    <col min="5674" max="5674" width="9.42578125" bestFit="1" customWidth="1"/>
    <col min="5676" max="5676" width="9.5703125" bestFit="1" customWidth="1"/>
    <col min="5679" max="5679" width="9.5703125" bestFit="1" customWidth="1"/>
    <col min="5695" max="5695" width="9.5703125" bestFit="1" customWidth="1"/>
    <col min="5698" max="5698" width="9.5703125" bestFit="1" customWidth="1"/>
    <col min="5705" max="5705" width="9.5703125" bestFit="1" customWidth="1"/>
    <col min="5708" max="5708" width="9.5703125" bestFit="1" customWidth="1"/>
    <col min="5711" max="5711" width="9.5703125" bestFit="1" customWidth="1"/>
    <col min="5920" max="5920" width="10.140625" bestFit="1" customWidth="1"/>
    <col min="5921" max="5921" width="14" customWidth="1"/>
    <col min="5922" max="5922" width="10" customWidth="1"/>
    <col min="5928" max="5928" width="10.5703125" bestFit="1" customWidth="1"/>
    <col min="5929" max="5929" width="11.42578125" bestFit="1" customWidth="1"/>
    <col min="5930" max="5930" width="9.42578125" bestFit="1" customWidth="1"/>
    <col min="5932" max="5932" width="9.5703125" bestFit="1" customWidth="1"/>
    <col min="5935" max="5935" width="9.5703125" bestFit="1" customWidth="1"/>
    <col min="5951" max="5951" width="9.5703125" bestFit="1" customWidth="1"/>
    <col min="5954" max="5954" width="9.5703125" bestFit="1" customWidth="1"/>
    <col min="5961" max="5961" width="9.5703125" bestFit="1" customWidth="1"/>
    <col min="5964" max="5964" width="9.5703125" bestFit="1" customWidth="1"/>
    <col min="5967" max="5967" width="9.5703125" bestFit="1" customWidth="1"/>
    <col min="6176" max="6176" width="10.140625" bestFit="1" customWidth="1"/>
    <col min="6177" max="6177" width="14" customWidth="1"/>
    <col min="6178" max="6178" width="10" customWidth="1"/>
    <col min="6184" max="6184" width="10.5703125" bestFit="1" customWidth="1"/>
    <col min="6185" max="6185" width="11.42578125" bestFit="1" customWidth="1"/>
    <col min="6186" max="6186" width="9.42578125" bestFit="1" customWidth="1"/>
    <col min="6188" max="6188" width="9.5703125" bestFit="1" customWidth="1"/>
    <col min="6191" max="6191" width="9.5703125" bestFit="1" customWidth="1"/>
    <col min="6207" max="6207" width="9.5703125" bestFit="1" customWidth="1"/>
    <col min="6210" max="6210" width="9.5703125" bestFit="1" customWidth="1"/>
    <col min="6217" max="6217" width="9.5703125" bestFit="1" customWidth="1"/>
    <col min="6220" max="6220" width="9.5703125" bestFit="1" customWidth="1"/>
    <col min="6223" max="6223" width="9.5703125" bestFit="1" customWidth="1"/>
    <col min="6432" max="6432" width="10.140625" bestFit="1" customWidth="1"/>
    <col min="6433" max="6433" width="14" customWidth="1"/>
    <col min="6434" max="6434" width="10" customWidth="1"/>
    <col min="6440" max="6440" width="10.5703125" bestFit="1" customWidth="1"/>
    <col min="6441" max="6441" width="11.42578125" bestFit="1" customWidth="1"/>
    <col min="6442" max="6442" width="9.42578125" bestFit="1" customWidth="1"/>
    <col min="6444" max="6444" width="9.5703125" bestFit="1" customWidth="1"/>
    <col min="6447" max="6447" width="9.5703125" bestFit="1" customWidth="1"/>
    <col min="6463" max="6463" width="9.5703125" bestFit="1" customWidth="1"/>
    <col min="6466" max="6466" width="9.5703125" bestFit="1" customWidth="1"/>
    <col min="6473" max="6473" width="9.5703125" bestFit="1" customWidth="1"/>
    <col min="6476" max="6476" width="9.5703125" bestFit="1" customWidth="1"/>
    <col min="6479" max="6479" width="9.5703125" bestFit="1" customWidth="1"/>
    <col min="6688" max="6688" width="10.140625" bestFit="1" customWidth="1"/>
    <col min="6689" max="6689" width="14" customWidth="1"/>
    <col min="6690" max="6690" width="10" customWidth="1"/>
    <col min="6696" max="6696" width="10.5703125" bestFit="1" customWidth="1"/>
    <col min="6697" max="6697" width="11.42578125" bestFit="1" customWidth="1"/>
    <col min="6698" max="6698" width="9.42578125" bestFit="1" customWidth="1"/>
    <col min="6700" max="6700" width="9.5703125" bestFit="1" customWidth="1"/>
    <col min="6703" max="6703" width="9.5703125" bestFit="1" customWidth="1"/>
    <col min="6719" max="6719" width="9.5703125" bestFit="1" customWidth="1"/>
    <col min="6722" max="6722" width="9.5703125" bestFit="1" customWidth="1"/>
    <col min="6729" max="6729" width="9.5703125" bestFit="1" customWidth="1"/>
    <col min="6732" max="6732" width="9.5703125" bestFit="1" customWidth="1"/>
    <col min="6735" max="6735" width="9.5703125" bestFit="1" customWidth="1"/>
    <col min="6944" max="6944" width="10.140625" bestFit="1" customWidth="1"/>
    <col min="6945" max="6945" width="14" customWidth="1"/>
    <col min="6946" max="6946" width="10" customWidth="1"/>
    <col min="6952" max="6952" width="10.5703125" bestFit="1" customWidth="1"/>
    <col min="6953" max="6953" width="11.42578125" bestFit="1" customWidth="1"/>
    <col min="6954" max="6954" width="9.42578125" bestFit="1" customWidth="1"/>
    <col min="6956" max="6956" width="9.5703125" bestFit="1" customWidth="1"/>
    <col min="6959" max="6959" width="9.5703125" bestFit="1" customWidth="1"/>
    <col min="6975" max="6975" width="9.5703125" bestFit="1" customWidth="1"/>
    <col min="6978" max="6978" width="9.5703125" bestFit="1" customWidth="1"/>
    <col min="6985" max="6985" width="9.5703125" bestFit="1" customWidth="1"/>
    <col min="6988" max="6988" width="9.5703125" bestFit="1" customWidth="1"/>
    <col min="6991" max="6991" width="9.5703125" bestFit="1" customWidth="1"/>
    <col min="7200" max="7200" width="10.140625" bestFit="1" customWidth="1"/>
    <col min="7201" max="7201" width="14" customWidth="1"/>
    <col min="7202" max="7202" width="10" customWidth="1"/>
    <col min="7208" max="7208" width="10.5703125" bestFit="1" customWidth="1"/>
    <col min="7209" max="7209" width="11.42578125" bestFit="1" customWidth="1"/>
    <col min="7210" max="7210" width="9.42578125" bestFit="1" customWidth="1"/>
    <col min="7212" max="7212" width="9.5703125" bestFit="1" customWidth="1"/>
    <col min="7215" max="7215" width="9.5703125" bestFit="1" customWidth="1"/>
    <col min="7231" max="7231" width="9.5703125" bestFit="1" customWidth="1"/>
    <col min="7234" max="7234" width="9.5703125" bestFit="1" customWidth="1"/>
    <col min="7241" max="7241" width="9.5703125" bestFit="1" customWidth="1"/>
    <col min="7244" max="7244" width="9.5703125" bestFit="1" customWidth="1"/>
    <col min="7247" max="7247" width="9.5703125" bestFit="1" customWidth="1"/>
    <col min="7456" max="7456" width="10.140625" bestFit="1" customWidth="1"/>
    <col min="7457" max="7457" width="14" customWidth="1"/>
    <col min="7458" max="7458" width="10" customWidth="1"/>
    <col min="7464" max="7464" width="10.5703125" bestFit="1" customWidth="1"/>
    <col min="7465" max="7465" width="11.42578125" bestFit="1" customWidth="1"/>
    <col min="7466" max="7466" width="9.42578125" bestFit="1" customWidth="1"/>
    <col min="7468" max="7468" width="9.5703125" bestFit="1" customWidth="1"/>
    <col min="7471" max="7471" width="9.5703125" bestFit="1" customWidth="1"/>
    <col min="7487" max="7487" width="9.5703125" bestFit="1" customWidth="1"/>
    <col min="7490" max="7490" width="9.5703125" bestFit="1" customWidth="1"/>
    <col min="7497" max="7497" width="9.5703125" bestFit="1" customWidth="1"/>
    <col min="7500" max="7500" width="9.5703125" bestFit="1" customWidth="1"/>
    <col min="7503" max="7503" width="9.5703125" bestFit="1" customWidth="1"/>
    <col min="7712" max="7712" width="10.140625" bestFit="1" customWidth="1"/>
    <col min="7713" max="7713" width="14" customWidth="1"/>
    <col min="7714" max="7714" width="10" customWidth="1"/>
    <col min="7720" max="7720" width="10.5703125" bestFit="1" customWidth="1"/>
    <col min="7721" max="7721" width="11.42578125" bestFit="1" customWidth="1"/>
    <col min="7722" max="7722" width="9.42578125" bestFit="1" customWidth="1"/>
    <col min="7724" max="7724" width="9.5703125" bestFit="1" customWidth="1"/>
    <col min="7727" max="7727" width="9.5703125" bestFit="1" customWidth="1"/>
    <col min="7743" max="7743" width="9.5703125" bestFit="1" customWidth="1"/>
    <col min="7746" max="7746" width="9.5703125" bestFit="1" customWidth="1"/>
    <col min="7753" max="7753" width="9.5703125" bestFit="1" customWidth="1"/>
    <col min="7756" max="7756" width="9.5703125" bestFit="1" customWidth="1"/>
    <col min="7759" max="7759" width="9.5703125" bestFit="1" customWidth="1"/>
    <col min="7968" max="7968" width="10.140625" bestFit="1" customWidth="1"/>
    <col min="7969" max="7969" width="14" customWidth="1"/>
    <col min="7970" max="7970" width="10" customWidth="1"/>
    <col min="7976" max="7976" width="10.5703125" bestFit="1" customWidth="1"/>
    <col min="7977" max="7977" width="11.42578125" bestFit="1" customWidth="1"/>
    <col min="7978" max="7978" width="9.42578125" bestFit="1" customWidth="1"/>
    <col min="7980" max="7980" width="9.5703125" bestFit="1" customWidth="1"/>
    <col min="7983" max="7983" width="9.5703125" bestFit="1" customWidth="1"/>
    <col min="7999" max="7999" width="9.5703125" bestFit="1" customWidth="1"/>
    <col min="8002" max="8002" width="9.5703125" bestFit="1" customWidth="1"/>
    <col min="8009" max="8009" width="9.5703125" bestFit="1" customWidth="1"/>
    <col min="8012" max="8012" width="9.5703125" bestFit="1" customWidth="1"/>
    <col min="8015" max="8015" width="9.5703125" bestFit="1" customWidth="1"/>
    <col min="8224" max="8224" width="10.140625" bestFit="1" customWidth="1"/>
    <col min="8225" max="8225" width="14" customWidth="1"/>
    <col min="8226" max="8226" width="10" customWidth="1"/>
    <col min="8232" max="8232" width="10.5703125" bestFit="1" customWidth="1"/>
    <col min="8233" max="8233" width="11.42578125" bestFit="1" customWidth="1"/>
    <col min="8234" max="8234" width="9.42578125" bestFit="1" customWidth="1"/>
    <col min="8236" max="8236" width="9.5703125" bestFit="1" customWidth="1"/>
    <col min="8239" max="8239" width="9.5703125" bestFit="1" customWidth="1"/>
    <col min="8255" max="8255" width="9.5703125" bestFit="1" customWidth="1"/>
    <col min="8258" max="8258" width="9.5703125" bestFit="1" customWidth="1"/>
    <col min="8265" max="8265" width="9.5703125" bestFit="1" customWidth="1"/>
    <col min="8268" max="8268" width="9.5703125" bestFit="1" customWidth="1"/>
    <col min="8271" max="8271" width="9.5703125" bestFit="1" customWidth="1"/>
    <col min="8480" max="8480" width="10.140625" bestFit="1" customWidth="1"/>
    <col min="8481" max="8481" width="14" customWidth="1"/>
    <col min="8482" max="8482" width="10" customWidth="1"/>
    <col min="8488" max="8488" width="10.5703125" bestFit="1" customWidth="1"/>
    <col min="8489" max="8489" width="11.42578125" bestFit="1" customWidth="1"/>
    <col min="8490" max="8490" width="9.42578125" bestFit="1" customWidth="1"/>
    <col min="8492" max="8492" width="9.5703125" bestFit="1" customWidth="1"/>
    <col min="8495" max="8495" width="9.5703125" bestFit="1" customWidth="1"/>
    <col min="8511" max="8511" width="9.5703125" bestFit="1" customWidth="1"/>
    <col min="8514" max="8514" width="9.5703125" bestFit="1" customWidth="1"/>
    <col min="8521" max="8521" width="9.5703125" bestFit="1" customWidth="1"/>
    <col min="8524" max="8524" width="9.5703125" bestFit="1" customWidth="1"/>
    <col min="8527" max="8527" width="9.5703125" bestFit="1" customWidth="1"/>
    <col min="8736" max="8736" width="10.140625" bestFit="1" customWidth="1"/>
    <col min="8737" max="8737" width="14" customWidth="1"/>
    <col min="8738" max="8738" width="10" customWidth="1"/>
    <col min="8744" max="8744" width="10.5703125" bestFit="1" customWidth="1"/>
    <col min="8745" max="8745" width="11.42578125" bestFit="1" customWidth="1"/>
    <col min="8746" max="8746" width="9.42578125" bestFit="1" customWidth="1"/>
    <col min="8748" max="8748" width="9.5703125" bestFit="1" customWidth="1"/>
    <col min="8751" max="8751" width="9.5703125" bestFit="1" customWidth="1"/>
    <col min="8767" max="8767" width="9.5703125" bestFit="1" customWidth="1"/>
    <col min="8770" max="8770" width="9.5703125" bestFit="1" customWidth="1"/>
    <col min="8777" max="8777" width="9.5703125" bestFit="1" customWidth="1"/>
    <col min="8780" max="8780" width="9.5703125" bestFit="1" customWidth="1"/>
    <col min="8783" max="8783" width="9.5703125" bestFit="1" customWidth="1"/>
    <col min="8992" max="8992" width="10.140625" bestFit="1" customWidth="1"/>
    <col min="8993" max="8993" width="14" customWidth="1"/>
    <col min="8994" max="8994" width="10" customWidth="1"/>
    <col min="9000" max="9000" width="10.5703125" bestFit="1" customWidth="1"/>
    <col min="9001" max="9001" width="11.42578125" bestFit="1" customWidth="1"/>
    <col min="9002" max="9002" width="9.42578125" bestFit="1" customWidth="1"/>
    <col min="9004" max="9004" width="9.5703125" bestFit="1" customWidth="1"/>
    <col min="9007" max="9007" width="9.5703125" bestFit="1" customWidth="1"/>
    <col min="9023" max="9023" width="9.5703125" bestFit="1" customWidth="1"/>
    <col min="9026" max="9026" width="9.5703125" bestFit="1" customWidth="1"/>
    <col min="9033" max="9033" width="9.5703125" bestFit="1" customWidth="1"/>
    <col min="9036" max="9036" width="9.5703125" bestFit="1" customWidth="1"/>
    <col min="9039" max="9039" width="9.5703125" bestFit="1" customWidth="1"/>
    <col min="9248" max="9248" width="10.140625" bestFit="1" customWidth="1"/>
    <col min="9249" max="9249" width="14" customWidth="1"/>
    <col min="9250" max="9250" width="10" customWidth="1"/>
    <col min="9256" max="9256" width="10.5703125" bestFit="1" customWidth="1"/>
    <col min="9257" max="9257" width="11.42578125" bestFit="1" customWidth="1"/>
    <col min="9258" max="9258" width="9.42578125" bestFit="1" customWidth="1"/>
    <col min="9260" max="9260" width="9.5703125" bestFit="1" customWidth="1"/>
    <col min="9263" max="9263" width="9.5703125" bestFit="1" customWidth="1"/>
    <col min="9279" max="9279" width="9.5703125" bestFit="1" customWidth="1"/>
    <col min="9282" max="9282" width="9.5703125" bestFit="1" customWidth="1"/>
    <col min="9289" max="9289" width="9.5703125" bestFit="1" customWidth="1"/>
    <col min="9292" max="9292" width="9.5703125" bestFit="1" customWidth="1"/>
    <col min="9295" max="9295" width="9.5703125" bestFit="1" customWidth="1"/>
    <col min="9504" max="9504" width="10.140625" bestFit="1" customWidth="1"/>
    <col min="9505" max="9505" width="14" customWidth="1"/>
    <col min="9506" max="9506" width="10" customWidth="1"/>
    <col min="9512" max="9512" width="10.5703125" bestFit="1" customWidth="1"/>
    <col min="9513" max="9513" width="11.42578125" bestFit="1" customWidth="1"/>
    <col min="9514" max="9514" width="9.42578125" bestFit="1" customWidth="1"/>
    <col min="9516" max="9516" width="9.5703125" bestFit="1" customWidth="1"/>
    <col min="9519" max="9519" width="9.5703125" bestFit="1" customWidth="1"/>
    <col min="9535" max="9535" width="9.5703125" bestFit="1" customWidth="1"/>
    <col min="9538" max="9538" width="9.5703125" bestFit="1" customWidth="1"/>
    <col min="9545" max="9545" width="9.5703125" bestFit="1" customWidth="1"/>
    <col min="9548" max="9548" width="9.5703125" bestFit="1" customWidth="1"/>
    <col min="9551" max="9551" width="9.5703125" bestFit="1" customWidth="1"/>
    <col min="9760" max="9760" width="10.140625" bestFit="1" customWidth="1"/>
    <col min="9761" max="9761" width="14" customWidth="1"/>
    <col min="9762" max="9762" width="10" customWidth="1"/>
    <col min="9768" max="9768" width="10.5703125" bestFit="1" customWidth="1"/>
    <col min="9769" max="9769" width="11.42578125" bestFit="1" customWidth="1"/>
    <col min="9770" max="9770" width="9.42578125" bestFit="1" customWidth="1"/>
    <col min="9772" max="9772" width="9.5703125" bestFit="1" customWidth="1"/>
    <col min="9775" max="9775" width="9.5703125" bestFit="1" customWidth="1"/>
    <col min="9791" max="9791" width="9.5703125" bestFit="1" customWidth="1"/>
    <col min="9794" max="9794" width="9.5703125" bestFit="1" customWidth="1"/>
    <col min="9801" max="9801" width="9.5703125" bestFit="1" customWidth="1"/>
    <col min="9804" max="9804" width="9.5703125" bestFit="1" customWidth="1"/>
    <col min="9807" max="9807" width="9.5703125" bestFit="1" customWidth="1"/>
    <col min="10016" max="10016" width="10.140625" bestFit="1" customWidth="1"/>
    <col min="10017" max="10017" width="14" customWidth="1"/>
    <col min="10018" max="10018" width="10" customWidth="1"/>
    <col min="10024" max="10024" width="10.5703125" bestFit="1" customWidth="1"/>
    <col min="10025" max="10025" width="11.42578125" bestFit="1" customWidth="1"/>
    <col min="10026" max="10026" width="9.42578125" bestFit="1" customWidth="1"/>
    <col min="10028" max="10028" width="9.5703125" bestFit="1" customWidth="1"/>
    <col min="10031" max="10031" width="9.5703125" bestFit="1" customWidth="1"/>
    <col min="10047" max="10047" width="9.5703125" bestFit="1" customWidth="1"/>
    <col min="10050" max="10050" width="9.5703125" bestFit="1" customWidth="1"/>
    <col min="10057" max="10057" width="9.5703125" bestFit="1" customWidth="1"/>
    <col min="10060" max="10060" width="9.5703125" bestFit="1" customWidth="1"/>
    <col min="10063" max="10063" width="9.5703125" bestFit="1" customWidth="1"/>
    <col min="10272" max="10272" width="10.140625" bestFit="1" customWidth="1"/>
    <col min="10273" max="10273" width="14" customWidth="1"/>
    <col min="10274" max="10274" width="10" customWidth="1"/>
    <col min="10280" max="10280" width="10.5703125" bestFit="1" customWidth="1"/>
    <col min="10281" max="10281" width="11.42578125" bestFit="1" customWidth="1"/>
    <col min="10282" max="10282" width="9.42578125" bestFit="1" customWidth="1"/>
    <col min="10284" max="10284" width="9.5703125" bestFit="1" customWidth="1"/>
    <col min="10287" max="10287" width="9.5703125" bestFit="1" customWidth="1"/>
    <col min="10303" max="10303" width="9.5703125" bestFit="1" customWidth="1"/>
    <col min="10306" max="10306" width="9.5703125" bestFit="1" customWidth="1"/>
    <col min="10313" max="10313" width="9.5703125" bestFit="1" customWidth="1"/>
    <col min="10316" max="10316" width="9.5703125" bestFit="1" customWidth="1"/>
    <col min="10319" max="10319" width="9.5703125" bestFit="1" customWidth="1"/>
    <col min="10528" max="10528" width="10.140625" bestFit="1" customWidth="1"/>
    <col min="10529" max="10529" width="14" customWidth="1"/>
    <col min="10530" max="10530" width="10" customWidth="1"/>
    <col min="10536" max="10536" width="10.5703125" bestFit="1" customWidth="1"/>
    <col min="10537" max="10537" width="11.42578125" bestFit="1" customWidth="1"/>
    <col min="10538" max="10538" width="9.42578125" bestFit="1" customWidth="1"/>
    <col min="10540" max="10540" width="9.5703125" bestFit="1" customWidth="1"/>
    <col min="10543" max="10543" width="9.5703125" bestFit="1" customWidth="1"/>
    <col min="10559" max="10559" width="9.5703125" bestFit="1" customWidth="1"/>
    <col min="10562" max="10562" width="9.5703125" bestFit="1" customWidth="1"/>
    <col min="10569" max="10569" width="9.5703125" bestFit="1" customWidth="1"/>
    <col min="10572" max="10572" width="9.5703125" bestFit="1" customWidth="1"/>
    <col min="10575" max="10575" width="9.5703125" bestFit="1" customWidth="1"/>
    <col min="10784" max="10784" width="10.140625" bestFit="1" customWidth="1"/>
    <col min="10785" max="10785" width="14" customWidth="1"/>
    <col min="10786" max="10786" width="10" customWidth="1"/>
    <col min="10792" max="10792" width="10.5703125" bestFit="1" customWidth="1"/>
    <col min="10793" max="10793" width="11.42578125" bestFit="1" customWidth="1"/>
    <col min="10794" max="10794" width="9.42578125" bestFit="1" customWidth="1"/>
    <col min="10796" max="10796" width="9.5703125" bestFit="1" customWidth="1"/>
    <col min="10799" max="10799" width="9.5703125" bestFit="1" customWidth="1"/>
    <col min="10815" max="10815" width="9.5703125" bestFit="1" customWidth="1"/>
    <col min="10818" max="10818" width="9.5703125" bestFit="1" customWidth="1"/>
    <col min="10825" max="10825" width="9.5703125" bestFit="1" customWidth="1"/>
    <col min="10828" max="10828" width="9.5703125" bestFit="1" customWidth="1"/>
    <col min="10831" max="10831" width="9.5703125" bestFit="1" customWidth="1"/>
    <col min="11040" max="11040" width="10.140625" bestFit="1" customWidth="1"/>
    <col min="11041" max="11041" width="14" customWidth="1"/>
    <col min="11042" max="11042" width="10" customWidth="1"/>
    <col min="11048" max="11048" width="10.5703125" bestFit="1" customWidth="1"/>
    <col min="11049" max="11049" width="11.42578125" bestFit="1" customWidth="1"/>
    <col min="11050" max="11050" width="9.42578125" bestFit="1" customWidth="1"/>
    <col min="11052" max="11052" width="9.5703125" bestFit="1" customWidth="1"/>
    <col min="11055" max="11055" width="9.5703125" bestFit="1" customWidth="1"/>
    <col min="11071" max="11071" width="9.5703125" bestFit="1" customWidth="1"/>
    <col min="11074" max="11074" width="9.5703125" bestFit="1" customWidth="1"/>
    <col min="11081" max="11081" width="9.5703125" bestFit="1" customWidth="1"/>
    <col min="11084" max="11084" width="9.5703125" bestFit="1" customWidth="1"/>
    <col min="11087" max="11087" width="9.5703125" bestFit="1" customWidth="1"/>
    <col min="11296" max="11296" width="10.140625" bestFit="1" customWidth="1"/>
    <col min="11297" max="11297" width="14" customWidth="1"/>
    <col min="11298" max="11298" width="10" customWidth="1"/>
    <col min="11304" max="11304" width="10.5703125" bestFit="1" customWidth="1"/>
    <col min="11305" max="11305" width="11.42578125" bestFit="1" customWidth="1"/>
    <col min="11306" max="11306" width="9.42578125" bestFit="1" customWidth="1"/>
    <col min="11308" max="11308" width="9.5703125" bestFit="1" customWidth="1"/>
    <col min="11311" max="11311" width="9.5703125" bestFit="1" customWidth="1"/>
    <col min="11327" max="11327" width="9.5703125" bestFit="1" customWidth="1"/>
    <col min="11330" max="11330" width="9.5703125" bestFit="1" customWidth="1"/>
    <col min="11337" max="11337" width="9.5703125" bestFit="1" customWidth="1"/>
    <col min="11340" max="11340" width="9.5703125" bestFit="1" customWidth="1"/>
    <col min="11343" max="11343" width="9.5703125" bestFit="1" customWidth="1"/>
    <col min="11552" max="11552" width="10.140625" bestFit="1" customWidth="1"/>
    <col min="11553" max="11553" width="14" customWidth="1"/>
    <col min="11554" max="11554" width="10" customWidth="1"/>
    <col min="11560" max="11560" width="10.5703125" bestFit="1" customWidth="1"/>
    <col min="11561" max="11561" width="11.42578125" bestFit="1" customWidth="1"/>
    <col min="11562" max="11562" width="9.42578125" bestFit="1" customWidth="1"/>
    <col min="11564" max="11564" width="9.5703125" bestFit="1" customWidth="1"/>
    <col min="11567" max="11567" width="9.5703125" bestFit="1" customWidth="1"/>
    <col min="11583" max="11583" width="9.5703125" bestFit="1" customWidth="1"/>
    <col min="11586" max="11586" width="9.5703125" bestFit="1" customWidth="1"/>
    <col min="11593" max="11593" width="9.5703125" bestFit="1" customWidth="1"/>
    <col min="11596" max="11596" width="9.5703125" bestFit="1" customWidth="1"/>
    <col min="11599" max="11599" width="9.5703125" bestFit="1" customWidth="1"/>
    <col min="11808" max="11808" width="10.140625" bestFit="1" customWidth="1"/>
    <col min="11809" max="11809" width="14" customWidth="1"/>
    <col min="11810" max="11810" width="10" customWidth="1"/>
    <col min="11816" max="11816" width="10.5703125" bestFit="1" customWidth="1"/>
    <col min="11817" max="11817" width="11.42578125" bestFit="1" customWidth="1"/>
    <col min="11818" max="11818" width="9.42578125" bestFit="1" customWidth="1"/>
    <col min="11820" max="11820" width="9.5703125" bestFit="1" customWidth="1"/>
    <col min="11823" max="11823" width="9.5703125" bestFit="1" customWidth="1"/>
    <col min="11839" max="11839" width="9.5703125" bestFit="1" customWidth="1"/>
    <col min="11842" max="11842" width="9.5703125" bestFit="1" customWidth="1"/>
    <col min="11849" max="11849" width="9.5703125" bestFit="1" customWidth="1"/>
    <col min="11852" max="11852" width="9.5703125" bestFit="1" customWidth="1"/>
    <col min="11855" max="11855" width="9.5703125" bestFit="1" customWidth="1"/>
    <col min="12064" max="12064" width="10.140625" bestFit="1" customWidth="1"/>
    <col min="12065" max="12065" width="14" customWidth="1"/>
    <col min="12066" max="12066" width="10" customWidth="1"/>
    <col min="12072" max="12072" width="10.5703125" bestFit="1" customWidth="1"/>
    <col min="12073" max="12073" width="11.42578125" bestFit="1" customWidth="1"/>
    <col min="12074" max="12074" width="9.42578125" bestFit="1" customWidth="1"/>
    <col min="12076" max="12076" width="9.5703125" bestFit="1" customWidth="1"/>
    <col min="12079" max="12079" width="9.5703125" bestFit="1" customWidth="1"/>
    <col min="12095" max="12095" width="9.5703125" bestFit="1" customWidth="1"/>
    <col min="12098" max="12098" width="9.5703125" bestFit="1" customWidth="1"/>
    <col min="12105" max="12105" width="9.5703125" bestFit="1" customWidth="1"/>
    <col min="12108" max="12108" width="9.5703125" bestFit="1" customWidth="1"/>
    <col min="12111" max="12111" width="9.5703125" bestFit="1" customWidth="1"/>
    <col min="12320" max="12320" width="10.140625" bestFit="1" customWidth="1"/>
    <col min="12321" max="12321" width="14" customWidth="1"/>
    <col min="12322" max="12322" width="10" customWidth="1"/>
    <col min="12328" max="12328" width="10.5703125" bestFit="1" customWidth="1"/>
    <col min="12329" max="12329" width="11.42578125" bestFit="1" customWidth="1"/>
    <col min="12330" max="12330" width="9.42578125" bestFit="1" customWidth="1"/>
    <col min="12332" max="12332" width="9.5703125" bestFit="1" customWidth="1"/>
    <col min="12335" max="12335" width="9.5703125" bestFit="1" customWidth="1"/>
    <col min="12351" max="12351" width="9.5703125" bestFit="1" customWidth="1"/>
    <col min="12354" max="12354" width="9.5703125" bestFit="1" customWidth="1"/>
    <col min="12361" max="12361" width="9.5703125" bestFit="1" customWidth="1"/>
    <col min="12364" max="12364" width="9.5703125" bestFit="1" customWidth="1"/>
    <col min="12367" max="12367" width="9.5703125" bestFit="1" customWidth="1"/>
    <col min="12576" max="12576" width="10.140625" bestFit="1" customWidth="1"/>
    <col min="12577" max="12577" width="14" customWidth="1"/>
    <col min="12578" max="12578" width="10" customWidth="1"/>
    <col min="12584" max="12584" width="10.5703125" bestFit="1" customWidth="1"/>
    <col min="12585" max="12585" width="11.42578125" bestFit="1" customWidth="1"/>
    <col min="12586" max="12586" width="9.42578125" bestFit="1" customWidth="1"/>
    <col min="12588" max="12588" width="9.5703125" bestFit="1" customWidth="1"/>
    <col min="12591" max="12591" width="9.5703125" bestFit="1" customWidth="1"/>
    <col min="12607" max="12607" width="9.5703125" bestFit="1" customWidth="1"/>
    <col min="12610" max="12610" width="9.5703125" bestFit="1" customWidth="1"/>
    <col min="12617" max="12617" width="9.5703125" bestFit="1" customWidth="1"/>
    <col min="12620" max="12620" width="9.5703125" bestFit="1" customWidth="1"/>
    <col min="12623" max="12623" width="9.5703125" bestFit="1" customWidth="1"/>
    <col min="12832" max="12832" width="10.140625" bestFit="1" customWidth="1"/>
    <col min="12833" max="12833" width="14" customWidth="1"/>
    <col min="12834" max="12834" width="10" customWidth="1"/>
    <col min="12840" max="12840" width="10.5703125" bestFit="1" customWidth="1"/>
    <col min="12841" max="12841" width="11.42578125" bestFit="1" customWidth="1"/>
    <col min="12842" max="12842" width="9.42578125" bestFit="1" customWidth="1"/>
    <col min="12844" max="12844" width="9.5703125" bestFit="1" customWidth="1"/>
    <col min="12847" max="12847" width="9.5703125" bestFit="1" customWidth="1"/>
    <col min="12863" max="12863" width="9.5703125" bestFit="1" customWidth="1"/>
    <col min="12866" max="12866" width="9.5703125" bestFit="1" customWidth="1"/>
    <col min="12873" max="12873" width="9.5703125" bestFit="1" customWidth="1"/>
    <col min="12876" max="12876" width="9.5703125" bestFit="1" customWidth="1"/>
    <col min="12879" max="12879" width="9.5703125" bestFit="1" customWidth="1"/>
    <col min="13088" max="13088" width="10.140625" bestFit="1" customWidth="1"/>
    <col min="13089" max="13089" width="14" customWidth="1"/>
    <col min="13090" max="13090" width="10" customWidth="1"/>
    <col min="13096" max="13096" width="10.5703125" bestFit="1" customWidth="1"/>
    <col min="13097" max="13097" width="11.42578125" bestFit="1" customWidth="1"/>
    <col min="13098" max="13098" width="9.42578125" bestFit="1" customWidth="1"/>
    <col min="13100" max="13100" width="9.5703125" bestFit="1" customWidth="1"/>
    <col min="13103" max="13103" width="9.5703125" bestFit="1" customWidth="1"/>
    <col min="13119" max="13119" width="9.5703125" bestFit="1" customWidth="1"/>
    <col min="13122" max="13122" width="9.5703125" bestFit="1" customWidth="1"/>
    <col min="13129" max="13129" width="9.5703125" bestFit="1" customWidth="1"/>
    <col min="13132" max="13132" width="9.5703125" bestFit="1" customWidth="1"/>
    <col min="13135" max="13135" width="9.5703125" bestFit="1" customWidth="1"/>
    <col min="13344" max="13344" width="10.140625" bestFit="1" customWidth="1"/>
    <col min="13345" max="13345" width="14" customWidth="1"/>
    <col min="13346" max="13346" width="10" customWidth="1"/>
    <col min="13352" max="13352" width="10.5703125" bestFit="1" customWidth="1"/>
    <col min="13353" max="13353" width="11.42578125" bestFit="1" customWidth="1"/>
    <col min="13354" max="13354" width="9.42578125" bestFit="1" customWidth="1"/>
    <col min="13356" max="13356" width="9.5703125" bestFit="1" customWidth="1"/>
    <col min="13359" max="13359" width="9.5703125" bestFit="1" customWidth="1"/>
    <col min="13375" max="13375" width="9.5703125" bestFit="1" customWidth="1"/>
    <col min="13378" max="13378" width="9.5703125" bestFit="1" customWidth="1"/>
    <col min="13385" max="13385" width="9.5703125" bestFit="1" customWidth="1"/>
    <col min="13388" max="13388" width="9.5703125" bestFit="1" customWidth="1"/>
    <col min="13391" max="13391" width="9.5703125" bestFit="1" customWidth="1"/>
    <col min="13600" max="13600" width="10.140625" bestFit="1" customWidth="1"/>
    <col min="13601" max="13601" width="14" customWidth="1"/>
    <col min="13602" max="13602" width="10" customWidth="1"/>
    <col min="13608" max="13608" width="10.5703125" bestFit="1" customWidth="1"/>
    <col min="13609" max="13609" width="11.42578125" bestFit="1" customWidth="1"/>
    <col min="13610" max="13610" width="9.42578125" bestFit="1" customWidth="1"/>
    <col min="13612" max="13612" width="9.5703125" bestFit="1" customWidth="1"/>
    <col min="13615" max="13615" width="9.5703125" bestFit="1" customWidth="1"/>
    <col min="13631" max="13631" width="9.5703125" bestFit="1" customWidth="1"/>
    <col min="13634" max="13634" width="9.5703125" bestFit="1" customWidth="1"/>
    <col min="13641" max="13641" width="9.5703125" bestFit="1" customWidth="1"/>
    <col min="13644" max="13644" width="9.5703125" bestFit="1" customWidth="1"/>
    <col min="13647" max="13647" width="9.5703125" bestFit="1" customWidth="1"/>
    <col min="13856" max="13856" width="10.140625" bestFit="1" customWidth="1"/>
    <col min="13857" max="13857" width="14" customWidth="1"/>
    <col min="13858" max="13858" width="10" customWidth="1"/>
    <col min="13864" max="13864" width="10.5703125" bestFit="1" customWidth="1"/>
    <col min="13865" max="13865" width="11.42578125" bestFit="1" customWidth="1"/>
    <col min="13866" max="13866" width="9.42578125" bestFit="1" customWidth="1"/>
    <col min="13868" max="13868" width="9.5703125" bestFit="1" customWidth="1"/>
    <col min="13871" max="13871" width="9.5703125" bestFit="1" customWidth="1"/>
    <col min="13887" max="13887" width="9.5703125" bestFit="1" customWidth="1"/>
    <col min="13890" max="13890" width="9.5703125" bestFit="1" customWidth="1"/>
    <col min="13897" max="13897" width="9.5703125" bestFit="1" customWidth="1"/>
    <col min="13900" max="13900" width="9.5703125" bestFit="1" customWidth="1"/>
    <col min="13903" max="13903" width="9.5703125" bestFit="1" customWidth="1"/>
    <col min="14112" max="14112" width="10.140625" bestFit="1" customWidth="1"/>
    <col min="14113" max="14113" width="14" customWidth="1"/>
    <col min="14114" max="14114" width="10" customWidth="1"/>
    <col min="14120" max="14120" width="10.5703125" bestFit="1" customWidth="1"/>
    <col min="14121" max="14121" width="11.42578125" bestFit="1" customWidth="1"/>
    <col min="14122" max="14122" width="9.42578125" bestFit="1" customWidth="1"/>
    <col min="14124" max="14124" width="9.5703125" bestFit="1" customWidth="1"/>
    <col min="14127" max="14127" width="9.5703125" bestFit="1" customWidth="1"/>
    <col min="14143" max="14143" width="9.5703125" bestFit="1" customWidth="1"/>
    <col min="14146" max="14146" width="9.5703125" bestFit="1" customWidth="1"/>
    <col min="14153" max="14153" width="9.5703125" bestFit="1" customWidth="1"/>
    <col min="14156" max="14156" width="9.5703125" bestFit="1" customWidth="1"/>
    <col min="14159" max="14159" width="9.5703125" bestFit="1" customWidth="1"/>
    <col min="14368" max="14368" width="10.140625" bestFit="1" customWidth="1"/>
    <col min="14369" max="14369" width="14" customWidth="1"/>
    <col min="14370" max="14370" width="10" customWidth="1"/>
    <col min="14376" max="14376" width="10.5703125" bestFit="1" customWidth="1"/>
    <col min="14377" max="14377" width="11.42578125" bestFit="1" customWidth="1"/>
    <col min="14378" max="14378" width="9.42578125" bestFit="1" customWidth="1"/>
    <col min="14380" max="14380" width="9.5703125" bestFit="1" customWidth="1"/>
    <col min="14383" max="14383" width="9.5703125" bestFit="1" customWidth="1"/>
    <col min="14399" max="14399" width="9.5703125" bestFit="1" customWidth="1"/>
    <col min="14402" max="14402" width="9.5703125" bestFit="1" customWidth="1"/>
    <col min="14409" max="14409" width="9.5703125" bestFit="1" customWidth="1"/>
    <col min="14412" max="14412" width="9.5703125" bestFit="1" customWidth="1"/>
    <col min="14415" max="14415" width="9.5703125" bestFit="1" customWidth="1"/>
    <col min="14624" max="14624" width="10.140625" bestFit="1" customWidth="1"/>
    <col min="14625" max="14625" width="14" customWidth="1"/>
    <col min="14626" max="14626" width="10" customWidth="1"/>
    <col min="14632" max="14632" width="10.5703125" bestFit="1" customWidth="1"/>
    <col min="14633" max="14633" width="11.42578125" bestFit="1" customWidth="1"/>
    <col min="14634" max="14634" width="9.42578125" bestFit="1" customWidth="1"/>
    <col min="14636" max="14636" width="9.5703125" bestFit="1" customWidth="1"/>
    <col min="14639" max="14639" width="9.5703125" bestFit="1" customWidth="1"/>
    <col min="14655" max="14655" width="9.5703125" bestFit="1" customWidth="1"/>
    <col min="14658" max="14658" width="9.5703125" bestFit="1" customWidth="1"/>
    <col min="14665" max="14665" width="9.5703125" bestFit="1" customWidth="1"/>
    <col min="14668" max="14668" width="9.5703125" bestFit="1" customWidth="1"/>
    <col min="14671" max="14671" width="9.5703125" bestFit="1" customWidth="1"/>
    <col min="14880" max="14880" width="10.140625" bestFit="1" customWidth="1"/>
    <col min="14881" max="14881" width="14" customWidth="1"/>
    <col min="14882" max="14882" width="10" customWidth="1"/>
    <col min="14888" max="14888" width="10.5703125" bestFit="1" customWidth="1"/>
    <col min="14889" max="14889" width="11.42578125" bestFit="1" customWidth="1"/>
    <col min="14890" max="14890" width="9.42578125" bestFit="1" customWidth="1"/>
    <col min="14892" max="14892" width="9.5703125" bestFit="1" customWidth="1"/>
    <col min="14895" max="14895" width="9.5703125" bestFit="1" customWidth="1"/>
    <col min="14911" max="14911" width="9.5703125" bestFit="1" customWidth="1"/>
    <col min="14914" max="14914" width="9.5703125" bestFit="1" customWidth="1"/>
    <col min="14921" max="14921" width="9.5703125" bestFit="1" customWidth="1"/>
    <col min="14924" max="14924" width="9.5703125" bestFit="1" customWidth="1"/>
    <col min="14927" max="14927" width="9.5703125" bestFit="1" customWidth="1"/>
    <col min="15136" max="15136" width="10.140625" bestFit="1" customWidth="1"/>
    <col min="15137" max="15137" width="14" customWidth="1"/>
    <col min="15138" max="15138" width="10" customWidth="1"/>
    <col min="15144" max="15144" width="10.5703125" bestFit="1" customWidth="1"/>
    <col min="15145" max="15145" width="11.42578125" bestFit="1" customWidth="1"/>
    <col min="15146" max="15146" width="9.42578125" bestFit="1" customWidth="1"/>
    <col min="15148" max="15148" width="9.5703125" bestFit="1" customWidth="1"/>
    <col min="15151" max="15151" width="9.5703125" bestFit="1" customWidth="1"/>
    <col min="15167" max="15167" width="9.5703125" bestFit="1" customWidth="1"/>
    <col min="15170" max="15170" width="9.5703125" bestFit="1" customWidth="1"/>
    <col min="15177" max="15177" width="9.5703125" bestFit="1" customWidth="1"/>
    <col min="15180" max="15180" width="9.5703125" bestFit="1" customWidth="1"/>
    <col min="15183" max="15183" width="9.5703125" bestFit="1" customWidth="1"/>
    <col min="15392" max="15392" width="10.140625" bestFit="1" customWidth="1"/>
    <col min="15393" max="15393" width="14" customWidth="1"/>
    <col min="15394" max="15394" width="10" customWidth="1"/>
    <col min="15400" max="15400" width="10.5703125" bestFit="1" customWidth="1"/>
    <col min="15401" max="15401" width="11.42578125" bestFit="1" customWidth="1"/>
    <col min="15402" max="15402" width="9.42578125" bestFit="1" customWidth="1"/>
    <col min="15404" max="15404" width="9.5703125" bestFit="1" customWidth="1"/>
    <col min="15407" max="15407" width="9.5703125" bestFit="1" customWidth="1"/>
    <col min="15423" max="15423" width="9.5703125" bestFit="1" customWidth="1"/>
    <col min="15426" max="15426" width="9.5703125" bestFit="1" customWidth="1"/>
    <col min="15433" max="15433" width="9.5703125" bestFit="1" customWidth="1"/>
    <col min="15436" max="15436" width="9.5703125" bestFit="1" customWidth="1"/>
    <col min="15439" max="15439" width="9.5703125" bestFit="1" customWidth="1"/>
    <col min="15648" max="15648" width="10.140625" bestFit="1" customWidth="1"/>
    <col min="15649" max="15649" width="14" customWidth="1"/>
    <col min="15650" max="15650" width="10" customWidth="1"/>
    <col min="15656" max="15656" width="10.5703125" bestFit="1" customWidth="1"/>
    <col min="15657" max="15657" width="11.42578125" bestFit="1" customWidth="1"/>
    <col min="15658" max="15658" width="9.42578125" bestFit="1" customWidth="1"/>
    <col min="15660" max="15660" width="9.5703125" bestFit="1" customWidth="1"/>
    <col min="15663" max="15663" width="9.5703125" bestFit="1" customWidth="1"/>
    <col min="15679" max="15679" width="9.5703125" bestFit="1" customWidth="1"/>
    <col min="15682" max="15682" width="9.5703125" bestFit="1" customWidth="1"/>
    <col min="15689" max="15689" width="9.5703125" bestFit="1" customWidth="1"/>
    <col min="15692" max="15692" width="9.5703125" bestFit="1" customWidth="1"/>
    <col min="15695" max="15695" width="9.5703125" bestFit="1" customWidth="1"/>
    <col min="15904" max="15904" width="10.140625" bestFit="1" customWidth="1"/>
    <col min="15905" max="15905" width="14" customWidth="1"/>
    <col min="15906" max="15906" width="10" customWidth="1"/>
    <col min="15912" max="15912" width="10.5703125" bestFit="1" customWidth="1"/>
    <col min="15913" max="15913" width="11.42578125" bestFit="1" customWidth="1"/>
    <col min="15914" max="15914" width="9.42578125" bestFit="1" customWidth="1"/>
    <col min="15916" max="15916" width="9.5703125" bestFit="1" customWidth="1"/>
    <col min="15919" max="15919" width="9.5703125" bestFit="1" customWidth="1"/>
    <col min="15935" max="15935" width="9.5703125" bestFit="1" customWidth="1"/>
    <col min="15938" max="15938" width="9.5703125" bestFit="1" customWidth="1"/>
    <col min="15945" max="15945" width="9.5703125" bestFit="1" customWidth="1"/>
    <col min="15948" max="15948" width="9.5703125" bestFit="1" customWidth="1"/>
    <col min="15951" max="15951" width="9.5703125" bestFit="1" customWidth="1"/>
    <col min="16160" max="16160" width="10.140625" bestFit="1" customWidth="1"/>
    <col min="16161" max="16161" width="14" customWidth="1"/>
    <col min="16162" max="16162" width="10" customWidth="1"/>
    <col min="16168" max="16168" width="10.5703125" bestFit="1" customWidth="1"/>
    <col min="16169" max="16169" width="11.42578125" bestFit="1" customWidth="1"/>
    <col min="16170" max="16170" width="9.42578125" bestFit="1" customWidth="1"/>
    <col min="16172" max="16172" width="9.5703125" bestFit="1" customWidth="1"/>
    <col min="16175" max="16175" width="9.5703125" bestFit="1" customWidth="1"/>
    <col min="16191" max="16191" width="9.5703125" bestFit="1" customWidth="1"/>
    <col min="16194" max="16194" width="9.5703125" bestFit="1" customWidth="1"/>
    <col min="16201" max="16201" width="9.5703125" bestFit="1" customWidth="1"/>
    <col min="16204" max="16204" width="9.5703125" bestFit="1" customWidth="1"/>
    <col min="16207" max="16207" width="9.5703125" bestFit="1" customWidth="1"/>
  </cols>
  <sheetData>
    <row r="1" spans="1:119" x14ac:dyDescent="0.2">
      <c r="K1" t="s">
        <v>25</v>
      </c>
      <c r="L1" s="344" t="s">
        <v>169</v>
      </c>
      <c r="M1" s="344"/>
      <c r="N1" s="344"/>
      <c r="O1" s="345"/>
      <c r="P1" s="15" t="s">
        <v>34</v>
      </c>
      <c r="Q1" s="344" t="s">
        <v>36</v>
      </c>
      <c r="R1" s="344"/>
      <c r="S1" s="344"/>
      <c r="T1" s="344"/>
      <c r="U1" s="343" t="s">
        <v>39</v>
      </c>
      <c r="V1" s="344"/>
      <c r="W1" s="344"/>
      <c r="X1" s="344"/>
      <c r="Y1" s="343" t="s">
        <v>41</v>
      </c>
      <c r="Z1" s="344"/>
      <c r="AA1" s="344"/>
      <c r="AB1" s="344"/>
      <c r="AC1" s="343" t="s">
        <v>170</v>
      </c>
      <c r="AD1" s="344"/>
      <c r="AE1" s="344"/>
      <c r="AF1" s="344"/>
      <c r="AG1" s="11"/>
      <c r="AH1" t="s">
        <v>171</v>
      </c>
      <c r="AI1" t="s">
        <v>172</v>
      </c>
      <c r="AJ1" t="s">
        <v>59</v>
      </c>
      <c r="AK1" t="s">
        <v>59</v>
      </c>
      <c r="AL1" t="s">
        <v>173</v>
      </c>
      <c r="AM1" t="s">
        <v>54</v>
      </c>
      <c r="AN1" t="s">
        <v>174</v>
      </c>
      <c r="AO1" s="11"/>
      <c r="AP1" s="343" t="s">
        <v>175</v>
      </c>
      <c r="AQ1" s="344"/>
      <c r="AR1" s="344"/>
      <c r="AS1" s="344"/>
      <c r="AT1" s="344"/>
      <c r="AU1" s="345"/>
      <c r="AV1" s="343" t="s">
        <v>35</v>
      </c>
      <c r="AW1" s="344"/>
      <c r="AX1" s="344"/>
      <c r="AY1" s="344"/>
      <c r="AZ1" s="344"/>
      <c r="BA1" s="344"/>
      <c r="BB1" s="343" t="s">
        <v>176</v>
      </c>
      <c r="BC1" s="344"/>
      <c r="BD1" s="344"/>
      <c r="BE1" s="344"/>
      <c r="BF1" s="344"/>
      <c r="BG1" s="345"/>
      <c r="BH1" s="343" t="s">
        <v>177</v>
      </c>
      <c r="BI1" s="344"/>
      <c r="BJ1" s="344"/>
      <c r="BK1" s="344"/>
      <c r="BL1" s="344"/>
      <c r="BM1" s="345"/>
      <c r="BN1" s="344" t="s">
        <v>42</v>
      </c>
      <c r="BO1" s="344"/>
      <c r="BP1" s="344"/>
      <c r="BQ1" s="344"/>
      <c r="BR1" s="344"/>
      <c r="BS1" s="344"/>
      <c r="BT1" s="343" t="s">
        <v>178</v>
      </c>
      <c r="BU1" s="344"/>
      <c r="BV1" s="344"/>
      <c r="BW1" s="344"/>
      <c r="BX1" s="344"/>
      <c r="BY1" s="344"/>
      <c r="BZ1" s="343" t="s">
        <v>179</v>
      </c>
      <c r="CA1" s="344"/>
      <c r="CB1" s="344"/>
      <c r="CC1" s="344"/>
      <c r="CD1" s="344"/>
      <c r="CE1" s="344"/>
      <c r="CF1" s="11"/>
      <c r="CG1" s="9" t="s">
        <v>182</v>
      </c>
      <c r="CH1" s="9" t="s">
        <v>183</v>
      </c>
      <c r="CI1" s="9" t="s">
        <v>184</v>
      </c>
      <c r="CJ1" s="9" t="s">
        <v>185</v>
      </c>
      <c r="CK1" t="s">
        <v>180</v>
      </c>
      <c r="CL1" t="s">
        <v>181</v>
      </c>
      <c r="CM1" t="s">
        <v>186</v>
      </c>
      <c r="CN1" t="s">
        <v>187</v>
      </c>
      <c r="CO1" s="9" t="s">
        <v>188</v>
      </c>
      <c r="CP1" s="9" t="s">
        <v>189</v>
      </c>
      <c r="CQ1" s="11"/>
      <c r="CR1" s="344" t="s">
        <v>190</v>
      </c>
      <c r="CS1" s="344"/>
      <c r="CT1" s="344"/>
      <c r="CU1" s="343" t="s">
        <v>28</v>
      </c>
      <c r="CV1" s="344"/>
      <c r="CW1" s="345"/>
      <c r="CX1" s="11"/>
      <c r="CY1" s="344" t="s">
        <v>191</v>
      </c>
      <c r="CZ1" s="344"/>
      <c r="DA1" s="11"/>
      <c r="DB1" t="str">
        <f>+'Allocators Data'!CV16</f>
        <v>MHLS</v>
      </c>
      <c r="DC1" t="str">
        <f>+'Allocators Data'!CW16</f>
        <v>FS</v>
      </c>
      <c r="DD1" t="str">
        <f>+'Allocators Data'!CX16</f>
        <v>MOLS</v>
      </c>
      <c r="DE1" t="str">
        <f>+'Allocators Data'!CY16</f>
        <v>MS</v>
      </c>
      <c r="DF1" t="str">
        <f>+'Allocators Data'!CZ16</f>
        <v>SL</v>
      </c>
      <c r="DG1" t="str">
        <f>+'Allocators Data'!DA16</f>
        <v>TS</v>
      </c>
      <c r="DH1" t="str">
        <f>+'Allocators Data'!DB16</f>
        <v>UOLS</v>
      </c>
      <c r="DI1" t="str">
        <f>+'Allocators Data'!DC16</f>
        <v>WHTL</v>
      </c>
      <c r="DJ1" t="str">
        <f>+'Allocators Data'!DD16</f>
        <v>XLED</v>
      </c>
      <c r="DK1" s="11"/>
    </row>
    <row r="2" spans="1:119" x14ac:dyDescent="0.2">
      <c r="A2" t="s">
        <v>167</v>
      </c>
      <c r="B2" t="s">
        <v>168</v>
      </c>
      <c r="C2" t="s">
        <v>25</v>
      </c>
      <c r="D2" t="s">
        <v>27</v>
      </c>
      <c r="E2" t="s">
        <v>29</v>
      </c>
      <c r="F2" t="s">
        <v>30</v>
      </c>
      <c r="G2" t="s">
        <v>31</v>
      </c>
      <c r="L2" t="s">
        <v>217</v>
      </c>
      <c r="M2" t="s">
        <v>218</v>
      </c>
      <c r="N2" t="s">
        <v>219</v>
      </c>
      <c r="O2" s="13" t="s">
        <v>220</v>
      </c>
      <c r="P2" s="15"/>
      <c r="Q2" t="s">
        <v>217</v>
      </c>
      <c r="R2" t="s">
        <v>218</v>
      </c>
      <c r="S2" t="s">
        <v>219</v>
      </c>
      <c r="T2" s="13" t="s">
        <v>220</v>
      </c>
      <c r="U2" t="s">
        <v>217</v>
      </c>
      <c r="V2" t="s">
        <v>218</v>
      </c>
      <c r="W2" t="s">
        <v>219</v>
      </c>
      <c r="X2" s="13" t="s">
        <v>220</v>
      </c>
      <c r="Y2" t="s">
        <v>217</v>
      </c>
      <c r="Z2" t="s">
        <v>218</v>
      </c>
      <c r="AA2" t="s">
        <v>219</v>
      </c>
      <c r="AB2" s="13" t="s">
        <v>220</v>
      </c>
      <c r="AC2" t="s">
        <v>217</v>
      </c>
      <c r="AD2" t="s">
        <v>218</v>
      </c>
      <c r="AE2" t="s">
        <v>219</v>
      </c>
      <c r="AF2" t="s">
        <v>220</v>
      </c>
      <c r="AG2" s="11"/>
      <c r="AJ2" t="s">
        <v>221</v>
      </c>
      <c r="AK2" t="s">
        <v>222</v>
      </c>
      <c r="AO2" s="11"/>
      <c r="AP2" t="s">
        <v>223</v>
      </c>
      <c r="AQ2" t="s">
        <v>224</v>
      </c>
      <c r="AR2" t="s">
        <v>225</v>
      </c>
      <c r="AS2" t="s">
        <v>226</v>
      </c>
      <c r="AT2" t="s">
        <v>227</v>
      </c>
      <c r="AU2" s="13" t="s">
        <v>228</v>
      </c>
      <c r="AV2" t="s">
        <v>223</v>
      </c>
      <c r="AW2" t="s">
        <v>224</v>
      </c>
      <c r="AX2" t="s">
        <v>225</v>
      </c>
      <c r="AY2" t="s">
        <v>226</v>
      </c>
      <c r="AZ2" t="s">
        <v>227</v>
      </c>
      <c r="BA2" s="13" t="s">
        <v>228</v>
      </c>
      <c r="BB2" t="s">
        <v>223</v>
      </c>
      <c r="BC2" t="s">
        <v>224</v>
      </c>
      <c r="BD2" t="s">
        <v>225</v>
      </c>
      <c r="BE2" t="s">
        <v>226</v>
      </c>
      <c r="BF2" t="s">
        <v>227</v>
      </c>
      <c r="BG2" s="13" t="s">
        <v>228</v>
      </c>
      <c r="BH2" t="s">
        <v>223</v>
      </c>
      <c r="BI2" t="s">
        <v>224</v>
      </c>
      <c r="BJ2" t="s">
        <v>225</v>
      </c>
      <c r="BK2" t="s">
        <v>226</v>
      </c>
      <c r="BL2" t="s">
        <v>227</v>
      </c>
      <c r="BM2" s="13" t="s">
        <v>228</v>
      </c>
      <c r="BN2" t="s">
        <v>223</v>
      </c>
      <c r="BO2" t="s">
        <v>224</v>
      </c>
      <c r="BP2" t="s">
        <v>225</v>
      </c>
      <c r="BQ2" t="s">
        <v>226</v>
      </c>
      <c r="BR2" t="s">
        <v>227</v>
      </c>
      <c r="BS2" s="13" t="s">
        <v>228</v>
      </c>
      <c r="BT2" t="s">
        <v>223</v>
      </c>
      <c r="BU2" t="s">
        <v>224</v>
      </c>
      <c r="BV2" t="s">
        <v>225</v>
      </c>
      <c r="BW2" t="s">
        <v>226</v>
      </c>
      <c r="BX2" t="s">
        <v>227</v>
      </c>
      <c r="BY2" s="13" t="s">
        <v>228</v>
      </c>
      <c r="BZ2" t="s">
        <v>223</v>
      </c>
      <c r="CA2" t="s">
        <v>224</v>
      </c>
      <c r="CB2" t="s">
        <v>225</v>
      </c>
      <c r="CC2" t="s">
        <v>226</v>
      </c>
      <c r="CD2" t="s">
        <v>227</v>
      </c>
      <c r="CE2" t="s">
        <v>228</v>
      </c>
      <c r="CF2" s="11"/>
      <c r="CQ2" s="11"/>
      <c r="CR2" t="s">
        <v>223</v>
      </c>
      <c r="CS2" t="s">
        <v>224</v>
      </c>
      <c r="CT2" t="s">
        <v>229</v>
      </c>
      <c r="CU2" s="25" t="s">
        <v>223</v>
      </c>
      <c r="CV2" t="s">
        <v>224</v>
      </c>
      <c r="CW2" s="13" t="s">
        <v>229</v>
      </c>
      <c r="CX2" s="11"/>
      <c r="CY2" s="126" t="s">
        <v>230</v>
      </c>
      <c r="CZ2" s="126" t="s">
        <v>231</v>
      </c>
      <c r="DA2" s="11"/>
      <c r="DK2" s="11"/>
    </row>
    <row r="3" spans="1:119" x14ac:dyDescent="0.2">
      <c r="A3">
        <v>2025</v>
      </c>
      <c r="B3">
        <v>1</v>
      </c>
      <c r="C3" s="2">
        <f>+'DEI Sales by Revenue'!C3</f>
        <v>1152172709.819</v>
      </c>
      <c r="D3" s="2">
        <f>+'DEI Sales by Revenue'!D3</f>
        <v>539284554.20099998</v>
      </c>
      <c r="E3" s="2">
        <f>+'DEI Sales by Revenue'!E3</f>
        <v>783377912.09499991</v>
      </c>
      <c r="F3" s="2">
        <v>145731628</v>
      </c>
      <c r="G3" s="2">
        <f>+'DEI Sales by Revenue'!G3</f>
        <v>10553266.385000002</v>
      </c>
      <c r="K3" t="s">
        <v>232</v>
      </c>
      <c r="L3">
        <f>ROUND($C3*'Allocators Calc'!C3,0)</f>
        <v>0</v>
      </c>
      <c r="M3">
        <f>ROUND($C3*'Allocators Calc'!D3,0)</f>
        <v>0</v>
      </c>
      <c r="N3">
        <f>ROUND($C3*'Allocators Calc'!E3,0)</f>
        <v>0</v>
      </c>
      <c r="O3" s="3">
        <f>ROUND($C3*'Allocators Calc'!F3,0)</f>
        <v>0</v>
      </c>
      <c r="P3" s="15">
        <f>ROUND($C3*'Allocators Calc'!G3,0)</f>
        <v>0</v>
      </c>
      <c r="Q3">
        <f>ROUND($C3*'Allocators Calc'!H3,0)</f>
        <v>0</v>
      </c>
      <c r="R3">
        <f>ROUND($C3*'Allocators Calc'!I3,0)</f>
        <v>0</v>
      </c>
      <c r="S3">
        <f>ROUND($C3*'Allocators Calc'!J3,0)</f>
        <v>0</v>
      </c>
      <c r="T3" s="13">
        <f>ROUND($C3*'Allocators Calc'!K3,0)</f>
        <v>0</v>
      </c>
      <c r="U3">
        <f>ROUND($C3*'Allocators Calc'!L3,0)</f>
        <v>0</v>
      </c>
      <c r="V3">
        <f>ROUND($C3*'Allocators Calc'!M3,0)</f>
        <v>0</v>
      </c>
      <c r="W3">
        <f>ROUND($C3*'Allocators Calc'!N3,0)</f>
        <v>0</v>
      </c>
      <c r="X3" s="13">
        <f>ROUND($C3*'Allocators Calc'!O3,0)</f>
        <v>0</v>
      </c>
      <c r="Y3">
        <f>ROUND($C3*'Allocators Calc'!P3,0)</f>
        <v>0</v>
      </c>
      <c r="Z3">
        <f>ROUND($C3*'Allocators Calc'!Q3,0)</f>
        <v>0</v>
      </c>
      <c r="AA3">
        <f>ROUND($C3*'Allocators Calc'!R3,0)</f>
        <v>0</v>
      </c>
      <c r="AB3" s="13">
        <f>ROUND($C3*'Allocators Calc'!S3,0)</f>
        <v>0</v>
      </c>
      <c r="AC3">
        <f>ROUND($C3*'Allocators Calc'!T3,0)</f>
        <v>0</v>
      </c>
      <c r="AD3">
        <f>ROUND($C3*'Allocators Calc'!U3,0)</f>
        <v>0</v>
      </c>
      <c r="AE3">
        <f>ROUND($C3*'Allocators Calc'!V3,0)</f>
        <v>0</v>
      </c>
      <c r="AF3">
        <f>ROUND($C3*'Allocators Calc'!W3,0)</f>
        <v>0</v>
      </c>
      <c r="AG3" s="11"/>
      <c r="AH3">
        <f>ROUND($C3*'Allocators Calc'!Y3,0)</f>
        <v>0</v>
      </c>
      <c r="AI3">
        <f>ROUND($C3*'Allocators Calc'!Z3,0)</f>
        <v>0</v>
      </c>
      <c r="AJ3">
        <f>ROUND($C3*'Allocators Calc'!AA3,0)</f>
        <v>0</v>
      </c>
      <c r="AK3">
        <f>ROUND($C3*'Allocators Calc'!AB3,0)</f>
        <v>0</v>
      </c>
      <c r="AL3">
        <f>ROUND($C3*'Allocators Calc'!AC3,0)</f>
        <v>0</v>
      </c>
      <c r="AM3">
        <f>ROUND($C3*'Allocators Calc'!AD3,0)</f>
        <v>0</v>
      </c>
      <c r="AN3">
        <f>ROUND($C3*'Allocators Calc'!AE3,0)</f>
        <v>0</v>
      </c>
      <c r="AO3" s="11"/>
      <c r="AP3">
        <f>ROUND($C3*'Allocators Calc'!AG3,0)</f>
        <v>0</v>
      </c>
      <c r="AQ3">
        <f>ROUND($C3*'Allocators Calc'!AH3,0)</f>
        <v>0</v>
      </c>
      <c r="AR3">
        <f>ROUND($C3*'Allocators Calc'!AI3,0)</f>
        <v>0</v>
      </c>
      <c r="AS3">
        <f>ROUND($C3*'Allocators Calc'!AJ3,0)</f>
        <v>0</v>
      </c>
      <c r="AT3">
        <f>ROUND($C3*'Allocators Calc'!AK3,0)</f>
        <v>0</v>
      </c>
      <c r="AU3" s="13">
        <f>ROUND($C3*'Allocators Calc'!AL3,0)</f>
        <v>0</v>
      </c>
      <c r="AV3">
        <f>ROUND($C3*'Allocators Calc'!AM3,0)</f>
        <v>0</v>
      </c>
      <c r="AW3">
        <f>ROUND($C3*'Allocators Calc'!AN3,0)</f>
        <v>0</v>
      </c>
      <c r="AX3">
        <f>ROUND($C3*'Allocators Calc'!AO3,0)</f>
        <v>0</v>
      </c>
      <c r="AY3">
        <f>ROUND($C3*'Allocators Calc'!AP3,0)</f>
        <v>0</v>
      </c>
      <c r="AZ3">
        <f>ROUND($C3*'Allocators Calc'!AQ3,0)</f>
        <v>0</v>
      </c>
      <c r="BA3" s="13">
        <f>ROUND($C3*'Allocators Calc'!AR3,0)</f>
        <v>0</v>
      </c>
      <c r="BB3">
        <f>ROUND($C3*'Allocators Calc'!AS3,0)</f>
        <v>0</v>
      </c>
      <c r="BC3">
        <f>ROUND($C3*'Allocators Calc'!AT3,0)</f>
        <v>0</v>
      </c>
      <c r="BD3">
        <f>ROUND($C3*'Allocators Calc'!AU3,0)</f>
        <v>0</v>
      </c>
      <c r="BE3">
        <f>ROUND($C3*'Allocators Calc'!AV3,0)</f>
        <v>0</v>
      </c>
      <c r="BF3">
        <f>ROUND($C3*'Allocators Calc'!AW3,0)</f>
        <v>0</v>
      </c>
      <c r="BG3" s="13">
        <f>ROUND($C3*'Allocators Calc'!AX3,0)</f>
        <v>0</v>
      </c>
      <c r="BH3">
        <f>ROUND($C3*'Allocators Calc'!AY3,0)</f>
        <v>0</v>
      </c>
      <c r="BI3">
        <f>ROUND($C3*'Allocators Calc'!AZ3,0)</f>
        <v>0</v>
      </c>
      <c r="BJ3">
        <f>ROUND($C3*'Allocators Calc'!BA3,0)</f>
        <v>0</v>
      </c>
      <c r="BK3">
        <f>ROUND($C3*'Allocators Calc'!BB3,0)</f>
        <v>0</v>
      </c>
      <c r="BL3">
        <f>ROUND($C3*'Allocators Calc'!BC3,0)</f>
        <v>0</v>
      </c>
      <c r="BM3" s="13">
        <f>ROUND($C3*'Allocators Calc'!BD3,0)</f>
        <v>0</v>
      </c>
      <c r="BN3">
        <f>ROUND($C3*'Allocators Calc'!BE3,0)</f>
        <v>0</v>
      </c>
      <c r="BO3">
        <f>ROUND($C3*'Allocators Calc'!BF3,0)</f>
        <v>0</v>
      </c>
      <c r="BP3">
        <f>ROUND($C3*'Allocators Calc'!BG3,0)</f>
        <v>0</v>
      </c>
      <c r="BQ3">
        <f>ROUND($C3*'Allocators Calc'!BH3,0)</f>
        <v>0</v>
      </c>
      <c r="BR3">
        <f>ROUND($C3*'Allocators Calc'!BI3,0)</f>
        <v>0</v>
      </c>
      <c r="BS3" s="13">
        <f>ROUND($C3*'Allocators Calc'!BJ3,0)</f>
        <v>0</v>
      </c>
      <c r="BT3">
        <f>ROUND($C3*'Allocators Calc'!BK3,0)</f>
        <v>0</v>
      </c>
      <c r="BU3">
        <f>ROUND($C3*'Allocators Calc'!BL3,0)</f>
        <v>0</v>
      </c>
      <c r="BV3">
        <f>ROUND($C3*'Allocators Calc'!BM3,0)</f>
        <v>0</v>
      </c>
      <c r="BW3">
        <f>ROUND($C3*'Allocators Calc'!BN3,0)</f>
        <v>0</v>
      </c>
      <c r="BX3">
        <f>ROUND($C3*'Allocators Calc'!BO3,0)</f>
        <v>0</v>
      </c>
      <c r="BY3" s="13">
        <f>ROUND($C3*'Allocators Calc'!BP3,0)</f>
        <v>0</v>
      </c>
      <c r="BZ3">
        <f>ROUND($C3*'Allocators Calc'!BQ3,0)</f>
        <v>0</v>
      </c>
      <c r="CA3">
        <f>ROUND($C3*'Allocators Calc'!BR3,0)</f>
        <v>0</v>
      </c>
      <c r="CB3">
        <f>ROUND($C3*'Allocators Calc'!BS3,0)</f>
        <v>0</v>
      </c>
      <c r="CC3">
        <f>ROUND($C3*'Allocators Calc'!BT3,0)</f>
        <v>0</v>
      </c>
      <c r="CD3">
        <f>ROUND($C3*'Allocators Calc'!BU3,0)</f>
        <v>0</v>
      </c>
      <c r="CE3" s="13">
        <f>ROUND($C3*'Allocators Calc'!BV3,0)</f>
        <v>0</v>
      </c>
      <c r="CF3" s="11"/>
      <c r="CG3">
        <f>ROUND($C3*'Allocators Calc'!BX3,0)</f>
        <v>0</v>
      </c>
      <c r="CH3">
        <f>ROUND($C3*'Allocators Calc'!BY3,0)</f>
        <v>0</v>
      </c>
      <c r="CI3">
        <f>ROUND($C3*'Allocators Calc'!BZ3,0)</f>
        <v>0</v>
      </c>
      <c r="CJ3">
        <f>ROUND($C3*'Allocators Calc'!CA3,0)</f>
        <v>0</v>
      </c>
      <c r="CK3">
        <f>ROUND($C3*'Allocators Calc'!CB3,0)</f>
        <v>0</v>
      </c>
      <c r="CL3">
        <f>ROUND($C3*'Allocators Calc'!CC3,0)</f>
        <v>0</v>
      </c>
      <c r="CM3">
        <f>ROUND($C3*'Allocators Calc'!CD3,0)</f>
        <v>0</v>
      </c>
      <c r="CN3">
        <f>ROUND($C3*'Allocators Calc'!CE3,0)</f>
        <v>0</v>
      </c>
      <c r="CO3">
        <f>ROUND($C3*'Allocators Calc'!CF3,0)</f>
        <v>0</v>
      </c>
      <c r="CP3">
        <f>ROUND($C3*'Allocators Calc'!CG3,0)</f>
        <v>0</v>
      </c>
      <c r="CQ3" s="11"/>
      <c r="CR3" s="2">
        <f>ROUND($C3*'Allocators Calc'!CI3,0)</f>
        <v>254974271</v>
      </c>
      <c r="CS3" s="2">
        <f>ROUND($C3*'Allocators Calc'!CJ3,0)</f>
        <v>407727739</v>
      </c>
      <c r="CT3" s="2">
        <f>ROUND($C3*'Allocators Calc'!CK3,0)</f>
        <v>379306944</v>
      </c>
      <c r="CU3" s="2">
        <f>ROUND($C3*'Allocators Calc'!CL3,0)</f>
        <v>14310056</v>
      </c>
      <c r="CV3" s="2">
        <f>ROUND($C3*'Allocators Calc'!CM3,0)</f>
        <v>31919813</v>
      </c>
      <c r="CW3" s="2">
        <f>ROUND($C3*'Allocators Calc'!CN3,0)</f>
        <v>63933888</v>
      </c>
      <c r="CX3" s="11"/>
      <c r="CY3">
        <f>ROUND($C3*'Allocators Calc'!CP3,0)</f>
        <v>0</v>
      </c>
      <c r="CZ3">
        <f>ROUND($C3*'Allocators Calc'!CQ3,0)</f>
        <v>0</v>
      </c>
      <c r="DA3" s="22"/>
      <c r="DB3">
        <f>ROUND($C3*'Allocators Calc'!CS3,0)</f>
        <v>0</v>
      </c>
      <c r="DC3">
        <f>ROUND($C3*'Allocators Calc'!CT3,0)</f>
        <v>0</v>
      </c>
      <c r="DD3">
        <f>ROUND($C3*'Allocators Calc'!CU3,0)</f>
        <v>0</v>
      </c>
      <c r="DE3">
        <f>ROUND($C3*'Allocators Calc'!CV3,0)</f>
        <v>0</v>
      </c>
      <c r="DF3">
        <f>ROUND($C3*'Allocators Calc'!CW3,0)</f>
        <v>0</v>
      </c>
      <c r="DG3">
        <f>ROUND($C3*'Allocators Calc'!CX3,0)</f>
        <v>0</v>
      </c>
      <c r="DH3">
        <f>ROUND($C3*'Allocators Calc'!CY3,0)</f>
        <v>0</v>
      </c>
      <c r="DI3">
        <f>ROUND($C3*'Allocators Calc'!CZ3,0)</f>
        <v>0</v>
      </c>
      <c r="DJ3">
        <f>ROUND($C3*'Allocators Calc'!DA3,0)</f>
        <v>0</v>
      </c>
      <c r="DK3" s="22"/>
      <c r="DL3" s="3">
        <f t="shared" ref="DL3:DL14" si="0">SUM(L3:DJ3)</f>
        <v>1152172711</v>
      </c>
      <c r="DM3" s="3">
        <f t="shared" ref="DM3:DM14" si="1">C3</f>
        <v>1152172709.819</v>
      </c>
      <c r="DN3" s="3">
        <f>DL3-DM3</f>
        <v>1.1809999942779541</v>
      </c>
    </row>
    <row r="4" spans="1:119" x14ac:dyDescent="0.2">
      <c r="B4">
        <v>2</v>
      </c>
      <c r="C4" s="2">
        <f>+'DEI Sales by Revenue'!C4</f>
        <v>967958390.96599996</v>
      </c>
      <c r="D4" s="2">
        <f>+'DEI Sales by Revenue'!D4</f>
        <v>463339561.82499999</v>
      </c>
      <c r="E4" s="2">
        <f>+'DEI Sales by Revenue'!E4</f>
        <v>770628889.31299996</v>
      </c>
      <c r="F4" s="2">
        <v>139599913</v>
      </c>
      <c r="G4" s="2">
        <f>+'DEI Sales by Revenue'!G4</f>
        <v>10522092.395999998</v>
      </c>
      <c r="K4" t="s">
        <v>233</v>
      </c>
      <c r="L4">
        <f>ROUND($C4*'Allocators Calc'!C4,0)</f>
        <v>0</v>
      </c>
      <c r="M4">
        <f>ROUND($C4*'Allocators Calc'!D4,0)</f>
        <v>0</v>
      </c>
      <c r="N4">
        <f>ROUND($C4*'Allocators Calc'!E4,0)</f>
        <v>0</v>
      </c>
      <c r="O4" s="3">
        <f>ROUND($C4*'Allocators Calc'!F4,0)</f>
        <v>0</v>
      </c>
      <c r="P4" s="15">
        <f>ROUND($C4*'Allocators Calc'!G4,0)</f>
        <v>0</v>
      </c>
      <c r="Q4">
        <f>ROUND($C4*'Allocators Calc'!H4,0)</f>
        <v>0</v>
      </c>
      <c r="R4">
        <f>ROUND($C4*'Allocators Calc'!I4,0)</f>
        <v>0</v>
      </c>
      <c r="S4">
        <f>ROUND($C4*'Allocators Calc'!J4,0)</f>
        <v>0</v>
      </c>
      <c r="T4" s="13">
        <f>ROUND($C4*'Allocators Calc'!K4,0)</f>
        <v>0</v>
      </c>
      <c r="U4">
        <f>ROUND($C4*'Allocators Calc'!L4,0)</f>
        <v>0</v>
      </c>
      <c r="V4">
        <f>ROUND($C4*'Allocators Calc'!M4,0)</f>
        <v>0</v>
      </c>
      <c r="W4">
        <f>ROUND($C4*'Allocators Calc'!N4,0)</f>
        <v>0</v>
      </c>
      <c r="X4" s="13">
        <f>ROUND($C4*'Allocators Calc'!O4,0)</f>
        <v>0</v>
      </c>
      <c r="Y4">
        <f>ROUND($C4*'Allocators Calc'!P4,0)</f>
        <v>0</v>
      </c>
      <c r="Z4">
        <f>ROUND($C4*'Allocators Calc'!Q4,0)</f>
        <v>0</v>
      </c>
      <c r="AA4">
        <f>ROUND($C4*'Allocators Calc'!R4,0)</f>
        <v>0</v>
      </c>
      <c r="AB4" s="13">
        <f>ROUND($C4*'Allocators Calc'!S4,0)</f>
        <v>0</v>
      </c>
      <c r="AC4">
        <f>ROUND($C4*'Allocators Calc'!T4,0)</f>
        <v>0</v>
      </c>
      <c r="AD4">
        <f>ROUND($C4*'Allocators Calc'!U4,0)</f>
        <v>0</v>
      </c>
      <c r="AE4">
        <f>ROUND($C4*'Allocators Calc'!V4,0)</f>
        <v>0</v>
      </c>
      <c r="AF4">
        <f>ROUND($C4*'Allocators Calc'!W4,0)</f>
        <v>0</v>
      </c>
      <c r="AG4" s="11"/>
      <c r="AH4">
        <f>ROUND($C4*'Allocators Calc'!Y4,0)</f>
        <v>0</v>
      </c>
      <c r="AI4">
        <f>ROUND($C4*'Allocators Calc'!Z4,0)</f>
        <v>0</v>
      </c>
      <c r="AJ4">
        <f>ROUND($C4*'Allocators Calc'!AA4,0)</f>
        <v>0</v>
      </c>
      <c r="AK4">
        <f>ROUND($C4*'Allocators Calc'!AB4,0)</f>
        <v>0</v>
      </c>
      <c r="AL4">
        <f>ROUND($C4*'Allocators Calc'!AC4,0)</f>
        <v>0</v>
      </c>
      <c r="AM4">
        <f>ROUND($C4*'Allocators Calc'!AD4,0)</f>
        <v>0</v>
      </c>
      <c r="AN4">
        <f>ROUND($C4*'Allocators Calc'!AE4,0)</f>
        <v>0</v>
      </c>
      <c r="AO4" s="11"/>
      <c r="AP4">
        <f>ROUND($C4*'Allocators Calc'!AG4,0)</f>
        <v>0</v>
      </c>
      <c r="AQ4">
        <f>ROUND($C4*'Allocators Calc'!AH4,0)</f>
        <v>0</v>
      </c>
      <c r="AR4">
        <f>ROUND($C4*'Allocators Calc'!AI4,0)</f>
        <v>0</v>
      </c>
      <c r="AS4">
        <f>ROUND($C4*'Allocators Calc'!AJ4,0)</f>
        <v>0</v>
      </c>
      <c r="AT4">
        <f>ROUND($C4*'Allocators Calc'!AK4,0)</f>
        <v>0</v>
      </c>
      <c r="AU4" s="13">
        <f>ROUND($C4*'Allocators Calc'!AL4,0)</f>
        <v>0</v>
      </c>
      <c r="AV4">
        <f>ROUND($C4*'Allocators Calc'!AM4,0)</f>
        <v>0</v>
      </c>
      <c r="AW4">
        <f>ROUND($C4*'Allocators Calc'!AN4,0)</f>
        <v>0</v>
      </c>
      <c r="AX4">
        <f>ROUND($C4*'Allocators Calc'!AO4,0)</f>
        <v>0</v>
      </c>
      <c r="AY4">
        <f>ROUND($C4*'Allocators Calc'!AP4,0)</f>
        <v>0</v>
      </c>
      <c r="AZ4">
        <f>ROUND($C4*'Allocators Calc'!AQ4,0)</f>
        <v>0</v>
      </c>
      <c r="BA4" s="13">
        <f>ROUND($C4*'Allocators Calc'!AR4,0)</f>
        <v>0</v>
      </c>
      <c r="BB4">
        <f>ROUND($C4*'Allocators Calc'!AS4,0)</f>
        <v>0</v>
      </c>
      <c r="BC4">
        <f>ROUND($C4*'Allocators Calc'!AT4,0)</f>
        <v>0</v>
      </c>
      <c r="BD4">
        <f>ROUND($C4*'Allocators Calc'!AU4,0)</f>
        <v>0</v>
      </c>
      <c r="BE4">
        <f>ROUND($C4*'Allocators Calc'!AV4,0)</f>
        <v>0</v>
      </c>
      <c r="BF4">
        <f>ROUND($C4*'Allocators Calc'!AW4,0)</f>
        <v>0</v>
      </c>
      <c r="BG4" s="13">
        <f>ROUND($C4*'Allocators Calc'!AX4,0)</f>
        <v>0</v>
      </c>
      <c r="BH4">
        <f>ROUND($C4*'Allocators Calc'!AY4,0)</f>
        <v>0</v>
      </c>
      <c r="BI4">
        <f>ROUND($C4*'Allocators Calc'!AZ4,0)</f>
        <v>0</v>
      </c>
      <c r="BJ4">
        <f>ROUND($C4*'Allocators Calc'!BA4,0)</f>
        <v>0</v>
      </c>
      <c r="BK4">
        <f>ROUND($C4*'Allocators Calc'!BB4,0)</f>
        <v>0</v>
      </c>
      <c r="BL4">
        <f>ROUND($C4*'Allocators Calc'!BC4,0)</f>
        <v>0</v>
      </c>
      <c r="BM4" s="13">
        <f>ROUND($C4*'Allocators Calc'!BD4,0)</f>
        <v>0</v>
      </c>
      <c r="BN4">
        <f>ROUND($C4*'Allocators Calc'!BE4,0)</f>
        <v>0</v>
      </c>
      <c r="BO4">
        <f>ROUND($C4*'Allocators Calc'!BF4,0)</f>
        <v>0</v>
      </c>
      <c r="BP4">
        <f>ROUND($C4*'Allocators Calc'!BG4,0)</f>
        <v>0</v>
      </c>
      <c r="BQ4">
        <f>ROUND($C4*'Allocators Calc'!BH4,0)</f>
        <v>0</v>
      </c>
      <c r="BR4">
        <f>ROUND($C4*'Allocators Calc'!BI4,0)</f>
        <v>0</v>
      </c>
      <c r="BS4" s="13">
        <f>ROUND($C4*'Allocators Calc'!BJ4,0)</f>
        <v>0</v>
      </c>
      <c r="BT4">
        <f>ROUND($C4*'Allocators Calc'!BK4,0)</f>
        <v>0</v>
      </c>
      <c r="BU4">
        <f>ROUND($C4*'Allocators Calc'!BL4,0)</f>
        <v>0</v>
      </c>
      <c r="BV4">
        <f>ROUND($C4*'Allocators Calc'!BM4,0)</f>
        <v>0</v>
      </c>
      <c r="BW4">
        <f>ROUND($C4*'Allocators Calc'!BN4,0)</f>
        <v>0</v>
      </c>
      <c r="BX4">
        <f>ROUND($C4*'Allocators Calc'!BO4,0)</f>
        <v>0</v>
      </c>
      <c r="BY4" s="13">
        <f>ROUND($C4*'Allocators Calc'!BP4,0)</f>
        <v>0</v>
      </c>
      <c r="BZ4">
        <f>ROUND($C4*'Allocators Calc'!BQ4,0)</f>
        <v>0</v>
      </c>
      <c r="CA4">
        <f>ROUND($C4*'Allocators Calc'!BR4,0)</f>
        <v>0</v>
      </c>
      <c r="CB4">
        <f>ROUND($C4*'Allocators Calc'!BS4,0)</f>
        <v>0</v>
      </c>
      <c r="CC4">
        <f>ROUND($C4*'Allocators Calc'!BT4,0)</f>
        <v>0</v>
      </c>
      <c r="CD4">
        <f>ROUND($C4*'Allocators Calc'!BU4,0)</f>
        <v>0</v>
      </c>
      <c r="CE4" s="13">
        <f>ROUND($C4*'Allocators Calc'!BV4,0)</f>
        <v>0</v>
      </c>
      <c r="CF4" s="11"/>
      <c r="CG4">
        <f>ROUND($C4*'Allocators Calc'!BX4,0)</f>
        <v>0</v>
      </c>
      <c r="CH4">
        <f>ROUND($C4*'Allocators Calc'!BY4,0)</f>
        <v>0</v>
      </c>
      <c r="CI4">
        <f>ROUND($C4*'Allocators Calc'!BZ4,0)</f>
        <v>0</v>
      </c>
      <c r="CJ4">
        <f>ROUND($C4*'Allocators Calc'!CA4,0)</f>
        <v>0</v>
      </c>
      <c r="CK4">
        <f>ROUND($C4*'Allocators Calc'!CB4,0)</f>
        <v>0</v>
      </c>
      <c r="CL4">
        <f>ROUND($C4*'Allocators Calc'!CC4,0)</f>
        <v>0</v>
      </c>
      <c r="CM4">
        <f>ROUND($C4*'Allocators Calc'!CD4,0)</f>
        <v>0</v>
      </c>
      <c r="CN4">
        <f>ROUND($C4*'Allocators Calc'!CE4,0)</f>
        <v>0</v>
      </c>
      <c r="CO4">
        <f>ROUND($C4*'Allocators Calc'!CF4,0)</f>
        <v>0</v>
      </c>
      <c r="CP4">
        <f>ROUND($C4*'Allocators Calc'!CG4,0)</f>
        <v>0</v>
      </c>
      <c r="CQ4" s="11"/>
      <c r="CR4" s="2">
        <f>ROUND($C4*'Allocators Calc'!CI4,0)</f>
        <v>239137912</v>
      </c>
      <c r="CS4" s="2">
        <f>ROUND($C4*'Allocators Calc'!CJ4,0)</f>
        <v>352945056</v>
      </c>
      <c r="CT4" s="2">
        <f>ROUND($C4*'Allocators Calc'!CK4,0)</f>
        <v>284571784</v>
      </c>
      <c r="CU4" s="2">
        <f>ROUND($C4*'Allocators Calc'!CL4,0)</f>
        <v>13425987</v>
      </c>
      <c r="CV4" s="2">
        <f>ROUND($C4*'Allocators Calc'!CM4,0)</f>
        <v>29679128</v>
      </c>
      <c r="CW4" s="2">
        <f>ROUND($C4*'Allocators Calc'!CN4,0)</f>
        <v>48198525</v>
      </c>
      <c r="CX4" s="11"/>
      <c r="CY4">
        <f>ROUND($C4*'Allocators Calc'!CP4,0)</f>
        <v>0</v>
      </c>
      <c r="CZ4">
        <f>ROUND($C4*'Allocators Calc'!CQ4,0)</f>
        <v>0</v>
      </c>
      <c r="DA4" s="22"/>
      <c r="DB4">
        <f>ROUND($C4*'Allocators Calc'!CS4,0)</f>
        <v>0</v>
      </c>
      <c r="DC4">
        <f>ROUND($C4*'Allocators Calc'!CT4,0)</f>
        <v>0</v>
      </c>
      <c r="DD4">
        <f>ROUND($C4*'Allocators Calc'!CU4,0)</f>
        <v>0</v>
      </c>
      <c r="DE4">
        <f>ROUND($C4*'Allocators Calc'!CV4,0)</f>
        <v>0</v>
      </c>
      <c r="DF4">
        <f>ROUND($C4*'Allocators Calc'!CW4,0)</f>
        <v>0</v>
      </c>
      <c r="DG4">
        <f>ROUND($C4*'Allocators Calc'!CX4,0)</f>
        <v>0</v>
      </c>
      <c r="DH4">
        <f>ROUND($C4*'Allocators Calc'!CY4,0)</f>
        <v>0</v>
      </c>
      <c r="DI4">
        <f>ROUND($C4*'Allocators Calc'!CZ4,0)</f>
        <v>0</v>
      </c>
      <c r="DJ4">
        <f>ROUND($C4*'Allocators Calc'!DA4,0)</f>
        <v>0</v>
      </c>
      <c r="DK4" s="22"/>
      <c r="DL4" s="3">
        <f t="shared" si="0"/>
        <v>967958392</v>
      </c>
      <c r="DM4" s="3">
        <f t="shared" si="1"/>
        <v>967958390.96599996</v>
      </c>
      <c r="DN4" s="3">
        <f t="shared" ref="DN4:DN67" si="2">DL4-DM4</f>
        <v>1.034000039100647</v>
      </c>
    </row>
    <row r="5" spans="1:119" x14ac:dyDescent="0.2">
      <c r="B5">
        <v>3</v>
      </c>
      <c r="C5" s="2">
        <f>+'DEI Sales by Revenue'!C5</f>
        <v>791076791.36300004</v>
      </c>
      <c r="D5" s="2">
        <f>+'DEI Sales by Revenue'!D5</f>
        <v>430020745.03500003</v>
      </c>
      <c r="E5" s="2">
        <f>+'DEI Sales by Revenue'!E5</f>
        <v>736199808.04700017</v>
      </c>
      <c r="F5" s="2">
        <v>127887242</v>
      </c>
      <c r="G5" s="2">
        <f>+'DEI Sales by Revenue'!G5</f>
        <v>10469957.055</v>
      </c>
      <c r="K5" t="s">
        <v>234</v>
      </c>
      <c r="L5">
        <f>ROUND($C5*'Allocators Calc'!C5,0)</f>
        <v>0</v>
      </c>
      <c r="M5">
        <f>ROUND($C5*'Allocators Calc'!D5,0)</f>
        <v>0</v>
      </c>
      <c r="N5">
        <f>ROUND($C5*'Allocators Calc'!E5,0)</f>
        <v>0</v>
      </c>
      <c r="O5" s="3">
        <f>ROUND($C5*'Allocators Calc'!F5,0)</f>
        <v>0</v>
      </c>
      <c r="P5" s="15">
        <f>ROUND($C5*'Allocators Calc'!G5,0)</f>
        <v>0</v>
      </c>
      <c r="Q5">
        <f>ROUND($C5*'Allocators Calc'!H5,0)</f>
        <v>0</v>
      </c>
      <c r="R5">
        <f>ROUND($C5*'Allocators Calc'!I5,0)</f>
        <v>0</v>
      </c>
      <c r="S5">
        <f>ROUND($C5*'Allocators Calc'!J5,0)</f>
        <v>0</v>
      </c>
      <c r="T5" s="13">
        <f>ROUND($C5*'Allocators Calc'!K5,0)</f>
        <v>0</v>
      </c>
      <c r="U5">
        <f>ROUND($C5*'Allocators Calc'!L5,0)</f>
        <v>0</v>
      </c>
      <c r="V5">
        <f>ROUND($C5*'Allocators Calc'!M5,0)</f>
        <v>0</v>
      </c>
      <c r="W5">
        <f>ROUND($C5*'Allocators Calc'!N5,0)</f>
        <v>0</v>
      </c>
      <c r="X5" s="13">
        <f>ROUND($C5*'Allocators Calc'!O5,0)</f>
        <v>0</v>
      </c>
      <c r="Y5">
        <f>ROUND($C5*'Allocators Calc'!P5,0)</f>
        <v>0</v>
      </c>
      <c r="Z5">
        <f>ROUND($C5*'Allocators Calc'!Q5,0)</f>
        <v>0</v>
      </c>
      <c r="AA5">
        <f>ROUND($C5*'Allocators Calc'!R5,0)</f>
        <v>0</v>
      </c>
      <c r="AB5" s="13">
        <f>ROUND($C5*'Allocators Calc'!S5,0)</f>
        <v>0</v>
      </c>
      <c r="AC5">
        <f>ROUND($C5*'Allocators Calc'!T5,0)</f>
        <v>0</v>
      </c>
      <c r="AD5">
        <f>ROUND($C5*'Allocators Calc'!U5,0)</f>
        <v>0</v>
      </c>
      <c r="AE5">
        <f>ROUND($C5*'Allocators Calc'!V5,0)</f>
        <v>0</v>
      </c>
      <c r="AF5">
        <f>ROUND($C5*'Allocators Calc'!W5,0)</f>
        <v>0</v>
      </c>
      <c r="AG5" s="11"/>
      <c r="AH5">
        <f>ROUND($C5*'Allocators Calc'!Y5,0)</f>
        <v>0</v>
      </c>
      <c r="AI5">
        <f>ROUND($C5*'Allocators Calc'!Z5,0)</f>
        <v>0</v>
      </c>
      <c r="AJ5">
        <f>ROUND($C5*'Allocators Calc'!AA5,0)</f>
        <v>0</v>
      </c>
      <c r="AK5">
        <f>ROUND($C5*'Allocators Calc'!AB5,0)</f>
        <v>0</v>
      </c>
      <c r="AL5">
        <f>ROUND($C5*'Allocators Calc'!AC5,0)</f>
        <v>0</v>
      </c>
      <c r="AM5">
        <f>ROUND($C5*'Allocators Calc'!AD5,0)</f>
        <v>0</v>
      </c>
      <c r="AN5">
        <f>ROUND($C5*'Allocators Calc'!AE5,0)</f>
        <v>0</v>
      </c>
      <c r="AO5" s="11"/>
      <c r="AP5">
        <f>ROUND($C5*'Allocators Calc'!AG5,0)</f>
        <v>0</v>
      </c>
      <c r="AQ5">
        <f>ROUND($C5*'Allocators Calc'!AH5,0)</f>
        <v>0</v>
      </c>
      <c r="AR5">
        <f>ROUND($C5*'Allocators Calc'!AI5,0)</f>
        <v>0</v>
      </c>
      <c r="AS5">
        <f>ROUND($C5*'Allocators Calc'!AJ5,0)</f>
        <v>0</v>
      </c>
      <c r="AT5">
        <f>ROUND($C5*'Allocators Calc'!AK5,0)</f>
        <v>0</v>
      </c>
      <c r="AU5" s="13">
        <f>ROUND($C5*'Allocators Calc'!AL5,0)</f>
        <v>0</v>
      </c>
      <c r="AV5">
        <f>ROUND($C5*'Allocators Calc'!AM5,0)</f>
        <v>0</v>
      </c>
      <c r="AW5">
        <f>ROUND($C5*'Allocators Calc'!AN5,0)</f>
        <v>0</v>
      </c>
      <c r="AX5">
        <f>ROUND($C5*'Allocators Calc'!AO5,0)</f>
        <v>0</v>
      </c>
      <c r="AY5">
        <f>ROUND($C5*'Allocators Calc'!AP5,0)</f>
        <v>0</v>
      </c>
      <c r="AZ5">
        <f>ROUND($C5*'Allocators Calc'!AQ5,0)</f>
        <v>0</v>
      </c>
      <c r="BA5" s="13">
        <f>ROUND($C5*'Allocators Calc'!AR5,0)</f>
        <v>0</v>
      </c>
      <c r="BB5">
        <f>ROUND($C5*'Allocators Calc'!AS5,0)</f>
        <v>0</v>
      </c>
      <c r="BC5">
        <f>ROUND($C5*'Allocators Calc'!AT5,0)</f>
        <v>0</v>
      </c>
      <c r="BD5">
        <f>ROUND($C5*'Allocators Calc'!AU5,0)</f>
        <v>0</v>
      </c>
      <c r="BE5">
        <f>ROUND($C5*'Allocators Calc'!AV5,0)</f>
        <v>0</v>
      </c>
      <c r="BF5">
        <f>ROUND($C5*'Allocators Calc'!AW5,0)</f>
        <v>0</v>
      </c>
      <c r="BG5" s="13">
        <f>ROUND($C5*'Allocators Calc'!AX5,0)</f>
        <v>0</v>
      </c>
      <c r="BH5">
        <f>ROUND($C5*'Allocators Calc'!AY5,0)</f>
        <v>0</v>
      </c>
      <c r="BI5">
        <f>ROUND($C5*'Allocators Calc'!AZ5,0)</f>
        <v>0</v>
      </c>
      <c r="BJ5">
        <f>ROUND($C5*'Allocators Calc'!BA5,0)</f>
        <v>0</v>
      </c>
      <c r="BK5">
        <f>ROUND($C5*'Allocators Calc'!BB5,0)</f>
        <v>0</v>
      </c>
      <c r="BL5">
        <f>ROUND($C5*'Allocators Calc'!BC5,0)</f>
        <v>0</v>
      </c>
      <c r="BM5" s="13">
        <f>ROUND($C5*'Allocators Calc'!BD5,0)</f>
        <v>0</v>
      </c>
      <c r="BN5">
        <f>ROUND($C5*'Allocators Calc'!BE5,0)</f>
        <v>0</v>
      </c>
      <c r="BO5">
        <f>ROUND($C5*'Allocators Calc'!BF5,0)</f>
        <v>0</v>
      </c>
      <c r="BP5">
        <f>ROUND($C5*'Allocators Calc'!BG5,0)</f>
        <v>0</v>
      </c>
      <c r="BQ5">
        <f>ROUND($C5*'Allocators Calc'!BH5,0)</f>
        <v>0</v>
      </c>
      <c r="BR5">
        <f>ROUND($C5*'Allocators Calc'!BI5,0)</f>
        <v>0</v>
      </c>
      <c r="BS5" s="13">
        <f>ROUND($C5*'Allocators Calc'!BJ5,0)</f>
        <v>0</v>
      </c>
      <c r="BT5">
        <f>ROUND($C5*'Allocators Calc'!BK5,0)</f>
        <v>0</v>
      </c>
      <c r="BU5">
        <f>ROUND($C5*'Allocators Calc'!BL5,0)</f>
        <v>0</v>
      </c>
      <c r="BV5">
        <f>ROUND($C5*'Allocators Calc'!BM5,0)</f>
        <v>0</v>
      </c>
      <c r="BW5">
        <f>ROUND($C5*'Allocators Calc'!BN5,0)</f>
        <v>0</v>
      </c>
      <c r="BX5">
        <f>ROUND($C5*'Allocators Calc'!BO5,0)</f>
        <v>0</v>
      </c>
      <c r="BY5" s="13">
        <f>ROUND($C5*'Allocators Calc'!BP5,0)</f>
        <v>0</v>
      </c>
      <c r="BZ5">
        <f>ROUND($C5*'Allocators Calc'!BQ5,0)</f>
        <v>0</v>
      </c>
      <c r="CA5">
        <f>ROUND($C5*'Allocators Calc'!BR5,0)</f>
        <v>0</v>
      </c>
      <c r="CB5">
        <f>ROUND($C5*'Allocators Calc'!BS5,0)</f>
        <v>0</v>
      </c>
      <c r="CC5">
        <f>ROUND($C5*'Allocators Calc'!BT5,0)</f>
        <v>0</v>
      </c>
      <c r="CD5">
        <f>ROUND($C5*'Allocators Calc'!BU5,0)</f>
        <v>0</v>
      </c>
      <c r="CE5" s="13">
        <f>ROUND($C5*'Allocators Calc'!BV5,0)</f>
        <v>0</v>
      </c>
      <c r="CF5" s="11"/>
      <c r="CG5">
        <f>ROUND($C5*'Allocators Calc'!BX5,0)</f>
        <v>0</v>
      </c>
      <c r="CH5">
        <f>ROUND($C5*'Allocators Calc'!BY5,0)</f>
        <v>0</v>
      </c>
      <c r="CI5">
        <f>ROUND($C5*'Allocators Calc'!BZ5,0)</f>
        <v>0</v>
      </c>
      <c r="CJ5">
        <f>ROUND($C5*'Allocators Calc'!CA5,0)</f>
        <v>0</v>
      </c>
      <c r="CK5">
        <f>ROUND($C5*'Allocators Calc'!CB5,0)</f>
        <v>0</v>
      </c>
      <c r="CL5">
        <f>ROUND($C5*'Allocators Calc'!CC5,0)</f>
        <v>0</v>
      </c>
      <c r="CM5">
        <f>ROUND($C5*'Allocators Calc'!CD5,0)</f>
        <v>0</v>
      </c>
      <c r="CN5">
        <f>ROUND($C5*'Allocators Calc'!CE5,0)</f>
        <v>0</v>
      </c>
      <c r="CO5">
        <f>ROUND($C5*'Allocators Calc'!CF5,0)</f>
        <v>0</v>
      </c>
      <c r="CP5">
        <f>ROUND($C5*'Allocators Calc'!CG5,0)</f>
        <v>0</v>
      </c>
      <c r="CQ5" s="11"/>
      <c r="CR5" s="2">
        <f>ROUND($C5*'Allocators Calc'!CI5,0)</f>
        <v>228960052</v>
      </c>
      <c r="CS5" s="2">
        <f>ROUND($C5*'Allocators Calc'!CJ5,0)</f>
        <v>312825876</v>
      </c>
      <c r="CT5" s="2">
        <f>ROUND($C5*'Allocators Calc'!CK5,0)</f>
        <v>180284386</v>
      </c>
      <c r="CU5" s="2">
        <f>ROUND($C5*'Allocators Calc'!CL5,0)</f>
        <v>12968279</v>
      </c>
      <c r="CV5" s="2">
        <f>ROUND($C5*'Allocators Calc'!CM5,0)</f>
        <v>27337831</v>
      </c>
      <c r="CW5" s="2">
        <f>ROUND($C5*'Allocators Calc'!CN5,0)</f>
        <v>28700368</v>
      </c>
      <c r="CX5" s="11"/>
      <c r="CY5">
        <f>ROUND($C5*'Allocators Calc'!CP5,0)</f>
        <v>0</v>
      </c>
      <c r="CZ5">
        <f>ROUND($C5*'Allocators Calc'!CQ5,0)</f>
        <v>0</v>
      </c>
      <c r="DA5" s="22"/>
      <c r="DB5">
        <f>ROUND($C5*'Allocators Calc'!CS5,0)</f>
        <v>0</v>
      </c>
      <c r="DC5">
        <f>ROUND($C5*'Allocators Calc'!CT5,0)</f>
        <v>0</v>
      </c>
      <c r="DD5">
        <f>ROUND($C5*'Allocators Calc'!CU5,0)</f>
        <v>0</v>
      </c>
      <c r="DE5">
        <f>ROUND($C5*'Allocators Calc'!CV5,0)</f>
        <v>0</v>
      </c>
      <c r="DF5">
        <f>ROUND($C5*'Allocators Calc'!CW5,0)</f>
        <v>0</v>
      </c>
      <c r="DG5">
        <f>ROUND($C5*'Allocators Calc'!CX5,0)</f>
        <v>0</v>
      </c>
      <c r="DH5">
        <f>ROUND($C5*'Allocators Calc'!CY5,0)</f>
        <v>0</v>
      </c>
      <c r="DI5">
        <f>ROUND($C5*'Allocators Calc'!CZ5,0)</f>
        <v>0</v>
      </c>
      <c r="DJ5">
        <f>ROUND($C5*'Allocators Calc'!DA5,0)</f>
        <v>0</v>
      </c>
      <c r="DK5" s="22"/>
      <c r="DL5" s="3">
        <f t="shared" si="0"/>
        <v>791076792</v>
      </c>
      <c r="DM5" s="3">
        <f t="shared" si="1"/>
        <v>791076791.36300004</v>
      </c>
      <c r="DN5" s="3">
        <f t="shared" si="2"/>
        <v>0.63699996471405029</v>
      </c>
    </row>
    <row r="6" spans="1:119" x14ac:dyDescent="0.2">
      <c r="B6">
        <v>4</v>
      </c>
      <c r="C6" s="2">
        <f>+'DEI Sales by Revenue'!C6</f>
        <v>609081205.29799998</v>
      </c>
      <c r="D6" s="2">
        <f>+'DEI Sales by Revenue'!D6</f>
        <v>401577100.51899999</v>
      </c>
      <c r="E6" s="2">
        <f>+'DEI Sales by Revenue'!E6</f>
        <v>636008793.27999997</v>
      </c>
      <c r="F6" s="2">
        <v>114880679</v>
      </c>
      <c r="G6" s="2">
        <f>+'DEI Sales by Revenue'!G6</f>
        <v>10447180.403000001</v>
      </c>
      <c r="K6" t="s">
        <v>235</v>
      </c>
      <c r="L6">
        <f>ROUND($C6*'Allocators Calc'!C6,0)</f>
        <v>0</v>
      </c>
      <c r="M6">
        <f>ROUND($C6*'Allocators Calc'!D6,0)</f>
        <v>0</v>
      </c>
      <c r="N6">
        <f>ROUND($C6*'Allocators Calc'!E6,0)</f>
        <v>0</v>
      </c>
      <c r="O6" s="3">
        <f>ROUND($C6*'Allocators Calc'!F6,0)</f>
        <v>0</v>
      </c>
      <c r="P6" s="15">
        <f>ROUND($C6*'Allocators Calc'!G6,0)</f>
        <v>0</v>
      </c>
      <c r="Q6">
        <f>ROUND($C6*'Allocators Calc'!H6,0)</f>
        <v>0</v>
      </c>
      <c r="R6">
        <f>ROUND($C6*'Allocators Calc'!I6,0)</f>
        <v>0</v>
      </c>
      <c r="S6">
        <f>ROUND($C6*'Allocators Calc'!J6,0)</f>
        <v>0</v>
      </c>
      <c r="T6" s="13">
        <f>ROUND($C6*'Allocators Calc'!K6,0)</f>
        <v>0</v>
      </c>
      <c r="U6">
        <f>ROUND($C6*'Allocators Calc'!L6,0)</f>
        <v>0</v>
      </c>
      <c r="V6">
        <f>ROUND($C6*'Allocators Calc'!M6,0)</f>
        <v>0</v>
      </c>
      <c r="W6">
        <f>ROUND($C6*'Allocators Calc'!N6,0)</f>
        <v>0</v>
      </c>
      <c r="X6" s="13">
        <f>ROUND($C6*'Allocators Calc'!O6,0)</f>
        <v>0</v>
      </c>
      <c r="Y6">
        <f>ROUND($C6*'Allocators Calc'!P6,0)</f>
        <v>0</v>
      </c>
      <c r="Z6">
        <f>ROUND($C6*'Allocators Calc'!Q6,0)</f>
        <v>0</v>
      </c>
      <c r="AA6">
        <f>ROUND($C6*'Allocators Calc'!R6,0)</f>
        <v>0</v>
      </c>
      <c r="AB6" s="13">
        <f>ROUND($C6*'Allocators Calc'!S6,0)</f>
        <v>0</v>
      </c>
      <c r="AC6">
        <f>ROUND($C6*'Allocators Calc'!T6,0)</f>
        <v>0</v>
      </c>
      <c r="AD6">
        <f>ROUND($C6*'Allocators Calc'!U6,0)</f>
        <v>0</v>
      </c>
      <c r="AE6">
        <f>ROUND($C6*'Allocators Calc'!V6,0)</f>
        <v>0</v>
      </c>
      <c r="AF6">
        <f>ROUND($C6*'Allocators Calc'!W6,0)</f>
        <v>0</v>
      </c>
      <c r="AG6" s="11"/>
      <c r="AH6">
        <f>ROUND($C6*'Allocators Calc'!Y6,0)</f>
        <v>0</v>
      </c>
      <c r="AI6">
        <f>ROUND($C6*'Allocators Calc'!Z6,0)</f>
        <v>0</v>
      </c>
      <c r="AJ6">
        <f>ROUND($C6*'Allocators Calc'!AA6,0)</f>
        <v>0</v>
      </c>
      <c r="AK6">
        <f>ROUND($C6*'Allocators Calc'!AB6,0)</f>
        <v>0</v>
      </c>
      <c r="AL6">
        <f>ROUND($C6*'Allocators Calc'!AC6,0)</f>
        <v>0</v>
      </c>
      <c r="AM6">
        <f>ROUND($C6*'Allocators Calc'!AD6,0)</f>
        <v>0</v>
      </c>
      <c r="AN6">
        <f>ROUND($C6*'Allocators Calc'!AE6,0)</f>
        <v>0</v>
      </c>
      <c r="AO6" s="11"/>
      <c r="AP6">
        <f>ROUND($C6*'Allocators Calc'!AG6,0)</f>
        <v>0</v>
      </c>
      <c r="AQ6">
        <f>ROUND($C6*'Allocators Calc'!AH6,0)</f>
        <v>0</v>
      </c>
      <c r="AR6">
        <f>ROUND($C6*'Allocators Calc'!AI6,0)</f>
        <v>0</v>
      </c>
      <c r="AS6">
        <f>ROUND($C6*'Allocators Calc'!AJ6,0)</f>
        <v>0</v>
      </c>
      <c r="AT6">
        <f>ROUND($C6*'Allocators Calc'!AK6,0)</f>
        <v>0</v>
      </c>
      <c r="AU6" s="13">
        <f>ROUND($C6*'Allocators Calc'!AL6,0)</f>
        <v>0</v>
      </c>
      <c r="AV6">
        <f>ROUND($C6*'Allocators Calc'!AM6,0)</f>
        <v>0</v>
      </c>
      <c r="AW6">
        <f>ROUND($C6*'Allocators Calc'!AN6,0)</f>
        <v>0</v>
      </c>
      <c r="AX6">
        <f>ROUND($C6*'Allocators Calc'!AO6,0)</f>
        <v>0</v>
      </c>
      <c r="AY6">
        <f>ROUND($C6*'Allocators Calc'!AP6,0)</f>
        <v>0</v>
      </c>
      <c r="AZ6">
        <f>ROUND($C6*'Allocators Calc'!AQ6,0)</f>
        <v>0</v>
      </c>
      <c r="BA6" s="13">
        <f>ROUND($C6*'Allocators Calc'!AR6,0)</f>
        <v>0</v>
      </c>
      <c r="BB6">
        <f>ROUND($C6*'Allocators Calc'!AS6,0)</f>
        <v>0</v>
      </c>
      <c r="BC6">
        <f>ROUND($C6*'Allocators Calc'!AT6,0)</f>
        <v>0</v>
      </c>
      <c r="BD6">
        <f>ROUND($C6*'Allocators Calc'!AU6,0)</f>
        <v>0</v>
      </c>
      <c r="BE6">
        <f>ROUND($C6*'Allocators Calc'!AV6,0)</f>
        <v>0</v>
      </c>
      <c r="BF6">
        <f>ROUND($C6*'Allocators Calc'!AW6,0)</f>
        <v>0</v>
      </c>
      <c r="BG6" s="13">
        <f>ROUND($C6*'Allocators Calc'!AX6,0)</f>
        <v>0</v>
      </c>
      <c r="BH6">
        <f>ROUND($C6*'Allocators Calc'!AY6,0)</f>
        <v>0</v>
      </c>
      <c r="BI6">
        <f>ROUND($C6*'Allocators Calc'!AZ6,0)</f>
        <v>0</v>
      </c>
      <c r="BJ6">
        <f>ROUND($C6*'Allocators Calc'!BA6,0)</f>
        <v>0</v>
      </c>
      <c r="BK6">
        <f>ROUND($C6*'Allocators Calc'!BB6,0)</f>
        <v>0</v>
      </c>
      <c r="BL6">
        <f>ROUND($C6*'Allocators Calc'!BC6,0)</f>
        <v>0</v>
      </c>
      <c r="BM6" s="13">
        <f>ROUND($C6*'Allocators Calc'!BD6,0)</f>
        <v>0</v>
      </c>
      <c r="BN6">
        <f>ROUND($C6*'Allocators Calc'!BE6,0)</f>
        <v>0</v>
      </c>
      <c r="BO6">
        <f>ROUND($C6*'Allocators Calc'!BF6,0)</f>
        <v>0</v>
      </c>
      <c r="BP6">
        <f>ROUND($C6*'Allocators Calc'!BG6,0)</f>
        <v>0</v>
      </c>
      <c r="BQ6">
        <f>ROUND($C6*'Allocators Calc'!BH6,0)</f>
        <v>0</v>
      </c>
      <c r="BR6">
        <f>ROUND($C6*'Allocators Calc'!BI6,0)</f>
        <v>0</v>
      </c>
      <c r="BS6" s="13">
        <f>ROUND($C6*'Allocators Calc'!BJ6,0)</f>
        <v>0</v>
      </c>
      <c r="BT6">
        <f>ROUND($C6*'Allocators Calc'!BK6,0)</f>
        <v>0</v>
      </c>
      <c r="BU6">
        <f>ROUND($C6*'Allocators Calc'!BL6,0)</f>
        <v>0</v>
      </c>
      <c r="BV6">
        <f>ROUND($C6*'Allocators Calc'!BM6,0)</f>
        <v>0</v>
      </c>
      <c r="BW6">
        <f>ROUND($C6*'Allocators Calc'!BN6,0)</f>
        <v>0</v>
      </c>
      <c r="BX6">
        <f>ROUND($C6*'Allocators Calc'!BO6,0)</f>
        <v>0</v>
      </c>
      <c r="BY6" s="13">
        <f>ROUND($C6*'Allocators Calc'!BP6,0)</f>
        <v>0</v>
      </c>
      <c r="BZ6">
        <f>ROUND($C6*'Allocators Calc'!BQ6,0)</f>
        <v>0</v>
      </c>
      <c r="CA6">
        <f>ROUND($C6*'Allocators Calc'!BR6,0)</f>
        <v>0</v>
      </c>
      <c r="CB6">
        <f>ROUND($C6*'Allocators Calc'!BS6,0)</f>
        <v>0</v>
      </c>
      <c r="CC6">
        <f>ROUND($C6*'Allocators Calc'!BT6,0)</f>
        <v>0</v>
      </c>
      <c r="CD6">
        <f>ROUND($C6*'Allocators Calc'!BU6,0)</f>
        <v>0</v>
      </c>
      <c r="CE6" s="13">
        <f>ROUND($C6*'Allocators Calc'!BV6,0)</f>
        <v>0</v>
      </c>
      <c r="CF6" s="11"/>
      <c r="CG6">
        <f>ROUND($C6*'Allocators Calc'!BX6,0)</f>
        <v>0</v>
      </c>
      <c r="CH6">
        <f>ROUND($C6*'Allocators Calc'!BY6,0)</f>
        <v>0</v>
      </c>
      <c r="CI6">
        <f>ROUND($C6*'Allocators Calc'!BZ6,0)</f>
        <v>0</v>
      </c>
      <c r="CJ6">
        <f>ROUND($C6*'Allocators Calc'!CA6,0)</f>
        <v>0</v>
      </c>
      <c r="CK6">
        <f>ROUND($C6*'Allocators Calc'!CB6,0)</f>
        <v>0</v>
      </c>
      <c r="CL6">
        <f>ROUND($C6*'Allocators Calc'!CC6,0)</f>
        <v>0</v>
      </c>
      <c r="CM6">
        <f>ROUND($C6*'Allocators Calc'!CD6,0)</f>
        <v>0</v>
      </c>
      <c r="CN6">
        <f>ROUND($C6*'Allocators Calc'!CE6,0)</f>
        <v>0</v>
      </c>
      <c r="CO6">
        <f>ROUND($C6*'Allocators Calc'!CF6,0)</f>
        <v>0</v>
      </c>
      <c r="CP6">
        <f>ROUND($C6*'Allocators Calc'!CG6,0)</f>
        <v>0</v>
      </c>
      <c r="CQ6" s="11"/>
      <c r="CR6" s="2">
        <f>ROUND($C6*'Allocators Calc'!CI6,0)</f>
        <v>196186810</v>
      </c>
      <c r="CS6" s="2">
        <f>ROUND($C6*'Allocators Calc'!CJ6,0)</f>
        <v>252669434</v>
      </c>
      <c r="CT6" s="2">
        <f>ROUND($C6*'Allocators Calc'!CK6,0)</f>
        <v>110036267</v>
      </c>
      <c r="CU6" s="2">
        <f>ROUND($C6*'Allocators Calc'!CL6,0)</f>
        <v>11092154</v>
      </c>
      <c r="CV6" s="2">
        <f>ROUND($C6*'Allocators Calc'!CM6,0)</f>
        <v>22191119</v>
      </c>
      <c r="CW6" s="2">
        <f>ROUND($C6*'Allocators Calc'!CN6,0)</f>
        <v>16905423</v>
      </c>
      <c r="CX6" s="11"/>
      <c r="CY6">
        <f>ROUND($C6*'Allocators Calc'!CP6,0)</f>
        <v>0</v>
      </c>
      <c r="CZ6">
        <f>ROUND($C6*'Allocators Calc'!CQ6,0)</f>
        <v>0</v>
      </c>
      <c r="DA6" s="22"/>
      <c r="DB6">
        <f>ROUND($C6*'Allocators Calc'!CS6,0)</f>
        <v>0</v>
      </c>
      <c r="DC6">
        <f>ROUND($C6*'Allocators Calc'!CT6,0)</f>
        <v>0</v>
      </c>
      <c r="DD6">
        <f>ROUND($C6*'Allocators Calc'!CU6,0)</f>
        <v>0</v>
      </c>
      <c r="DE6">
        <f>ROUND($C6*'Allocators Calc'!CV6,0)</f>
        <v>0</v>
      </c>
      <c r="DF6">
        <f>ROUND($C6*'Allocators Calc'!CW6,0)</f>
        <v>0</v>
      </c>
      <c r="DG6">
        <f>ROUND($C6*'Allocators Calc'!CX6,0)</f>
        <v>0</v>
      </c>
      <c r="DH6">
        <f>ROUND($C6*'Allocators Calc'!CY6,0)</f>
        <v>0</v>
      </c>
      <c r="DI6">
        <f>ROUND($C6*'Allocators Calc'!CZ6,0)</f>
        <v>0</v>
      </c>
      <c r="DJ6">
        <f>ROUND($C6*'Allocators Calc'!DA6,0)</f>
        <v>0</v>
      </c>
      <c r="DK6" s="22"/>
      <c r="DL6" s="3">
        <f t="shared" si="0"/>
        <v>609081207</v>
      </c>
      <c r="DM6" s="3">
        <f t="shared" si="1"/>
        <v>609081205.29799998</v>
      </c>
      <c r="DN6" s="3">
        <f t="shared" si="2"/>
        <v>1.7020000219345093</v>
      </c>
    </row>
    <row r="7" spans="1:119" x14ac:dyDescent="0.2">
      <c r="B7">
        <v>5</v>
      </c>
      <c r="C7" s="2">
        <f>+'DEI Sales by Revenue'!C7</f>
        <v>566562044.19200003</v>
      </c>
      <c r="D7" s="2">
        <f>+'DEI Sales by Revenue'!D7</f>
        <v>444327068.20899999</v>
      </c>
      <c r="E7" s="2">
        <f>+'DEI Sales by Revenue'!E7</f>
        <v>777556086.5</v>
      </c>
      <c r="F7" s="2">
        <v>132581164</v>
      </c>
      <c r="G7" s="2">
        <f>+'DEI Sales by Revenue'!G7</f>
        <v>10416170.598999999</v>
      </c>
      <c r="K7" t="s">
        <v>236</v>
      </c>
      <c r="L7">
        <f>ROUND($C7*'Allocators Calc'!C7,0)</f>
        <v>0</v>
      </c>
      <c r="M7">
        <f>ROUND($C7*'Allocators Calc'!D7,0)</f>
        <v>0</v>
      </c>
      <c r="N7">
        <f>ROUND($C7*'Allocators Calc'!E7,0)</f>
        <v>0</v>
      </c>
      <c r="O7" s="3">
        <f>ROUND($C7*'Allocators Calc'!F7,0)</f>
        <v>0</v>
      </c>
      <c r="P7" s="15">
        <f>ROUND($C7*'Allocators Calc'!G7,0)</f>
        <v>0</v>
      </c>
      <c r="Q7">
        <f>ROUND($C7*'Allocators Calc'!H7,0)</f>
        <v>0</v>
      </c>
      <c r="R7">
        <f>ROUND($C7*'Allocators Calc'!I7,0)</f>
        <v>0</v>
      </c>
      <c r="S7">
        <f>ROUND($C7*'Allocators Calc'!J7,0)</f>
        <v>0</v>
      </c>
      <c r="T7" s="13">
        <f>ROUND($C7*'Allocators Calc'!K7,0)</f>
        <v>0</v>
      </c>
      <c r="U7">
        <f>ROUND($C7*'Allocators Calc'!L7,0)</f>
        <v>0</v>
      </c>
      <c r="V7">
        <f>ROUND($C7*'Allocators Calc'!M7,0)</f>
        <v>0</v>
      </c>
      <c r="W7">
        <f>ROUND($C7*'Allocators Calc'!N7,0)</f>
        <v>0</v>
      </c>
      <c r="X7" s="13">
        <f>ROUND($C7*'Allocators Calc'!O7,0)</f>
        <v>0</v>
      </c>
      <c r="Y7">
        <f>ROUND($C7*'Allocators Calc'!P7,0)</f>
        <v>0</v>
      </c>
      <c r="Z7">
        <f>ROUND($C7*'Allocators Calc'!Q7,0)</f>
        <v>0</v>
      </c>
      <c r="AA7">
        <f>ROUND($C7*'Allocators Calc'!R7,0)</f>
        <v>0</v>
      </c>
      <c r="AB7" s="13">
        <f>ROUND($C7*'Allocators Calc'!S7,0)</f>
        <v>0</v>
      </c>
      <c r="AC7">
        <f>ROUND($C7*'Allocators Calc'!T7,0)</f>
        <v>0</v>
      </c>
      <c r="AD7">
        <f>ROUND($C7*'Allocators Calc'!U7,0)</f>
        <v>0</v>
      </c>
      <c r="AE7">
        <f>ROUND($C7*'Allocators Calc'!V7,0)</f>
        <v>0</v>
      </c>
      <c r="AF7">
        <f>ROUND($C7*'Allocators Calc'!W7,0)</f>
        <v>0</v>
      </c>
      <c r="AG7" s="11"/>
      <c r="AH7">
        <f>ROUND($C7*'Allocators Calc'!Y7,0)</f>
        <v>0</v>
      </c>
      <c r="AI7">
        <f>ROUND($C7*'Allocators Calc'!Z7,0)</f>
        <v>0</v>
      </c>
      <c r="AJ7">
        <f>ROUND($C7*'Allocators Calc'!AA7,0)</f>
        <v>0</v>
      </c>
      <c r="AK7">
        <f>ROUND($C7*'Allocators Calc'!AB7,0)</f>
        <v>0</v>
      </c>
      <c r="AL7">
        <f>ROUND($C7*'Allocators Calc'!AC7,0)</f>
        <v>0</v>
      </c>
      <c r="AM7">
        <f>ROUND($C7*'Allocators Calc'!AD7,0)</f>
        <v>0</v>
      </c>
      <c r="AN7">
        <f>ROUND($C7*'Allocators Calc'!AE7,0)</f>
        <v>0</v>
      </c>
      <c r="AO7" s="11"/>
      <c r="AP7">
        <f>ROUND($C7*'Allocators Calc'!AG7,0)</f>
        <v>0</v>
      </c>
      <c r="AQ7">
        <f>ROUND($C7*'Allocators Calc'!AH7,0)</f>
        <v>0</v>
      </c>
      <c r="AR7">
        <f>ROUND($C7*'Allocators Calc'!AI7,0)</f>
        <v>0</v>
      </c>
      <c r="AS7">
        <f>ROUND($C7*'Allocators Calc'!AJ7,0)</f>
        <v>0</v>
      </c>
      <c r="AT7">
        <f>ROUND($C7*'Allocators Calc'!AK7,0)</f>
        <v>0</v>
      </c>
      <c r="AU7" s="13">
        <f>ROUND($C7*'Allocators Calc'!AL7,0)</f>
        <v>0</v>
      </c>
      <c r="AV7">
        <f>ROUND($C7*'Allocators Calc'!AM7,0)</f>
        <v>0</v>
      </c>
      <c r="AW7">
        <f>ROUND($C7*'Allocators Calc'!AN7,0)</f>
        <v>0</v>
      </c>
      <c r="AX7">
        <f>ROUND($C7*'Allocators Calc'!AO7,0)</f>
        <v>0</v>
      </c>
      <c r="AY7">
        <f>ROUND($C7*'Allocators Calc'!AP7,0)</f>
        <v>0</v>
      </c>
      <c r="AZ7">
        <f>ROUND($C7*'Allocators Calc'!AQ7,0)</f>
        <v>0</v>
      </c>
      <c r="BA7" s="13">
        <f>ROUND($C7*'Allocators Calc'!AR7,0)</f>
        <v>0</v>
      </c>
      <c r="BB7">
        <f>ROUND($C7*'Allocators Calc'!AS7,0)</f>
        <v>0</v>
      </c>
      <c r="BC7">
        <f>ROUND($C7*'Allocators Calc'!AT7,0)</f>
        <v>0</v>
      </c>
      <c r="BD7">
        <f>ROUND($C7*'Allocators Calc'!AU7,0)</f>
        <v>0</v>
      </c>
      <c r="BE7">
        <f>ROUND($C7*'Allocators Calc'!AV7,0)</f>
        <v>0</v>
      </c>
      <c r="BF7">
        <f>ROUND($C7*'Allocators Calc'!AW7,0)</f>
        <v>0</v>
      </c>
      <c r="BG7" s="13">
        <f>ROUND($C7*'Allocators Calc'!AX7,0)</f>
        <v>0</v>
      </c>
      <c r="BH7">
        <f>ROUND($C7*'Allocators Calc'!AY7,0)</f>
        <v>0</v>
      </c>
      <c r="BI7">
        <f>ROUND($C7*'Allocators Calc'!AZ7,0)</f>
        <v>0</v>
      </c>
      <c r="BJ7">
        <f>ROUND($C7*'Allocators Calc'!BA7,0)</f>
        <v>0</v>
      </c>
      <c r="BK7">
        <f>ROUND($C7*'Allocators Calc'!BB7,0)</f>
        <v>0</v>
      </c>
      <c r="BL7">
        <f>ROUND($C7*'Allocators Calc'!BC7,0)</f>
        <v>0</v>
      </c>
      <c r="BM7" s="13">
        <f>ROUND($C7*'Allocators Calc'!BD7,0)</f>
        <v>0</v>
      </c>
      <c r="BN7">
        <f>ROUND($C7*'Allocators Calc'!BE7,0)</f>
        <v>0</v>
      </c>
      <c r="BO7">
        <f>ROUND($C7*'Allocators Calc'!BF7,0)</f>
        <v>0</v>
      </c>
      <c r="BP7">
        <f>ROUND($C7*'Allocators Calc'!BG7,0)</f>
        <v>0</v>
      </c>
      <c r="BQ7">
        <f>ROUND($C7*'Allocators Calc'!BH7,0)</f>
        <v>0</v>
      </c>
      <c r="BR7">
        <f>ROUND($C7*'Allocators Calc'!BI7,0)</f>
        <v>0</v>
      </c>
      <c r="BS7" s="13">
        <f>ROUND($C7*'Allocators Calc'!BJ7,0)</f>
        <v>0</v>
      </c>
      <c r="BT7">
        <f>ROUND($C7*'Allocators Calc'!BK7,0)</f>
        <v>0</v>
      </c>
      <c r="BU7">
        <f>ROUND($C7*'Allocators Calc'!BL7,0)</f>
        <v>0</v>
      </c>
      <c r="BV7">
        <f>ROUND($C7*'Allocators Calc'!BM7,0)</f>
        <v>0</v>
      </c>
      <c r="BW7">
        <f>ROUND($C7*'Allocators Calc'!BN7,0)</f>
        <v>0</v>
      </c>
      <c r="BX7">
        <f>ROUND($C7*'Allocators Calc'!BO7,0)</f>
        <v>0</v>
      </c>
      <c r="BY7" s="13">
        <f>ROUND($C7*'Allocators Calc'!BP7,0)</f>
        <v>0</v>
      </c>
      <c r="BZ7">
        <f>ROUND($C7*'Allocators Calc'!BQ7,0)</f>
        <v>0</v>
      </c>
      <c r="CA7">
        <f>ROUND($C7*'Allocators Calc'!BR7,0)</f>
        <v>0</v>
      </c>
      <c r="CB7">
        <f>ROUND($C7*'Allocators Calc'!BS7,0)</f>
        <v>0</v>
      </c>
      <c r="CC7">
        <f>ROUND($C7*'Allocators Calc'!BT7,0)</f>
        <v>0</v>
      </c>
      <c r="CD7">
        <f>ROUND($C7*'Allocators Calc'!BU7,0)</f>
        <v>0</v>
      </c>
      <c r="CE7" s="13">
        <f>ROUND($C7*'Allocators Calc'!BV7,0)</f>
        <v>0</v>
      </c>
      <c r="CF7" s="11"/>
      <c r="CG7">
        <f>ROUND($C7*'Allocators Calc'!BX7,0)</f>
        <v>0</v>
      </c>
      <c r="CH7">
        <f>ROUND($C7*'Allocators Calc'!BY7,0)</f>
        <v>0</v>
      </c>
      <c r="CI7">
        <f>ROUND($C7*'Allocators Calc'!BZ7,0)</f>
        <v>0</v>
      </c>
      <c r="CJ7">
        <f>ROUND($C7*'Allocators Calc'!CA7,0)</f>
        <v>0</v>
      </c>
      <c r="CK7">
        <f>ROUND($C7*'Allocators Calc'!CB7,0)</f>
        <v>0</v>
      </c>
      <c r="CL7">
        <f>ROUND($C7*'Allocators Calc'!CC7,0)</f>
        <v>0</v>
      </c>
      <c r="CM7">
        <f>ROUND($C7*'Allocators Calc'!CD7,0)</f>
        <v>0</v>
      </c>
      <c r="CN7">
        <f>ROUND($C7*'Allocators Calc'!CE7,0)</f>
        <v>0</v>
      </c>
      <c r="CO7">
        <f>ROUND($C7*'Allocators Calc'!CF7,0)</f>
        <v>0</v>
      </c>
      <c r="CP7">
        <f>ROUND($C7*'Allocators Calc'!CG7,0)</f>
        <v>0</v>
      </c>
      <c r="CQ7" s="11"/>
      <c r="CR7" s="2">
        <f>ROUND($C7*'Allocators Calc'!CI7,0)</f>
        <v>212452720</v>
      </c>
      <c r="CS7" s="2">
        <f>ROUND($C7*'Allocators Calc'!CJ7,0)</f>
        <v>246723598</v>
      </c>
      <c r="CT7" s="2">
        <f>ROUND($C7*'Allocators Calc'!CK7,0)</f>
        <v>66063893</v>
      </c>
      <c r="CU7" s="2">
        <f>ROUND($C7*'Allocators Calc'!CL7,0)</f>
        <v>11993974</v>
      </c>
      <c r="CV7" s="2">
        <f>ROUND($C7*'Allocators Calc'!CM7,0)</f>
        <v>20888611</v>
      </c>
      <c r="CW7" s="2">
        <f>ROUND($C7*'Allocators Calc'!CN7,0)</f>
        <v>8439248</v>
      </c>
      <c r="CX7" s="11"/>
      <c r="CY7">
        <f>ROUND($C7*'Allocators Calc'!CP7,0)</f>
        <v>0</v>
      </c>
      <c r="CZ7">
        <f>ROUND($C7*'Allocators Calc'!CQ7,0)</f>
        <v>0</v>
      </c>
      <c r="DA7" s="22"/>
      <c r="DB7">
        <f>ROUND($C7*'Allocators Calc'!CS7,0)</f>
        <v>0</v>
      </c>
      <c r="DC7">
        <f>ROUND($C7*'Allocators Calc'!CT7,0)</f>
        <v>0</v>
      </c>
      <c r="DD7">
        <f>ROUND($C7*'Allocators Calc'!CU7,0)</f>
        <v>0</v>
      </c>
      <c r="DE7">
        <f>ROUND($C7*'Allocators Calc'!CV7,0)</f>
        <v>0</v>
      </c>
      <c r="DF7">
        <f>ROUND($C7*'Allocators Calc'!CW7,0)</f>
        <v>0</v>
      </c>
      <c r="DG7">
        <f>ROUND($C7*'Allocators Calc'!CX7,0)</f>
        <v>0</v>
      </c>
      <c r="DH7">
        <f>ROUND($C7*'Allocators Calc'!CY7,0)</f>
        <v>0</v>
      </c>
      <c r="DI7">
        <f>ROUND($C7*'Allocators Calc'!CZ7,0)</f>
        <v>0</v>
      </c>
      <c r="DJ7">
        <f>ROUND($C7*'Allocators Calc'!DA7,0)</f>
        <v>0</v>
      </c>
      <c r="DK7" s="22"/>
      <c r="DL7" s="3">
        <f t="shared" si="0"/>
        <v>566562044</v>
      </c>
      <c r="DM7" s="3">
        <f t="shared" si="1"/>
        <v>566562044.19200003</v>
      </c>
      <c r="DN7" s="3">
        <f t="shared" si="2"/>
        <v>-0.19200003147125244</v>
      </c>
    </row>
    <row r="8" spans="1:119" x14ac:dyDescent="0.2">
      <c r="B8">
        <v>6</v>
      </c>
      <c r="C8" s="2">
        <f>+'DEI Sales by Revenue'!C8</f>
        <v>681083350.40799999</v>
      </c>
      <c r="D8" s="2">
        <f>+'DEI Sales by Revenue'!D8</f>
        <v>550874177.66700006</v>
      </c>
      <c r="E8" s="2">
        <f>+'DEI Sales by Revenue'!E8</f>
        <v>826592471.73300004</v>
      </c>
      <c r="F8" s="2">
        <v>152692623</v>
      </c>
      <c r="G8" s="2">
        <f>+'DEI Sales by Revenue'!G8</f>
        <v>10412961.192</v>
      </c>
      <c r="K8" t="s">
        <v>237</v>
      </c>
      <c r="L8">
        <f>ROUND($C8*'Allocators Calc'!C8,0)</f>
        <v>0</v>
      </c>
      <c r="M8">
        <f>ROUND($C8*'Allocators Calc'!D8,0)</f>
        <v>0</v>
      </c>
      <c r="N8">
        <f>ROUND($C8*'Allocators Calc'!E8,0)</f>
        <v>0</v>
      </c>
      <c r="O8" s="3">
        <f>ROUND($C8*'Allocators Calc'!F8,0)</f>
        <v>0</v>
      </c>
      <c r="P8" s="15">
        <f>ROUND($C8*'Allocators Calc'!G8,0)</f>
        <v>0</v>
      </c>
      <c r="Q8">
        <f>ROUND($C8*'Allocators Calc'!H8,0)</f>
        <v>0</v>
      </c>
      <c r="R8">
        <f>ROUND($C8*'Allocators Calc'!I8,0)</f>
        <v>0</v>
      </c>
      <c r="S8">
        <f>ROUND($C8*'Allocators Calc'!J8,0)</f>
        <v>0</v>
      </c>
      <c r="T8" s="13">
        <f>ROUND($C8*'Allocators Calc'!K8,0)</f>
        <v>0</v>
      </c>
      <c r="U8">
        <f>ROUND($C8*'Allocators Calc'!L8,0)</f>
        <v>0</v>
      </c>
      <c r="V8">
        <f>ROUND($C8*'Allocators Calc'!M8,0)</f>
        <v>0</v>
      </c>
      <c r="W8">
        <f>ROUND($C8*'Allocators Calc'!N8,0)</f>
        <v>0</v>
      </c>
      <c r="X8" s="13">
        <f>ROUND($C8*'Allocators Calc'!O8,0)</f>
        <v>0</v>
      </c>
      <c r="Y8">
        <f>ROUND($C8*'Allocators Calc'!P8,0)</f>
        <v>0</v>
      </c>
      <c r="Z8">
        <f>ROUND($C8*'Allocators Calc'!Q8,0)</f>
        <v>0</v>
      </c>
      <c r="AA8">
        <f>ROUND($C8*'Allocators Calc'!R8,0)</f>
        <v>0</v>
      </c>
      <c r="AB8" s="13">
        <f>ROUND($C8*'Allocators Calc'!S8,0)</f>
        <v>0</v>
      </c>
      <c r="AC8">
        <f>ROUND($C8*'Allocators Calc'!T8,0)</f>
        <v>0</v>
      </c>
      <c r="AD8">
        <f>ROUND($C8*'Allocators Calc'!U8,0)</f>
        <v>0</v>
      </c>
      <c r="AE8">
        <f>ROUND($C8*'Allocators Calc'!V8,0)</f>
        <v>0</v>
      </c>
      <c r="AF8">
        <f>ROUND($C8*'Allocators Calc'!W8,0)</f>
        <v>0</v>
      </c>
      <c r="AG8" s="11"/>
      <c r="AH8">
        <f>ROUND($C8*'Allocators Calc'!Y8,0)</f>
        <v>0</v>
      </c>
      <c r="AI8">
        <f>ROUND($C8*'Allocators Calc'!Z8,0)</f>
        <v>0</v>
      </c>
      <c r="AJ8">
        <f>ROUND($C8*'Allocators Calc'!AA8,0)</f>
        <v>0</v>
      </c>
      <c r="AK8">
        <f>ROUND($C8*'Allocators Calc'!AB8,0)</f>
        <v>0</v>
      </c>
      <c r="AL8">
        <f>ROUND($C8*'Allocators Calc'!AC8,0)</f>
        <v>0</v>
      </c>
      <c r="AM8">
        <f>ROUND($C8*'Allocators Calc'!AD8,0)</f>
        <v>0</v>
      </c>
      <c r="AN8">
        <f>ROUND($C8*'Allocators Calc'!AE8,0)</f>
        <v>0</v>
      </c>
      <c r="AO8" s="11"/>
      <c r="AP8">
        <f>ROUND($C8*'Allocators Calc'!AG8,0)</f>
        <v>0</v>
      </c>
      <c r="AQ8">
        <f>ROUND($C8*'Allocators Calc'!AH8,0)</f>
        <v>0</v>
      </c>
      <c r="AR8">
        <f>ROUND($C8*'Allocators Calc'!AI8,0)</f>
        <v>0</v>
      </c>
      <c r="AS8">
        <f>ROUND($C8*'Allocators Calc'!AJ8,0)</f>
        <v>0</v>
      </c>
      <c r="AT8">
        <f>ROUND($C8*'Allocators Calc'!AK8,0)</f>
        <v>0</v>
      </c>
      <c r="AU8" s="13">
        <f>ROUND($C8*'Allocators Calc'!AL8,0)</f>
        <v>0</v>
      </c>
      <c r="AV8">
        <f>ROUND($C8*'Allocators Calc'!AM8,0)</f>
        <v>0</v>
      </c>
      <c r="AW8">
        <f>ROUND($C8*'Allocators Calc'!AN8,0)</f>
        <v>0</v>
      </c>
      <c r="AX8">
        <f>ROUND($C8*'Allocators Calc'!AO8,0)</f>
        <v>0</v>
      </c>
      <c r="AY8">
        <f>ROUND($C8*'Allocators Calc'!AP8,0)</f>
        <v>0</v>
      </c>
      <c r="AZ8">
        <f>ROUND($C8*'Allocators Calc'!AQ8,0)</f>
        <v>0</v>
      </c>
      <c r="BA8" s="13">
        <f>ROUND($C8*'Allocators Calc'!AR8,0)</f>
        <v>0</v>
      </c>
      <c r="BB8">
        <f>ROUND($C8*'Allocators Calc'!AS8,0)</f>
        <v>0</v>
      </c>
      <c r="BC8">
        <f>ROUND($C8*'Allocators Calc'!AT8,0)</f>
        <v>0</v>
      </c>
      <c r="BD8">
        <f>ROUND($C8*'Allocators Calc'!AU8,0)</f>
        <v>0</v>
      </c>
      <c r="BE8">
        <f>ROUND($C8*'Allocators Calc'!AV8,0)</f>
        <v>0</v>
      </c>
      <c r="BF8">
        <f>ROUND($C8*'Allocators Calc'!AW8,0)</f>
        <v>0</v>
      </c>
      <c r="BG8" s="13">
        <f>ROUND($C8*'Allocators Calc'!AX8,0)</f>
        <v>0</v>
      </c>
      <c r="BH8">
        <f>ROUND($C8*'Allocators Calc'!AY8,0)</f>
        <v>0</v>
      </c>
      <c r="BI8">
        <f>ROUND($C8*'Allocators Calc'!AZ8,0)</f>
        <v>0</v>
      </c>
      <c r="BJ8">
        <f>ROUND($C8*'Allocators Calc'!BA8,0)</f>
        <v>0</v>
      </c>
      <c r="BK8">
        <f>ROUND($C8*'Allocators Calc'!BB8,0)</f>
        <v>0</v>
      </c>
      <c r="BL8">
        <f>ROUND($C8*'Allocators Calc'!BC8,0)</f>
        <v>0</v>
      </c>
      <c r="BM8" s="13">
        <f>ROUND($C8*'Allocators Calc'!BD8,0)</f>
        <v>0</v>
      </c>
      <c r="BN8">
        <f>ROUND($C8*'Allocators Calc'!BE8,0)</f>
        <v>0</v>
      </c>
      <c r="BO8">
        <f>ROUND($C8*'Allocators Calc'!BF8,0)</f>
        <v>0</v>
      </c>
      <c r="BP8">
        <f>ROUND($C8*'Allocators Calc'!BG8,0)</f>
        <v>0</v>
      </c>
      <c r="BQ8">
        <f>ROUND($C8*'Allocators Calc'!BH8,0)</f>
        <v>0</v>
      </c>
      <c r="BR8">
        <f>ROUND($C8*'Allocators Calc'!BI8,0)</f>
        <v>0</v>
      </c>
      <c r="BS8" s="13">
        <f>ROUND($C8*'Allocators Calc'!BJ8,0)</f>
        <v>0</v>
      </c>
      <c r="BT8">
        <f>ROUND($C8*'Allocators Calc'!BK8,0)</f>
        <v>0</v>
      </c>
      <c r="BU8">
        <f>ROUND($C8*'Allocators Calc'!BL8,0)</f>
        <v>0</v>
      </c>
      <c r="BV8">
        <f>ROUND($C8*'Allocators Calc'!BM8,0)</f>
        <v>0</v>
      </c>
      <c r="BW8">
        <f>ROUND($C8*'Allocators Calc'!BN8,0)</f>
        <v>0</v>
      </c>
      <c r="BX8">
        <f>ROUND($C8*'Allocators Calc'!BO8,0)</f>
        <v>0</v>
      </c>
      <c r="BY8" s="13">
        <f>ROUND($C8*'Allocators Calc'!BP8,0)</f>
        <v>0</v>
      </c>
      <c r="BZ8">
        <f>ROUND($C8*'Allocators Calc'!BQ8,0)</f>
        <v>0</v>
      </c>
      <c r="CA8">
        <f>ROUND($C8*'Allocators Calc'!BR8,0)</f>
        <v>0</v>
      </c>
      <c r="CB8">
        <f>ROUND($C8*'Allocators Calc'!BS8,0)</f>
        <v>0</v>
      </c>
      <c r="CC8">
        <f>ROUND($C8*'Allocators Calc'!BT8,0)</f>
        <v>0</v>
      </c>
      <c r="CD8">
        <f>ROUND($C8*'Allocators Calc'!BU8,0)</f>
        <v>0</v>
      </c>
      <c r="CE8" s="13">
        <f>ROUND($C8*'Allocators Calc'!BV8,0)</f>
        <v>0</v>
      </c>
      <c r="CF8" s="11"/>
      <c r="CG8">
        <f>ROUND($C8*'Allocators Calc'!BX8,0)</f>
        <v>0</v>
      </c>
      <c r="CH8">
        <f>ROUND($C8*'Allocators Calc'!BY8,0)</f>
        <v>0</v>
      </c>
      <c r="CI8">
        <f>ROUND($C8*'Allocators Calc'!BZ8,0)</f>
        <v>0</v>
      </c>
      <c r="CJ8">
        <f>ROUND($C8*'Allocators Calc'!CA8,0)</f>
        <v>0</v>
      </c>
      <c r="CK8">
        <f>ROUND($C8*'Allocators Calc'!CB8,0)</f>
        <v>0</v>
      </c>
      <c r="CL8">
        <f>ROUND($C8*'Allocators Calc'!CC8,0)</f>
        <v>0</v>
      </c>
      <c r="CM8">
        <f>ROUND($C8*'Allocators Calc'!CD8,0)</f>
        <v>0</v>
      </c>
      <c r="CN8">
        <f>ROUND($C8*'Allocators Calc'!CE8,0)</f>
        <v>0</v>
      </c>
      <c r="CO8">
        <f>ROUND($C8*'Allocators Calc'!CF8,0)</f>
        <v>0</v>
      </c>
      <c r="CP8">
        <f>ROUND($C8*'Allocators Calc'!CG8,0)</f>
        <v>0</v>
      </c>
      <c r="CQ8" s="11"/>
      <c r="CR8" s="2">
        <f>ROUND($C8*'Allocators Calc'!CI8,0)</f>
        <v>208754367</v>
      </c>
      <c r="CS8" s="2">
        <f>ROUND($C8*'Allocators Calc'!CJ8,0)</f>
        <v>300175537</v>
      </c>
      <c r="CT8" s="2">
        <f>ROUND($C8*'Allocators Calc'!CK8,0)</f>
        <v>129422841</v>
      </c>
      <c r="CU8" s="2">
        <f>ROUND($C8*'Allocators Calc'!CL8,0)</f>
        <v>11506239</v>
      </c>
      <c r="CV8" s="2">
        <f>ROUND($C8*'Allocators Calc'!CM8,0)</f>
        <v>20109426</v>
      </c>
      <c r="CW8" s="2">
        <f>ROUND($C8*'Allocators Calc'!CN8,0)</f>
        <v>11114941</v>
      </c>
      <c r="CX8" s="11"/>
      <c r="CY8">
        <f>ROUND($C8*'Allocators Calc'!CP8,0)</f>
        <v>0</v>
      </c>
      <c r="CZ8">
        <f>ROUND($C8*'Allocators Calc'!CQ8,0)</f>
        <v>0</v>
      </c>
      <c r="DA8" s="22"/>
      <c r="DB8">
        <f>ROUND($C8*'Allocators Calc'!CS8,0)</f>
        <v>0</v>
      </c>
      <c r="DC8">
        <f>ROUND($C8*'Allocators Calc'!CT8,0)</f>
        <v>0</v>
      </c>
      <c r="DD8">
        <f>ROUND($C8*'Allocators Calc'!CU8,0)</f>
        <v>0</v>
      </c>
      <c r="DE8">
        <f>ROUND($C8*'Allocators Calc'!CV8,0)</f>
        <v>0</v>
      </c>
      <c r="DF8">
        <f>ROUND($C8*'Allocators Calc'!CW8,0)</f>
        <v>0</v>
      </c>
      <c r="DG8">
        <f>ROUND($C8*'Allocators Calc'!CX8,0)</f>
        <v>0</v>
      </c>
      <c r="DH8">
        <f>ROUND($C8*'Allocators Calc'!CY8,0)</f>
        <v>0</v>
      </c>
      <c r="DI8">
        <f>ROUND($C8*'Allocators Calc'!CZ8,0)</f>
        <v>0</v>
      </c>
      <c r="DJ8">
        <f>ROUND($C8*'Allocators Calc'!DA8,0)</f>
        <v>0</v>
      </c>
      <c r="DK8" s="22"/>
      <c r="DL8" s="3">
        <f t="shared" si="0"/>
        <v>681083351</v>
      </c>
      <c r="DM8" s="3">
        <f t="shared" si="1"/>
        <v>681083350.40799999</v>
      </c>
      <c r="DN8" s="3">
        <f t="shared" si="2"/>
        <v>0.59200000762939453</v>
      </c>
    </row>
    <row r="9" spans="1:119" x14ac:dyDescent="0.2">
      <c r="B9">
        <v>7</v>
      </c>
      <c r="C9" s="2">
        <f>+'DEI Sales by Revenue'!C9</f>
        <v>856413533.68700004</v>
      </c>
      <c r="D9" s="2">
        <f>+'DEI Sales by Revenue'!D9</f>
        <v>548247058.44000006</v>
      </c>
      <c r="E9" s="2">
        <f>+'DEI Sales by Revenue'!E9</f>
        <v>739550621.86699998</v>
      </c>
      <c r="F9" s="2">
        <v>170736987</v>
      </c>
      <c r="G9" s="2">
        <f>+'DEI Sales by Revenue'!G9</f>
        <v>10409352.014</v>
      </c>
      <c r="K9" t="s">
        <v>238</v>
      </c>
      <c r="L9">
        <f>ROUND($C9*'Allocators Calc'!C9,0)</f>
        <v>0</v>
      </c>
      <c r="M9">
        <f>ROUND($C9*'Allocators Calc'!D9,0)</f>
        <v>0</v>
      </c>
      <c r="N9">
        <f>ROUND($C9*'Allocators Calc'!E9,0)</f>
        <v>0</v>
      </c>
      <c r="O9" s="3">
        <f>ROUND($C9*'Allocators Calc'!F9,0)</f>
        <v>0</v>
      </c>
      <c r="P9" s="15">
        <f>ROUND($C9*'Allocators Calc'!G9,0)</f>
        <v>0</v>
      </c>
      <c r="Q9">
        <f>ROUND($C9*'Allocators Calc'!H9,0)</f>
        <v>0</v>
      </c>
      <c r="R9">
        <f>ROUND($C9*'Allocators Calc'!I9,0)</f>
        <v>0</v>
      </c>
      <c r="S9">
        <f>ROUND($C9*'Allocators Calc'!J9,0)</f>
        <v>0</v>
      </c>
      <c r="T9" s="13">
        <f>ROUND($C9*'Allocators Calc'!K9,0)</f>
        <v>0</v>
      </c>
      <c r="U9">
        <f>ROUND($C9*'Allocators Calc'!L9,0)</f>
        <v>0</v>
      </c>
      <c r="V9">
        <f>ROUND($C9*'Allocators Calc'!M9,0)</f>
        <v>0</v>
      </c>
      <c r="W9">
        <f>ROUND($C9*'Allocators Calc'!N9,0)</f>
        <v>0</v>
      </c>
      <c r="X9" s="13">
        <f>ROUND($C9*'Allocators Calc'!O9,0)</f>
        <v>0</v>
      </c>
      <c r="Y9">
        <f>ROUND($C9*'Allocators Calc'!P9,0)</f>
        <v>0</v>
      </c>
      <c r="Z9">
        <f>ROUND($C9*'Allocators Calc'!Q9,0)</f>
        <v>0</v>
      </c>
      <c r="AA9">
        <f>ROUND($C9*'Allocators Calc'!R9,0)</f>
        <v>0</v>
      </c>
      <c r="AB9" s="13">
        <f>ROUND($C9*'Allocators Calc'!S9,0)</f>
        <v>0</v>
      </c>
      <c r="AC9">
        <f>ROUND($C9*'Allocators Calc'!T9,0)</f>
        <v>0</v>
      </c>
      <c r="AD9">
        <f>ROUND($C9*'Allocators Calc'!U9,0)</f>
        <v>0</v>
      </c>
      <c r="AE9">
        <f>ROUND($C9*'Allocators Calc'!V9,0)</f>
        <v>0</v>
      </c>
      <c r="AF9">
        <f>ROUND($C9*'Allocators Calc'!W9,0)</f>
        <v>0</v>
      </c>
      <c r="AG9" s="11"/>
      <c r="AH9">
        <f>ROUND($C9*'Allocators Calc'!Y9,0)</f>
        <v>0</v>
      </c>
      <c r="AI9">
        <f>ROUND($C9*'Allocators Calc'!Z9,0)</f>
        <v>0</v>
      </c>
      <c r="AJ9">
        <f>ROUND($C9*'Allocators Calc'!AA9,0)</f>
        <v>0</v>
      </c>
      <c r="AK9">
        <f>ROUND($C9*'Allocators Calc'!AB9,0)</f>
        <v>0</v>
      </c>
      <c r="AL9">
        <f>ROUND($C9*'Allocators Calc'!AC9,0)</f>
        <v>0</v>
      </c>
      <c r="AM9">
        <f>ROUND($C9*'Allocators Calc'!AD9,0)</f>
        <v>0</v>
      </c>
      <c r="AN9">
        <f>ROUND($C9*'Allocators Calc'!AE9,0)</f>
        <v>0</v>
      </c>
      <c r="AO9" s="11"/>
      <c r="AP9">
        <f>ROUND($C9*'Allocators Calc'!AG9,0)</f>
        <v>0</v>
      </c>
      <c r="AQ9">
        <f>ROUND($C9*'Allocators Calc'!AH9,0)</f>
        <v>0</v>
      </c>
      <c r="AR9">
        <f>ROUND($C9*'Allocators Calc'!AI9,0)</f>
        <v>0</v>
      </c>
      <c r="AS9">
        <f>ROUND($C9*'Allocators Calc'!AJ9,0)</f>
        <v>0</v>
      </c>
      <c r="AT9">
        <f>ROUND($C9*'Allocators Calc'!AK9,0)</f>
        <v>0</v>
      </c>
      <c r="AU9" s="13">
        <f>ROUND($C9*'Allocators Calc'!AL9,0)</f>
        <v>0</v>
      </c>
      <c r="AV9">
        <f>ROUND($C9*'Allocators Calc'!AM9,0)</f>
        <v>0</v>
      </c>
      <c r="AW9">
        <f>ROUND($C9*'Allocators Calc'!AN9,0)</f>
        <v>0</v>
      </c>
      <c r="AX9">
        <f>ROUND($C9*'Allocators Calc'!AO9,0)</f>
        <v>0</v>
      </c>
      <c r="AY9">
        <f>ROUND($C9*'Allocators Calc'!AP9,0)</f>
        <v>0</v>
      </c>
      <c r="AZ9">
        <f>ROUND($C9*'Allocators Calc'!AQ9,0)</f>
        <v>0</v>
      </c>
      <c r="BA9" s="13">
        <f>ROUND($C9*'Allocators Calc'!AR9,0)</f>
        <v>0</v>
      </c>
      <c r="BB9">
        <f>ROUND($C9*'Allocators Calc'!AS9,0)</f>
        <v>0</v>
      </c>
      <c r="BC9">
        <f>ROUND($C9*'Allocators Calc'!AT9,0)</f>
        <v>0</v>
      </c>
      <c r="BD9">
        <f>ROUND($C9*'Allocators Calc'!AU9,0)</f>
        <v>0</v>
      </c>
      <c r="BE9">
        <f>ROUND($C9*'Allocators Calc'!AV9,0)</f>
        <v>0</v>
      </c>
      <c r="BF9">
        <f>ROUND($C9*'Allocators Calc'!AW9,0)</f>
        <v>0</v>
      </c>
      <c r="BG9" s="13">
        <f>ROUND($C9*'Allocators Calc'!AX9,0)</f>
        <v>0</v>
      </c>
      <c r="BH9">
        <f>ROUND($C9*'Allocators Calc'!AY9,0)</f>
        <v>0</v>
      </c>
      <c r="BI9">
        <f>ROUND($C9*'Allocators Calc'!AZ9,0)</f>
        <v>0</v>
      </c>
      <c r="BJ9">
        <f>ROUND($C9*'Allocators Calc'!BA9,0)</f>
        <v>0</v>
      </c>
      <c r="BK9">
        <f>ROUND($C9*'Allocators Calc'!BB9,0)</f>
        <v>0</v>
      </c>
      <c r="BL9">
        <f>ROUND($C9*'Allocators Calc'!BC9,0)</f>
        <v>0</v>
      </c>
      <c r="BM9" s="13">
        <f>ROUND($C9*'Allocators Calc'!BD9,0)</f>
        <v>0</v>
      </c>
      <c r="BN9">
        <f>ROUND($C9*'Allocators Calc'!BE9,0)</f>
        <v>0</v>
      </c>
      <c r="BO9">
        <f>ROUND($C9*'Allocators Calc'!BF9,0)</f>
        <v>0</v>
      </c>
      <c r="BP9">
        <f>ROUND($C9*'Allocators Calc'!BG9,0)</f>
        <v>0</v>
      </c>
      <c r="BQ9">
        <f>ROUND($C9*'Allocators Calc'!BH9,0)</f>
        <v>0</v>
      </c>
      <c r="BR9">
        <f>ROUND($C9*'Allocators Calc'!BI9,0)</f>
        <v>0</v>
      </c>
      <c r="BS9" s="13">
        <f>ROUND($C9*'Allocators Calc'!BJ9,0)</f>
        <v>0</v>
      </c>
      <c r="BT9">
        <f>ROUND($C9*'Allocators Calc'!BK9,0)</f>
        <v>0</v>
      </c>
      <c r="BU9">
        <f>ROUND($C9*'Allocators Calc'!BL9,0)</f>
        <v>0</v>
      </c>
      <c r="BV9">
        <f>ROUND($C9*'Allocators Calc'!BM9,0)</f>
        <v>0</v>
      </c>
      <c r="BW9">
        <f>ROUND($C9*'Allocators Calc'!BN9,0)</f>
        <v>0</v>
      </c>
      <c r="BX9">
        <f>ROUND($C9*'Allocators Calc'!BO9,0)</f>
        <v>0</v>
      </c>
      <c r="BY9" s="13">
        <f>ROUND($C9*'Allocators Calc'!BP9,0)</f>
        <v>0</v>
      </c>
      <c r="BZ9">
        <f>ROUND($C9*'Allocators Calc'!BQ9,0)</f>
        <v>0</v>
      </c>
      <c r="CA9">
        <f>ROUND($C9*'Allocators Calc'!BR9,0)</f>
        <v>0</v>
      </c>
      <c r="CB9">
        <f>ROUND($C9*'Allocators Calc'!BS9,0)</f>
        <v>0</v>
      </c>
      <c r="CC9">
        <f>ROUND($C9*'Allocators Calc'!BT9,0)</f>
        <v>0</v>
      </c>
      <c r="CD9">
        <f>ROUND($C9*'Allocators Calc'!BU9,0)</f>
        <v>0</v>
      </c>
      <c r="CE9" s="13">
        <f>ROUND($C9*'Allocators Calc'!BV9,0)</f>
        <v>0</v>
      </c>
      <c r="CF9" s="11"/>
      <c r="CG9">
        <f>ROUND($C9*'Allocators Calc'!BX9,0)</f>
        <v>0</v>
      </c>
      <c r="CH9">
        <f>ROUND($C9*'Allocators Calc'!BY9,0)</f>
        <v>0</v>
      </c>
      <c r="CI9">
        <f>ROUND($C9*'Allocators Calc'!BZ9,0)</f>
        <v>0</v>
      </c>
      <c r="CJ9">
        <f>ROUND($C9*'Allocators Calc'!CA9,0)</f>
        <v>0</v>
      </c>
      <c r="CK9">
        <f>ROUND($C9*'Allocators Calc'!CB9,0)</f>
        <v>0</v>
      </c>
      <c r="CL9">
        <f>ROUND($C9*'Allocators Calc'!CC9,0)</f>
        <v>0</v>
      </c>
      <c r="CM9">
        <f>ROUND($C9*'Allocators Calc'!CD9,0)</f>
        <v>0</v>
      </c>
      <c r="CN9">
        <f>ROUND($C9*'Allocators Calc'!CE9,0)</f>
        <v>0</v>
      </c>
      <c r="CO9">
        <f>ROUND($C9*'Allocators Calc'!CF9,0)</f>
        <v>0</v>
      </c>
      <c r="CP9">
        <f>ROUND($C9*'Allocators Calc'!CG9,0)</f>
        <v>0</v>
      </c>
      <c r="CQ9" s="11"/>
      <c r="CR9" s="2">
        <f>ROUND($C9*'Allocators Calc'!CI9,0)</f>
        <v>233288127</v>
      </c>
      <c r="CS9" s="2">
        <f>ROUND($C9*'Allocators Calc'!CJ9,0)</f>
        <v>373611429</v>
      </c>
      <c r="CT9" s="2">
        <f>ROUND($C9*'Allocators Calc'!CK9,0)</f>
        <v>198944733</v>
      </c>
      <c r="CU9" s="2">
        <f>ROUND($C9*'Allocators Calc'!CL9,0)</f>
        <v>12670382</v>
      </c>
      <c r="CV9" s="2">
        <f>ROUND($C9*'Allocators Calc'!CM9,0)</f>
        <v>23383888</v>
      </c>
      <c r="CW9" s="2">
        <f>ROUND($C9*'Allocators Calc'!CN9,0)</f>
        <v>14514975</v>
      </c>
      <c r="CX9" s="11"/>
      <c r="CY9">
        <f>ROUND($C9*'Allocators Calc'!CP9,0)</f>
        <v>0</v>
      </c>
      <c r="CZ9">
        <f>ROUND($C9*'Allocators Calc'!CQ9,0)</f>
        <v>0</v>
      </c>
      <c r="DA9" s="22"/>
      <c r="DB9">
        <f>ROUND($C9*'Allocators Calc'!CS9,0)</f>
        <v>0</v>
      </c>
      <c r="DC9">
        <f>ROUND($C9*'Allocators Calc'!CT9,0)</f>
        <v>0</v>
      </c>
      <c r="DD9">
        <f>ROUND($C9*'Allocators Calc'!CU9,0)</f>
        <v>0</v>
      </c>
      <c r="DE9">
        <f>ROUND($C9*'Allocators Calc'!CV9,0)</f>
        <v>0</v>
      </c>
      <c r="DF9">
        <f>ROUND($C9*'Allocators Calc'!CW9,0)</f>
        <v>0</v>
      </c>
      <c r="DG9">
        <f>ROUND($C9*'Allocators Calc'!CX9,0)</f>
        <v>0</v>
      </c>
      <c r="DH9">
        <f>ROUND($C9*'Allocators Calc'!CY9,0)</f>
        <v>0</v>
      </c>
      <c r="DI9">
        <f>ROUND($C9*'Allocators Calc'!CZ9,0)</f>
        <v>0</v>
      </c>
      <c r="DJ9">
        <f>ROUND($C9*'Allocators Calc'!DA9,0)</f>
        <v>0</v>
      </c>
      <c r="DK9" s="22"/>
      <c r="DL9" s="3">
        <f t="shared" si="0"/>
        <v>856413534</v>
      </c>
      <c r="DM9" s="3">
        <f t="shared" si="1"/>
        <v>856413533.68700004</v>
      </c>
      <c r="DN9" s="3">
        <f t="shared" si="2"/>
        <v>0.31299996376037598</v>
      </c>
    </row>
    <row r="10" spans="1:119" x14ac:dyDescent="0.2">
      <c r="B10">
        <v>8</v>
      </c>
      <c r="C10" s="2">
        <f>+'DEI Sales by Revenue'!C10</f>
        <v>833557253.92299998</v>
      </c>
      <c r="D10" s="2">
        <f>+'DEI Sales by Revenue'!D10</f>
        <v>555888180.699</v>
      </c>
      <c r="E10" s="2">
        <f>+'DEI Sales by Revenue'!E10</f>
        <v>793954584.79999995</v>
      </c>
      <c r="F10" s="2">
        <v>158876699</v>
      </c>
      <c r="G10" s="2">
        <f>+'DEI Sales by Revenue'!G10</f>
        <v>10441292.794</v>
      </c>
      <c r="K10" t="s">
        <v>239</v>
      </c>
      <c r="L10">
        <f>ROUND($C10*'Allocators Calc'!C10,0)</f>
        <v>0</v>
      </c>
      <c r="M10">
        <f>ROUND($C10*'Allocators Calc'!D10,0)</f>
        <v>0</v>
      </c>
      <c r="N10">
        <f>ROUND($C10*'Allocators Calc'!E10,0)</f>
        <v>0</v>
      </c>
      <c r="O10" s="3">
        <f>ROUND($C10*'Allocators Calc'!F10,0)</f>
        <v>0</v>
      </c>
      <c r="P10" s="15">
        <f>ROUND($C10*'Allocators Calc'!G10,0)</f>
        <v>0</v>
      </c>
      <c r="Q10">
        <f>ROUND($C10*'Allocators Calc'!H10,0)</f>
        <v>0</v>
      </c>
      <c r="R10">
        <f>ROUND($C10*'Allocators Calc'!I10,0)</f>
        <v>0</v>
      </c>
      <c r="S10">
        <f>ROUND($C10*'Allocators Calc'!J10,0)</f>
        <v>0</v>
      </c>
      <c r="T10" s="13">
        <f>ROUND($C10*'Allocators Calc'!K10,0)</f>
        <v>0</v>
      </c>
      <c r="U10">
        <f>ROUND($C10*'Allocators Calc'!L10,0)</f>
        <v>0</v>
      </c>
      <c r="V10">
        <f>ROUND($C10*'Allocators Calc'!M10,0)</f>
        <v>0</v>
      </c>
      <c r="W10">
        <f>ROUND($C10*'Allocators Calc'!N10,0)</f>
        <v>0</v>
      </c>
      <c r="X10" s="13">
        <f>ROUND($C10*'Allocators Calc'!O10,0)</f>
        <v>0</v>
      </c>
      <c r="Y10">
        <f>ROUND($C10*'Allocators Calc'!P10,0)</f>
        <v>0</v>
      </c>
      <c r="Z10">
        <f>ROUND($C10*'Allocators Calc'!Q10,0)</f>
        <v>0</v>
      </c>
      <c r="AA10">
        <f>ROUND($C10*'Allocators Calc'!R10,0)</f>
        <v>0</v>
      </c>
      <c r="AB10" s="13">
        <f>ROUND($C10*'Allocators Calc'!S10,0)</f>
        <v>0</v>
      </c>
      <c r="AC10">
        <f>ROUND($C10*'Allocators Calc'!T10,0)</f>
        <v>0</v>
      </c>
      <c r="AD10">
        <f>ROUND($C10*'Allocators Calc'!U10,0)</f>
        <v>0</v>
      </c>
      <c r="AE10">
        <f>ROUND($C10*'Allocators Calc'!V10,0)</f>
        <v>0</v>
      </c>
      <c r="AF10">
        <f>ROUND($C10*'Allocators Calc'!W10,0)</f>
        <v>0</v>
      </c>
      <c r="AG10" s="11"/>
      <c r="AH10">
        <f>ROUND($C10*'Allocators Calc'!Y10,0)</f>
        <v>0</v>
      </c>
      <c r="AI10">
        <f>ROUND($C10*'Allocators Calc'!Z10,0)</f>
        <v>0</v>
      </c>
      <c r="AJ10">
        <f>ROUND($C10*'Allocators Calc'!AA10,0)</f>
        <v>0</v>
      </c>
      <c r="AK10">
        <f>ROUND($C10*'Allocators Calc'!AB10,0)</f>
        <v>0</v>
      </c>
      <c r="AL10">
        <f>ROUND($C10*'Allocators Calc'!AC10,0)</f>
        <v>0</v>
      </c>
      <c r="AM10">
        <f>ROUND($C10*'Allocators Calc'!AD10,0)</f>
        <v>0</v>
      </c>
      <c r="AN10">
        <f>ROUND($C10*'Allocators Calc'!AE10,0)</f>
        <v>0</v>
      </c>
      <c r="AO10" s="11"/>
      <c r="AP10">
        <f>ROUND($C10*'Allocators Calc'!AG10,0)</f>
        <v>0</v>
      </c>
      <c r="AQ10">
        <f>ROUND($C10*'Allocators Calc'!AH10,0)</f>
        <v>0</v>
      </c>
      <c r="AR10">
        <f>ROUND($C10*'Allocators Calc'!AI10,0)</f>
        <v>0</v>
      </c>
      <c r="AS10">
        <f>ROUND($C10*'Allocators Calc'!AJ10,0)</f>
        <v>0</v>
      </c>
      <c r="AT10">
        <f>ROUND($C10*'Allocators Calc'!AK10,0)</f>
        <v>0</v>
      </c>
      <c r="AU10" s="13">
        <f>ROUND($C10*'Allocators Calc'!AL10,0)</f>
        <v>0</v>
      </c>
      <c r="AV10">
        <f>ROUND($C10*'Allocators Calc'!AM10,0)</f>
        <v>0</v>
      </c>
      <c r="AW10">
        <f>ROUND($C10*'Allocators Calc'!AN10,0)</f>
        <v>0</v>
      </c>
      <c r="AX10">
        <f>ROUND($C10*'Allocators Calc'!AO10,0)</f>
        <v>0</v>
      </c>
      <c r="AY10">
        <f>ROUND($C10*'Allocators Calc'!AP10,0)</f>
        <v>0</v>
      </c>
      <c r="AZ10">
        <f>ROUND($C10*'Allocators Calc'!AQ10,0)</f>
        <v>0</v>
      </c>
      <c r="BA10" s="13">
        <f>ROUND($C10*'Allocators Calc'!AR10,0)</f>
        <v>0</v>
      </c>
      <c r="BB10">
        <f>ROUND($C10*'Allocators Calc'!AS10,0)</f>
        <v>0</v>
      </c>
      <c r="BC10">
        <f>ROUND($C10*'Allocators Calc'!AT10,0)</f>
        <v>0</v>
      </c>
      <c r="BD10">
        <f>ROUND($C10*'Allocators Calc'!AU10,0)</f>
        <v>0</v>
      </c>
      <c r="BE10">
        <f>ROUND($C10*'Allocators Calc'!AV10,0)</f>
        <v>0</v>
      </c>
      <c r="BF10">
        <f>ROUND($C10*'Allocators Calc'!AW10,0)</f>
        <v>0</v>
      </c>
      <c r="BG10" s="13">
        <f>ROUND($C10*'Allocators Calc'!AX10,0)</f>
        <v>0</v>
      </c>
      <c r="BH10">
        <f>ROUND($C10*'Allocators Calc'!AY10,0)</f>
        <v>0</v>
      </c>
      <c r="BI10">
        <f>ROUND($C10*'Allocators Calc'!AZ10,0)</f>
        <v>0</v>
      </c>
      <c r="BJ10">
        <f>ROUND($C10*'Allocators Calc'!BA10,0)</f>
        <v>0</v>
      </c>
      <c r="BK10">
        <f>ROUND($C10*'Allocators Calc'!BB10,0)</f>
        <v>0</v>
      </c>
      <c r="BL10">
        <f>ROUND($C10*'Allocators Calc'!BC10,0)</f>
        <v>0</v>
      </c>
      <c r="BM10" s="13">
        <f>ROUND($C10*'Allocators Calc'!BD10,0)</f>
        <v>0</v>
      </c>
      <c r="BN10">
        <f>ROUND($C10*'Allocators Calc'!BE10,0)</f>
        <v>0</v>
      </c>
      <c r="BO10">
        <f>ROUND($C10*'Allocators Calc'!BF10,0)</f>
        <v>0</v>
      </c>
      <c r="BP10">
        <f>ROUND($C10*'Allocators Calc'!BG10,0)</f>
        <v>0</v>
      </c>
      <c r="BQ10">
        <f>ROUND($C10*'Allocators Calc'!BH10,0)</f>
        <v>0</v>
      </c>
      <c r="BR10">
        <f>ROUND($C10*'Allocators Calc'!BI10,0)</f>
        <v>0</v>
      </c>
      <c r="BS10" s="13">
        <f>ROUND($C10*'Allocators Calc'!BJ10,0)</f>
        <v>0</v>
      </c>
      <c r="BT10">
        <f>ROUND($C10*'Allocators Calc'!BK10,0)</f>
        <v>0</v>
      </c>
      <c r="BU10">
        <f>ROUND($C10*'Allocators Calc'!BL10,0)</f>
        <v>0</v>
      </c>
      <c r="BV10">
        <f>ROUND($C10*'Allocators Calc'!BM10,0)</f>
        <v>0</v>
      </c>
      <c r="BW10">
        <f>ROUND($C10*'Allocators Calc'!BN10,0)</f>
        <v>0</v>
      </c>
      <c r="BX10">
        <f>ROUND($C10*'Allocators Calc'!BO10,0)</f>
        <v>0</v>
      </c>
      <c r="BY10" s="13">
        <f>ROUND($C10*'Allocators Calc'!BP10,0)</f>
        <v>0</v>
      </c>
      <c r="BZ10">
        <f>ROUND($C10*'Allocators Calc'!BQ10,0)</f>
        <v>0</v>
      </c>
      <c r="CA10">
        <f>ROUND($C10*'Allocators Calc'!BR10,0)</f>
        <v>0</v>
      </c>
      <c r="CB10">
        <f>ROUND($C10*'Allocators Calc'!BS10,0)</f>
        <v>0</v>
      </c>
      <c r="CC10">
        <f>ROUND($C10*'Allocators Calc'!BT10,0)</f>
        <v>0</v>
      </c>
      <c r="CD10">
        <f>ROUND($C10*'Allocators Calc'!BU10,0)</f>
        <v>0</v>
      </c>
      <c r="CE10" s="13">
        <f>ROUND($C10*'Allocators Calc'!BV10,0)</f>
        <v>0</v>
      </c>
      <c r="CF10" s="11"/>
      <c r="CG10">
        <f>ROUND($C10*'Allocators Calc'!BX10,0)</f>
        <v>0</v>
      </c>
      <c r="CH10">
        <f>ROUND($C10*'Allocators Calc'!BY10,0)</f>
        <v>0</v>
      </c>
      <c r="CI10">
        <f>ROUND($C10*'Allocators Calc'!BZ10,0)</f>
        <v>0</v>
      </c>
      <c r="CJ10">
        <f>ROUND($C10*'Allocators Calc'!CA10,0)</f>
        <v>0</v>
      </c>
      <c r="CK10">
        <f>ROUND($C10*'Allocators Calc'!CB10,0)</f>
        <v>0</v>
      </c>
      <c r="CL10">
        <f>ROUND($C10*'Allocators Calc'!CC10,0)</f>
        <v>0</v>
      </c>
      <c r="CM10">
        <f>ROUND($C10*'Allocators Calc'!CD10,0)</f>
        <v>0</v>
      </c>
      <c r="CN10">
        <f>ROUND($C10*'Allocators Calc'!CE10,0)</f>
        <v>0</v>
      </c>
      <c r="CO10">
        <f>ROUND($C10*'Allocators Calc'!CF10,0)</f>
        <v>0</v>
      </c>
      <c r="CP10">
        <f>ROUND($C10*'Allocators Calc'!CG10,0)</f>
        <v>0</v>
      </c>
      <c r="CQ10" s="11"/>
      <c r="CR10" s="2">
        <f>ROUND($C10*'Allocators Calc'!CI10,0)</f>
        <v>202990498</v>
      </c>
      <c r="CS10" s="2">
        <f>ROUND($C10*'Allocators Calc'!CJ10,0)</f>
        <v>352552364</v>
      </c>
      <c r="CT10" s="2">
        <f>ROUND($C10*'Allocators Calc'!CK10,0)</f>
        <v>230033315</v>
      </c>
      <c r="CU10" s="2">
        <f>ROUND($C10*'Allocators Calc'!CL10,0)</f>
        <v>10893750</v>
      </c>
      <c r="CV10" s="2">
        <f>ROUND($C10*'Allocators Calc'!CM10,0)</f>
        <v>21265329</v>
      </c>
      <c r="CW10" s="2">
        <f>ROUND($C10*'Allocators Calc'!CN10,0)</f>
        <v>15821998</v>
      </c>
      <c r="CX10" s="11"/>
      <c r="CY10">
        <f>ROUND($C10*'Allocators Calc'!CP10,0)</f>
        <v>0</v>
      </c>
      <c r="CZ10">
        <f>ROUND($C10*'Allocators Calc'!CQ10,0)</f>
        <v>0</v>
      </c>
      <c r="DA10" s="22"/>
      <c r="DB10">
        <f>ROUND($C10*'Allocators Calc'!CS10,0)</f>
        <v>0</v>
      </c>
      <c r="DC10">
        <f>ROUND($C10*'Allocators Calc'!CT10,0)</f>
        <v>0</v>
      </c>
      <c r="DD10">
        <f>ROUND($C10*'Allocators Calc'!CU10,0)</f>
        <v>0</v>
      </c>
      <c r="DE10">
        <f>ROUND($C10*'Allocators Calc'!CV10,0)</f>
        <v>0</v>
      </c>
      <c r="DF10">
        <f>ROUND($C10*'Allocators Calc'!CW10,0)</f>
        <v>0</v>
      </c>
      <c r="DG10">
        <f>ROUND($C10*'Allocators Calc'!CX10,0)</f>
        <v>0</v>
      </c>
      <c r="DH10">
        <f>ROUND($C10*'Allocators Calc'!CY10,0)</f>
        <v>0</v>
      </c>
      <c r="DI10">
        <f>ROUND($C10*'Allocators Calc'!CZ10,0)</f>
        <v>0</v>
      </c>
      <c r="DJ10">
        <f>ROUND($C10*'Allocators Calc'!DA10,0)</f>
        <v>0</v>
      </c>
      <c r="DK10" s="22"/>
      <c r="DL10" s="3">
        <f t="shared" si="0"/>
        <v>833557254</v>
      </c>
      <c r="DM10" s="3">
        <f t="shared" si="1"/>
        <v>833557253.92299998</v>
      </c>
      <c r="DN10" s="3">
        <f t="shared" si="2"/>
        <v>7.7000021934509277E-2</v>
      </c>
    </row>
    <row r="11" spans="1:119" x14ac:dyDescent="0.2">
      <c r="B11">
        <v>9</v>
      </c>
      <c r="C11" s="2">
        <f>+'DEI Sales by Revenue'!C11</f>
        <v>759056856.75800002</v>
      </c>
      <c r="D11" s="2">
        <f>+'DEI Sales by Revenue'!D11</f>
        <v>566995468.81899989</v>
      </c>
      <c r="E11" s="2">
        <f>+'DEI Sales by Revenue'!E11</f>
        <v>951820104.51999998</v>
      </c>
      <c r="F11" s="2">
        <v>183538751</v>
      </c>
      <c r="G11" s="2">
        <f>+'DEI Sales by Revenue'!G11</f>
        <v>10640855.585000001</v>
      </c>
      <c r="K11" t="s">
        <v>240</v>
      </c>
      <c r="L11">
        <f>ROUND($C11*'Allocators Calc'!C11,0)</f>
        <v>0</v>
      </c>
      <c r="M11">
        <f>ROUND($C11*'Allocators Calc'!D11,0)</f>
        <v>0</v>
      </c>
      <c r="N11">
        <f>ROUND($C11*'Allocators Calc'!E11,0)</f>
        <v>0</v>
      </c>
      <c r="O11" s="3">
        <f>ROUND($C11*'Allocators Calc'!F11,0)</f>
        <v>0</v>
      </c>
      <c r="P11" s="15">
        <f>ROUND($C11*'Allocators Calc'!G11,0)</f>
        <v>0</v>
      </c>
      <c r="Q11">
        <f>ROUND($C11*'Allocators Calc'!H11,0)</f>
        <v>0</v>
      </c>
      <c r="R11">
        <f>ROUND($C11*'Allocators Calc'!I11,0)</f>
        <v>0</v>
      </c>
      <c r="S11">
        <f>ROUND($C11*'Allocators Calc'!J11,0)</f>
        <v>0</v>
      </c>
      <c r="T11" s="13">
        <f>ROUND($C11*'Allocators Calc'!K11,0)</f>
        <v>0</v>
      </c>
      <c r="U11">
        <f>ROUND($C11*'Allocators Calc'!L11,0)</f>
        <v>0</v>
      </c>
      <c r="V11">
        <f>ROUND($C11*'Allocators Calc'!M11,0)</f>
        <v>0</v>
      </c>
      <c r="W11">
        <f>ROUND($C11*'Allocators Calc'!N11,0)</f>
        <v>0</v>
      </c>
      <c r="X11" s="13">
        <f>ROUND($C11*'Allocators Calc'!O11,0)</f>
        <v>0</v>
      </c>
      <c r="Y11">
        <f>ROUND($C11*'Allocators Calc'!P11,0)</f>
        <v>0</v>
      </c>
      <c r="Z11">
        <f>ROUND($C11*'Allocators Calc'!Q11,0)</f>
        <v>0</v>
      </c>
      <c r="AA11">
        <f>ROUND($C11*'Allocators Calc'!R11,0)</f>
        <v>0</v>
      </c>
      <c r="AB11" s="13">
        <f>ROUND($C11*'Allocators Calc'!S11,0)</f>
        <v>0</v>
      </c>
      <c r="AC11">
        <f>ROUND($C11*'Allocators Calc'!T11,0)</f>
        <v>0</v>
      </c>
      <c r="AD11">
        <f>ROUND($C11*'Allocators Calc'!U11,0)</f>
        <v>0</v>
      </c>
      <c r="AE11">
        <f>ROUND($C11*'Allocators Calc'!V11,0)</f>
        <v>0</v>
      </c>
      <c r="AF11">
        <f>ROUND($C11*'Allocators Calc'!W11,0)</f>
        <v>0</v>
      </c>
      <c r="AG11" s="11"/>
      <c r="AH11">
        <f>ROUND($C11*'Allocators Calc'!Y11,0)</f>
        <v>0</v>
      </c>
      <c r="AI11">
        <f>ROUND($C11*'Allocators Calc'!Z11,0)</f>
        <v>0</v>
      </c>
      <c r="AJ11">
        <f>ROUND($C11*'Allocators Calc'!AA11,0)</f>
        <v>0</v>
      </c>
      <c r="AK11">
        <f>ROUND($C11*'Allocators Calc'!AB11,0)</f>
        <v>0</v>
      </c>
      <c r="AL11">
        <f>ROUND($C11*'Allocators Calc'!AC11,0)</f>
        <v>0</v>
      </c>
      <c r="AM11">
        <f>ROUND($C11*'Allocators Calc'!AD11,0)</f>
        <v>0</v>
      </c>
      <c r="AN11">
        <f>ROUND($C11*'Allocators Calc'!AE11,0)</f>
        <v>0</v>
      </c>
      <c r="AO11" s="11"/>
      <c r="AP11">
        <f>ROUND($C11*'Allocators Calc'!AG11,0)</f>
        <v>0</v>
      </c>
      <c r="AQ11">
        <f>ROUND($C11*'Allocators Calc'!AH11,0)</f>
        <v>0</v>
      </c>
      <c r="AR11">
        <f>ROUND($C11*'Allocators Calc'!AI11,0)</f>
        <v>0</v>
      </c>
      <c r="AS11">
        <f>ROUND($C11*'Allocators Calc'!AJ11,0)</f>
        <v>0</v>
      </c>
      <c r="AT11">
        <f>ROUND($C11*'Allocators Calc'!AK11,0)</f>
        <v>0</v>
      </c>
      <c r="AU11" s="13">
        <f>ROUND($C11*'Allocators Calc'!AL11,0)</f>
        <v>0</v>
      </c>
      <c r="AV11">
        <f>ROUND($C11*'Allocators Calc'!AM11,0)</f>
        <v>0</v>
      </c>
      <c r="AW11">
        <f>ROUND($C11*'Allocators Calc'!AN11,0)</f>
        <v>0</v>
      </c>
      <c r="AX11">
        <f>ROUND($C11*'Allocators Calc'!AO11,0)</f>
        <v>0</v>
      </c>
      <c r="AY11">
        <f>ROUND($C11*'Allocators Calc'!AP11,0)</f>
        <v>0</v>
      </c>
      <c r="AZ11">
        <f>ROUND($C11*'Allocators Calc'!AQ11,0)</f>
        <v>0</v>
      </c>
      <c r="BA11" s="13">
        <f>ROUND($C11*'Allocators Calc'!AR11,0)</f>
        <v>0</v>
      </c>
      <c r="BB11">
        <f>ROUND($C11*'Allocators Calc'!AS11,0)</f>
        <v>0</v>
      </c>
      <c r="BC11">
        <f>ROUND($C11*'Allocators Calc'!AT11,0)</f>
        <v>0</v>
      </c>
      <c r="BD11">
        <f>ROUND($C11*'Allocators Calc'!AU11,0)</f>
        <v>0</v>
      </c>
      <c r="BE11">
        <f>ROUND($C11*'Allocators Calc'!AV11,0)</f>
        <v>0</v>
      </c>
      <c r="BF11">
        <f>ROUND($C11*'Allocators Calc'!AW11,0)</f>
        <v>0</v>
      </c>
      <c r="BG11" s="13">
        <f>ROUND($C11*'Allocators Calc'!AX11,0)</f>
        <v>0</v>
      </c>
      <c r="BH11">
        <f>ROUND($C11*'Allocators Calc'!AY11,0)</f>
        <v>0</v>
      </c>
      <c r="BI11">
        <f>ROUND($C11*'Allocators Calc'!AZ11,0)</f>
        <v>0</v>
      </c>
      <c r="BJ11">
        <f>ROUND($C11*'Allocators Calc'!BA11,0)</f>
        <v>0</v>
      </c>
      <c r="BK11">
        <f>ROUND($C11*'Allocators Calc'!BB11,0)</f>
        <v>0</v>
      </c>
      <c r="BL11">
        <f>ROUND($C11*'Allocators Calc'!BC11,0)</f>
        <v>0</v>
      </c>
      <c r="BM11" s="13">
        <f>ROUND($C11*'Allocators Calc'!BD11,0)</f>
        <v>0</v>
      </c>
      <c r="BN11">
        <f>ROUND($C11*'Allocators Calc'!BE11,0)</f>
        <v>0</v>
      </c>
      <c r="BO11">
        <f>ROUND($C11*'Allocators Calc'!BF11,0)</f>
        <v>0</v>
      </c>
      <c r="BP11">
        <f>ROUND($C11*'Allocators Calc'!BG11,0)</f>
        <v>0</v>
      </c>
      <c r="BQ11">
        <f>ROUND($C11*'Allocators Calc'!BH11,0)</f>
        <v>0</v>
      </c>
      <c r="BR11">
        <f>ROUND($C11*'Allocators Calc'!BI11,0)</f>
        <v>0</v>
      </c>
      <c r="BS11" s="13">
        <f>ROUND($C11*'Allocators Calc'!BJ11,0)</f>
        <v>0</v>
      </c>
      <c r="BT11">
        <f>ROUND($C11*'Allocators Calc'!BK11,0)</f>
        <v>0</v>
      </c>
      <c r="BU11">
        <f>ROUND($C11*'Allocators Calc'!BL11,0)</f>
        <v>0</v>
      </c>
      <c r="BV11">
        <f>ROUND($C11*'Allocators Calc'!BM11,0)</f>
        <v>0</v>
      </c>
      <c r="BW11">
        <f>ROUND($C11*'Allocators Calc'!BN11,0)</f>
        <v>0</v>
      </c>
      <c r="BX11">
        <f>ROUND($C11*'Allocators Calc'!BO11,0)</f>
        <v>0</v>
      </c>
      <c r="BY11" s="13">
        <f>ROUND($C11*'Allocators Calc'!BP11,0)</f>
        <v>0</v>
      </c>
      <c r="BZ11">
        <f>ROUND($C11*'Allocators Calc'!BQ11,0)</f>
        <v>0</v>
      </c>
      <c r="CA11">
        <f>ROUND($C11*'Allocators Calc'!BR11,0)</f>
        <v>0</v>
      </c>
      <c r="CB11">
        <f>ROUND($C11*'Allocators Calc'!BS11,0)</f>
        <v>0</v>
      </c>
      <c r="CC11">
        <f>ROUND($C11*'Allocators Calc'!BT11,0)</f>
        <v>0</v>
      </c>
      <c r="CD11">
        <f>ROUND($C11*'Allocators Calc'!BU11,0)</f>
        <v>0</v>
      </c>
      <c r="CE11" s="13">
        <f>ROUND($C11*'Allocators Calc'!BV11,0)</f>
        <v>0</v>
      </c>
      <c r="CF11" s="11"/>
      <c r="CG11">
        <f>ROUND($C11*'Allocators Calc'!BX11,0)</f>
        <v>0</v>
      </c>
      <c r="CH11">
        <f>ROUND($C11*'Allocators Calc'!BY11,0)</f>
        <v>0</v>
      </c>
      <c r="CI11">
        <f>ROUND($C11*'Allocators Calc'!BZ11,0)</f>
        <v>0</v>
      </c>
      <c r="CJ11">
        <f>ROUND($C11*'Allocators Calc'!CA11,0)</f>
        <v>0</v>
      </c>
      <c r="CK11">
        <f>ROUND($C11*'Allocators Calc'!CB11,0)</f>
        <v>0</v>
      </c>
      <c r="CL11">
        <f>ROUND($C11*'Allocators Calc'!CC11,0)</f>
        <v>0</v>
      </c>
      <c r="CM11">
        <f>ROUND($C11*'Allocators Calc'!CD11,0)</f>
        <v>0</v>
      </c>
      <c r="CN11">
        <f>ROUND($C11*'Allocators Calc'!CE11,0)</f>
        <v>0</v>
      </c>
      <c r="CO11">
        <f>ROUND($C11*'Allocators Calc'!CF11,0)</f>
        <v>0</v>
      </c>
      <c r="CP11">
        <f>ROUND($C11*'Allocators Calc'!CG11,0)</f>
        <v>0</v>
      </c>
      <c r="CQ11" s="11"/>
      <c r="CR11" s="2">
        <f>ROUND($C11*'Allocators Calc'!CI11,0)</f>
        <v>202843610</v>
      </c>
      <c r="CS11" s="2">
        <f>ROUND($C11*'Allocators Calc'!CJ11,0)</f>
        <v>329833979</v>
      </c>
      <c r="CT11" s="2">
        <f>ROUND($C11*'Allocators Calc'!CK11,0)</f>
        <v>178763632</v>
      </c>
      <c r="CU11" s="2">
        <f>ROUND($C11*'Allocators Calc'!CL11,0)</f>
        <v>11724454</v>
      </c>
      <c r="CV11" s="2">
        <f>ROUND($C11*'Allocators Calc'!CM11,0)</f>
        <v>21885317</v>
      </c>
      <c r="CW11" s="2">
        <f>ROUND($C11*'Allocators Calc'!CN11,0)</f>
        <v>14005866</v>
      </c>
      <c r="CX11" s="11"/>
      <c r="CY11">
        <f>ROUND($C11*'Allocators Calc'!CP11,0)</f>
        <v>0</v>
      </c>
      <c r="CZ11">
        <f>ROUND($C11*'Allocators Calc'!CQ11,0)</f>
        <v>0</v>
      </c>
      <c r="DA11" s="22"/>
      <c r="DB11">
        <f>ROUND($C11*'Allocators Calc'!CS11,0)</f>
        <v>0</v>
      </c>
      <c r="DC11">
        <f>ROUND($C11*'Allocators Calc'!CT11,0)</f>
        <v>0</v>
      </c>
      <c r="DD11">
        <f>ROUND($C11*'Allocators Calc'!CU11,0)</f>
        <v>0</v>
      </c>
      <c r="DE11">
        <f>ROUND($C11*'Allocators Calc'!CV11,0)</f>
        <v>0</v>
      </c>
      <c r="DF11">
        <f>ROUND($C11*'Allocators Calc'!CW11,0)</f>
        <v>0</v>
      </c>
      <c r="DG11">
        <f>ROUND($C11*'Allocators Calc'!CX11,0)</f>
        <v>0</v>
      </c>
      <c r="DH11">
        <f>ROUND($C11*'Allocators Calc'!CY11,0)</f>
        <v>0</v>
      </c>
      <c r="DI11">
        <f>ROUND($C11*'Allocators Calc'!CZ11,0)</f>
        <v>0</v>
      </c>
      <c r="DJ11">
        <f>ROUND($C11*'Allocators Calc'!DA11,0)</f>
        <v>0</v>
      </c>
      <c r="DK11" s="22"/>
      <c r="DL11" s="3">
        <f t="shared" si="0"/>
        <v>759056858</v>
      </c>
      <c r="DM11" s="3">
        <f t="shared" si="1"/>
        <v>759056856.75800002</v>
      </c>
      <c r="DN11" s="3">
        <f t="shared" si="2"/>
        <v>1.2419999837875366</v>
      </c>
    </row>
    <row r="12" spans="1:119" x14ac:dyDescent="0.2">
      <c r="B12">
        <v>10</v>
      </c>
      <c r="C12" s="2">
        <f>+'DEI Sales by Revenue'!C12</f>
        <v>553770762.77499998</v>
      </c>
      <c r="D12" s="2">
        <f>+'DEI Sales by Revenue'!D12</f>
        <v>449089723.85500002</v>
      </c>
      <c r="E12" s="2">
        <f>+'DEI Sales by Revenue'!E12</f>
        <v>766515641.83000016</v>
      </c>
      <c r="F12" s="2">
        <v>154003974</v>
      </c>
      <c r="G12" s="2">
        <f>+'DEI Sales by Revenue'!G12</f>
        <v>10656425.911999999</v>
      </c>
      <c r="K12" t="s">
        <v>241</v>
      </c>
      <c r="L12">
        <f>ROUND($C12*'Allocators Calc'!C12,0)</f>
        <v>0</v>
      </c>
      <c r="M12">
        <f>ROUND($C12*'Allocators Calc'!D12,0)</f>
        <v>0</v>
      </c>
      <c r="N12">
        <f>ROUND($C12*'Allocators Calc'!E12,0)</f>
        <v>0</v>
      </c>
      <c r="O12" s="3">
        <f>ROUND($C12*'Allocators Calc'!F12,0)</f>
        <v>0</v>
      </c>
      <c r="P12" s="15">
        <f>ROUND($C12*'Allocators Calc'!G12,0)</f>
        <v>0</v>
      </c>
      <c r="Q12">
        <f>ROUND($C12*'Allocators Calc'!H12,0)</f>
        <v>0</v>
      </c>
      <c r="R12">
        <f>ROUND($C12*'Allocators Calc'!I12,0)</f>
        <v>0</v>
      </c>
      <c r="S12">
        <f>ROUND($C12*'Allocators Calc'!J12,0)</f>
        <v>0</v>
      </c>
      <c r="T12" s="13">
        <f>ROUND($C12*'Allocators Calc'!K12,0)</f>
        <v>0</v>
      </c>
      <c r="U12">
        <f>ROUND($C12*'Allocators Calc'!L12,0)</f>
        <v>0</v>
      </c>
      <c r="V12">
        <f>ROUND($C12*'Allocators Calc'!M12,0)</f>
        <v>0</v>
      </c>
      <c r="W12">
        <f>ROUND($C12*'Allocators Calc'!N12,0)</f>
        <v>0</v>
      </c>
      <c r="X12" s="13">
        <f>ROUND($C12*'Allocators Calc'!O12,0)</f>
        <v>0</v>
      </c>
      <c r="Y12">
        <f>ROUND($C12*'Allocators Calc'!P12,0)</f>
        <v>0</v>
      </c>
      <c r="Z12">
        <f>ROUND($C12*'Allocators Calc'!Q12,0)</f>
        <v>0</v>
      </c>
      <c r="AA12">
        <f>ROUND($C12*'Allocators Calc'!R12,0)</f>
        <v>0</v>
      </c>
      <c r="AB12" s="13">
        <f>ROUND($C12*'Allocators Calc'!S12,0)</f>
        <v>0</v>
      </c>
      <c r="AC12">
        <f>ROUND($C12*'Allocators Calc'!T12,0)</f>
        <v>0</v>
      </c>
      <c r="AD12">
        <f>ROUND($C12*'Allocators Calc'!U12,0)</f>
        <v>0</v>
      </c>
      <c r="AE12">
        <f>ROUND($C12*'Allocators Calc'!V12,0)</f>
        <v>0</v>
      </c>
      <c r="AF12">
        <f>ROUND($C12*'Allocators Calc'!W12,0)</f>
        <v>0</v>
      </c>
      <c r="AG12" s="11"/>
      <c r="AH12">
        <f>ROUND($C12*'Allocators Calc'!Y12,0)</f>
        <v>0</v>
      </c>
      <c r="AI12">
        <f>ROUND($C12*'Allocators Calc'!Z12,0)</f>
        <v>0</v>
      </c>
      <c r="AJ12">
        <f>ROUND($C12*'Allocators Calc'!AA12,0)</f>
        <v>0</v>
      </c>
      <c r="AK12">
        <f>ROUND($C12*'Allocators Calc'!AB12,0)</f>
        <v>0</v>
      </c>
      <c r="AL12">
        <f>ROUND($C12*'Allocators Calc'!AC12,0)</f>
        <v>0</v>
      </c>
      <c r="AM12">
        <f>ROUND($C12*'Allocators Calc'!AD12,0)</f>
        <v>0</v>
      </c>
      <c r="AN12">
        <f>ROUND($C12*'Allocators Calc'!AE12,0)</f>
        <v>0</v>
      </c>
      <c r="AO12" s="11"/>
      <c r="AP12">
        <f>ROUND($C12*'Allocators Calc'!AG12,0)</f>
        <v>0</v>
      </c>
      <c r="AQ12">
        <f>ROUND($C12*'Allocators Calc'!AH12,0)</f>
        <v>0</v>
      </c>
      <c r="AR12">
        <f>ROUND($C12*'Allocators Calc'!AI12,0)</f>
        <v>0</v>
      </c>
      <c r="AS12">
        <f>ROUND($C12*'Allocators Calc'!AJ12,0)</f>
        <v>0</v>
      </c>
      <c r="AT12">
        <f>ROUND($C12*'Allocators Calc'!AK12,0)</f>
        <v>0</v>
      </c>
      <c r="AU12" s="13">
        <f>ROUND($C12*'Allocators Calc'!AL12,0)</f>
        <v>0</v>
      </c>
      <c r="AV12">
        <f>ROUND($C12*'Allocators Calc'!AM12,0)</f>
        <v>0</v>
      </c>
      <c r="AW12">
        <f>ROUND($C12*'Allocators Calc'!AN12,0)</f>
        <v>0</v>
      </c>
      <c r="AX12">
        <f>ROUND($C12*'Allocators Calc'!AO12,0)</f>
        <v>0</v>
      </c>
      <c r="AY12">
        <f>ROUND($C12*'Allocators Calc'!AP12,0)</f>
        <v>0</v>
      </c>
      <c r="AZ12">
        <f>ROUND($C12*'Allocators Calc'!AQ12,0)</f>
        <v>0</v>
      </c>
      <c r="BA12" s="13">
        <f>ROUND($C12*'Allocators Calc'!AR12,0)</f>
        <v>0</v>
      </c>
      <c r="BB12">
        <f>ROUND($C12*'Allocators Calc'!AS12,0)</f>
        <v>0</v>
      </c>
      <c r="BC12">
        <f>ROUND($C12*'Allocators Calc'!AT12,0)</f>
        <v>0</v>
      </c>
      <c r="BD12">
        <f>ROUND($C12*'Allocators Calc'!AU12,0)</f>
        <v>0</v>
      </c>
      <c r="BE12">
        <f>ROUND($C12*'Allocators Calc'!AV12,0)</f>
        <v>0</v>
      </c>
      <c r="BF12">
        <f>ROUND($C12*'Allocators Calc'!AW12,0)</f>
        <v>0</v>
      </c>
      <c r="BG12" s="13">
        <f>ROUND($C12*'Allocators Calc'!AX12,0)</f>
        <v>0</v>
      </c>
      <c r="BH12">
        <f>ROUND($C12*'Allocators Calc'!AY12,0)</f>
        <v>0</v>
      </c>
      <c r="BI12">
        <f>ROUND($C12*'Allocators Calc'!AZ12,0)</f>
        <v>0</v>
      </c>
      <c r="BJ12">
        <f>ROUND($C12*'Allocators Calc'!BA12,0)</f>
        <v>0</v>
      </c>
      <c r="BK12">
        <f>ROUND($C12*'Allocators Calc'!BB12,0)</f>
        <v>0</v>
      </c>
      <c r="BL12">
        <f>ROUND($C12*'Allocators Calc'!BC12,0)</f>
        <v>0</v>
      </c>
      <c r="BM12" s="13">
        <f>ROUND($C12*'Allocators Calc'!BD12,0)</f>
        <v>0</v>
      </c>
      <c r="BN12">
        <f>ROUND($C12*'Allocators Calc'!BE12,0)</f>
        <v>0</v>
      </c>
      <c r="BO12">
        <f>ROUND($C12*'Allocators Calc'!BF12,0)</f>
        <v>0</v>
      </c>
      <c r="BP12">
        <f>ROUND($C12*'Allocators Calc'!BG12,0)</f>
        <v>0</v>
      </c>
      <c r="BQ12">
        <f>ROUND($C12*'Allocators Calc'!BH12,0)</f>
        <v>0</v>
      </c>
      <c r="BR12">
        <f>ROUND($C12*'Allocators Calc'!BI12,0)</f>
        <v>0</v>
      </c>
      <c r="BS12" s="13">
        <f>ROUND($C12*'Allocators Calc'!BJ12,0)</f>
        <v>0</v>
      </c>
      <c r="BT12">
        <f>ROUND($C12*'Allocators Calc'!BK12,0)</f>
        <v>0</v>
      </c>
      <c r="BU12">
        <f>ROUND($C12*'Allocators Calc'!BL12,0)</f>
        <v>0</v>
      </c>
      <c r="BV12">
        <f>ROUND($C12*'Allocators Calc'!BM12,0)</f>
        <v>0</v>
      </c>
      <c r="BW12">
        <f>ROUND($C12*'Allocators Calc'!BN12,0)</f>
        <v>0</v>
      </c>
      <c r="BX12">
        <f>ROUND($C12*'Allocators Calc'!BO12,0)</f>
        <v>0</v>
      </c>
      <c r="BY12" s="13">
        <f>ROUND($C12*'Allocators Calc'!BP12,0)</f>
        <v>0</v>
      </c>
      <c r="BZ12">
        <f>ROUND($C12*'Allocators Calc'!BQ12,0)</f>
        <v>0</v>
      </c>
      <c r="CA12">
        <f>ROUND($C12*'Allocators Calc'!BR12,0)</f>
        <v>0</v>
      </c>
      <c r="CB12">
        <f>ROUND($C12*'Allocators Calc'!BS12,0)</f>
        <v>0</v>
      </c>
      <c r="CC12">
        <f>ROUND($C12*'Allocators Calc'!BT12,0)</f>
        <v>0</v>
      </c>
      <c r="CD12">
        <f>ROUND($C12*'Allocators Calc'!BU12,0)</f>
        <v>0</v>
      </c>
      <c r="CE12" s="13">
        <f>ROUND($C12*'Allocators Calc'!BV12,0)</f>
        <v>0</v>
      </c>
      <c r="CF12" s="11"/>
      <c r="CG12">
        <f>ROUND($C12*'Allocators Calc'!BX12,0)</f>
        <v>0</v>
      </c>
      <c r="CH12">
        <f>ROUND($C12*'Allocators Calc'!BY12,0)</f>
        <v>0</v>
      </c>
      <c r="CI12">
        <f>ROUND($C12*'Allocators Calc'!BZ12,0)</f>
        <v>0</v>
      </c>
      <c r="CJ12">
        <f>ROUND($C12*'Allocators Calc'!CA12,0)</f>
        <v>0</v>
      </c>
      <c r="CK12">
        <f>ROUND($C12*'Allocators Calc'!CB12,0)</f>
        <v>0</v>
      </c>
      <c r="CL12">
        <f>ROUND($C12*'Allocators Calc'!CC12,0)</f>
        <v>0</v>
      </c>
      <c r="CM12">
        <f>ROUND($C12*'Allocators Calc'!CD12,0)</f>
        <v>0</v>
      </c>
      <c r="CN12">
        <f>ROUND($C12*'Allocators Calc'!CE12,0)</f>
        <v>0</v>
      </c>
      <c r="CO12">
        <f>ROUND($C12*'Allocators Calc'!CF12,0)</f>
        <v>0</v>
      </c>
      <c r="CP12">
        <f>ROUND($C12*'Allocators Calc'!CG12,0)</f>
        <v>0</v>
      </c>
      <c r="CQ12" s="11"/>
      <c r="CR12" s="2">
        <f>ROUND($C12*'Allocators Calc'!CI12,0)</f>
        <v>203869628</v>
      </c>
      <c r="CS12" s="2">
        <f>ROUND($C12*'Allocators Calc'!CJ12,0)</f>
        <v>243845772</v>
      </c>
      <c r="CT12" s="2">
        <f>ROUND($C12*'Allocators Calc'!CK12,0)</f>
        <v>67430402</v>
      </c>
      <c r="CU12" s="2">
        <f>ROUND($C12*'Allocators Calc'!CL12,0)</f>
        <v>11795144</v>
      </c>
      <c r="CV12" s="2">
        <f>ROUND($C12*'Allocators Calc'!CM12,0)</f>
        <v>19382065</v>
      </c>
      <c r="CW12" s="2">
        <f>ROUND($C12*'Allocators Calc'!CN12,0)</f>
        <v>7447752</v>
      </c>
      <c r="CX12" s="11"/>
      <c r="CY12">
        <f>ROUND($C12*'Allocators Calc'!CP12,0)</f>
        <v>0</v>
      </c>
      <c r="CZ12">
        <f>ROUND($C12*'Allocators Calc'!CQ12,0)</f>
        <v>0</v>
      </c>
      <c r="DA12" s="11"/>
      <c r="DB12">
        <f>ROUND($C12*'Allocators Calc'!CS12,0)</f>
        <v>0</v>
      </c>
      <c r="DC12">
        <f>ROUND($C12*'Allocators Calc'!CT12,0)</f>
        <v>0</v>
      </c>
      <c r="DD12">
        <f>ROUND($C12*'Allocators Calc'!CU12,0)</f>
        <v>0</v>
      </c>
      <c r="DE12">
        <f>ROUND($C12*'Allocators Calc'!CV12,0)</f>
        <v>0</v>
      </c>
      <c r="DF12">
        <f>ROUND($C12*'Allocators Calc'!CW12,0)</f>
        <v>0</v>
      </c>
      <c r="DG12">
        <f>ROUND($C12*'Allocators Calc'!CX12,0)</f>
        <v>0</v>
      </c>
      <c r="DH12">
        <f>ROUND($C12*'Allocators Calc'!CY12,0)</f>
        <v>0</v>
      </c>
      <c r="DI12">
        <f>ROUND($C12*'Allocators Calc'!CZ12,0)</f>
        <v>0</v>
      </c>
      <c r="DJ12">
        <f>ROUND($C12*'Allocators Calc'!DA12,0)</f>
        <v>0</v>
      </c>
      <c r="DK12" s="11"/>
      <c r="DL12" s="3">
        <f t="shared" si="0"/>
        <v>553770763</v>
      </c>
      <c r="DM12" s="3">
        <f t="shared" si="1"/>
        <v>553770762.77499998</v>
      </c>
      <c r="DN12" s="3">
        <f t="shared" si="2"/>
        <v>0.22500002384185791</v>
      </c>
    </row>
    <row r="13" spans="1:119" x14ac:dyDescent="0.2">
      <c r="B13">
        <v>11</v>
      </c>
      <c r="C13" s="2">
        <f>+'DEI Sales by Revenue'!C13</f>
        <v>603054043.74100006</v>
      </c>
      <c r="D13" s="2">
        <f>+'DEI Sales by Revenue'!D13</f>
        <v>413708738.48604</v>
      </c>
      <c r="E13" s="2">
        <f>+'DEI Sales by Revenue'!E13</f>
        <v>749292369.12699997</v>
      </c>
      <c r="F13" s="2">
        <v>130280904</v>
      </c>
      <c r="G13" s="2">
        <f>+'DEI Sales by Revenue'!G13</f>
        <v>10629950.089</v>
      </c>
      <c r="K13" t="s">
        <v>242</v>
      </c>
      <c r="L13">
        <f>ROUND($C13*'Allocators Calc'!C13,0)</f>
        <v>0</v>
      </c>
      <c r="M13">
        <f>ROUND($C13*'Allocators Calc'!D13,0)</f>
        <v>0</v>
      </c>
      <c r="N13">
        <f>ROUND($C13*'Allocators Calc'!E13,0)</f>
        <v>0</v>
      </c>
      <c r="O13" s="3">
        <f>ROUND($C13*'Allocators Calc'!F13,0)</f>
        <v>0</v>
      </c>
      <c r="P13" s="15">
        <f>ROUND($C13*'Allocators Calc'!G13,0)</f>
        <v>0</v>
      </c>
      <c r="Q13">
        <f>ROUND($C13*'Allocators Calc'!H13,0)</f>
        <v>0</v>
      </c>
      <c r="R13">
        <f>ROUND($C13*'Allocators Calc'!I13,0)</f>
        <v>0</v>
      </c>
      <c r="S13">
        <f>ROUND($C13*'Allocators Calc'!J13,0)</f>
        <v>0</v>
      </c>
      <c r="T13" s="13">
        <f>ROUND($C13*'Allocators Calc'!K13,0)</f>
        <v>0</v>
      </c>
      <c r="U13">
        <f>ROUND($C13*'Allocators Calc'!L13,0)</f>
        <v>0</v>
      </c>
      <c r="V13">
        <f>ROUND($C13*'Allocators Calc'!M13,0)</f>
        <v>0</v>
      </c>
      <c r="W13">
        <f>ROUND($C13*'Allocators Calc'!N13,0)</f>
        <v>0</v>
      </c>
      <c r="X13" s="13">
        <f>ROUND($C13*'Allocators Calc'!O13,0)</f>
        <v>0</v>
      </c>
      <c r="Y13">
        <f>ROUND($C13*'Allocators Calc'!P13,0)</f>
        <v>0</v>
      </c>
      <c r="Z13">
        <f>ROUND($C13*'Allocators Calc'!Q13,0)</f>
        <v>0</v>
      </c>
      <c r="AA13">
        <f>ROUND($C13*'Allocators Calc'!R13,0)</f>
        <v>0</v>
      </c>
      <c r="AB13" s="13">
        <f>ROUND($C13*'Allocators Calc'!S13,0)</f>
        <v>0</v>
      </c>
      <c r="AC13">
        <f>ROUND($C13*'Allocators Calc'!T13,0)</f>
        <v>0</v>
      </c>
      <c r="AD13">
        <f>ROUND($C13*'Allocators Calc'!U13,0)</f>
        <v>0</v>
      </c>
      <c r="AE13">
        <f>ROUND($C13*'Allocators Calc'!V13,0)</f>
        <v>0</v>
      </c>
      <c r="AF13">
        <f>ROUND($C13*'Allocators Calc'!W13,0)</f>
        <v>0</v>
      </c>
      <c r="AG13" s="11"/>
      <c r="AH13">
        <f>ROUND($C13*'Allocators Calc'!Y13,0)</f>
        <v>0</v>
      </c>
      <c r="AI13">
        <f>ROUND($C13*'Allocators Calc'!Z13,0)</f>
        <v>0</v>
      </c>
      <c r="AJ13">
        <f>ROUND($C13*'Allocators Calc'!AA13,0)</f>
        <v>0</v>
      </c>
      <c r="AK13">
        <f>ROUND($C13*'Allocators Calc'!AB13,0)</f>
        <v>0</v>
      </c>
      <c r="AL13">
        <f>ROUND($C13*'Allocators Calc'!AC13,0)</f>
        <v>0</v>
      </c>
      <c r="AM13">
        <f>ROUND($C13*'Allocators Calc'!AD13,0)</f>
        <v>0</v>
      </c>
      <c r="AN13">
        <f>ROUND($C13*'Allocators Calc'!AE13,0)</f>
        <v>0</v>
      </c>
      <c r="AO13" s="11"/>
      <c r="AP13">
        <f>ROUND($C13*'Allocators Calc'!AG13,0)</f>
        <v>0</v>
      </c>
      <c r="AQ13">
        <f>ROUND($C13*'Allocators Calc'!AH13,0)</f>
        <v>0</v>
      </c>
      <c r="AR13">
        <f>ROUND($C13*'Allocators Calc'!AI13,0)</f>
        <v>0</v>
      </c>
      <c r="AS13">
        <f>ROUND($C13*'Allocators Calc'!AJ13,0)</f>
        <v>0</v>
      </c>
      <c r="AT13">
        <f>ROUND($C13*'Allocators Calc'!AK13,0)</f>
        <v>0</v>
      </c>
      <c r="AU13" s="13">
        <f>ROUND($C13*'Allocators Calc'!AL13,0)</f>
        <v>0</v>
      </c>
      <c r="AV13">
        <f>ROUND($C13*'Allocators Calc'!AM13,0)</f>
        <v>0</v>
      </c>
      <c r="AW13">
        <f>ROUND($C13*'Allocators Calc'!AN13,0)</f>
        <v>0</v>
      </c>
      <c r="AX13">
        <f>ROUND($C13*'Allocators Calc'!AO13,0)</f>
        <v>0</v>
      </c>
      <c r="AY13">
        <f>ROUND($C13*'Allocators Calc'!AP13,0)</f>
        <v>0</v>
      </c>
      <c r="AZ13">
        <f>ROUND($C13*'Allocators Calc'!AQ13,0)</f>
        <v>0</v>
      </c>
      <c r="BA13" s="13">
        <f>ROUND($C13*'Allocators Calc'!AR13,0)</f>
        <v>0</v>
      </c>
      <c r="BB13">
        <f>ROUND($C13*'Allocators Calc'!AS13,0)</f>
        <v>0</v>
      </c>
      <c r="BC13">
        <f>ROUND($C13*'Allocators Calc'!AT13,0)</f>
        <v>0</v>
      </c>
      <c r="BD13">
        <f>ROUND($C13*'Allocators Calc'!AU13,0)</f>
        <v>0</v>
      </c>
      <c r="BE13">
        <f>ROUND($C13*'Allocators Calc'!AV13,0)</f>
        <v>0</v>
      </c>
      <c r="BF13">
        <f>ROUND($C13*'Allocators Calc'!AW13,0)</f>
        <v>0</v>
      </c>
      <c r="BG13" s="13">
        <f>ROUND($C13*'Allocators Calc'!AX13,0)</f>
        <v>0</v>
      </c>
      <c r="BH13">
        <f>ROUND($C13*'Allocators Calc'!AY13,0)</f>
        <v>0</v>
      </c>
      <c r="BI13">
        <f>ROUND($C13*'Allocators Calc'!AZ13,0)</f>
        <v>0</v>
      </c>
      <c r="BJ13">
        <f>ROUND($C13*'Allocators Calc'!BA13,0)</f>
        <v>0</v>
      </c>
      <c r="BK13">
        <f>ROUND($C13*'Allocators Calc'!BB13,0)</f>
        <v>0</v>
      </c>
      <c r="BL13">
        <f>ROUND($C13*'Allocators Calc'!BC13,0)</f>
        <v>0</v>
      </c>
      <c r="BM13" s="13">
        <f>ROUND($C13*'Allocators Calc'!BD13,0)</f>
        <v>0</v>
      </c>
      <c r="BN13">
        <f>ROUND($C13*'Allocators Calc'!BE13,0)</f>
        <v>0</v>
      </c>
      <c r="BO13">
        <f>ROUND($C13*'Allocators Calc'!BF13,0)</f>
        <v>0</v>
      </c>
      <c r="BP13">
        <f>ROUND($C13*'Allocators Calc'!BG13,0)</f>
        <v>0</v>
      </c>
      <c r="BQ13">
        <f>ROUND($C13*'Allocators Calc'!BH13,0)</f>
        <v>0</v>
      </c>
      <c r="BR13">
        <f>ROUND($C13*'Allocators Calc'!BI13,0)</f>
        <v>0</v>
      </c>
      <c r="BS13" s="13">
        <f>ROUND($C13*'Allocators Calc'!BJ13,0)</f>
        <v>0</v>
      </c>
      <c r="BT13">
        <f>ROUND($C13*'Allocators Calc'!BK13,0)</f>
        <v>0</v>
      </c>
      <c r="BU13">
        <f>ROUND($C13*'Allocators Calc'!BL13,0)</f>
        <v>0</v>
      </c>
      <c r="BV13">
        <f>ROUND($C13*'Allocators Calc'!BM13,0)</f>
        <v>0</v>
      </c>
      <c r="BW13">
        <f>ROUND($C13*'Allocators Calc'!BN13,0)</f>
        <v>0</v>
      </c>
      <c r="BX13">
        <f>ROUND($C13*'Allocators Calc'!BO13,0)</f>
        <v>0</v>
      </c>
      <c r="BY13" s="13">
        <f>ROUND($C13*'Allocators Calc'!BP13,0)</f>
        <v>0</v>
      </c>
      <c r="BZ13">
        <f>ROUND($C13*'Allocators Calc'!BQ13,0)</f>
        <v>0</v>
      </c>
      <c r="CA13">
        <f>ROUND($C13*'Allocators Calc'!BR13,0)</f>
        <v>0</v>
      </c>
      <c r="CB13">
        <f>ROUND($C13*'Allocators Calc'!BS13,0)</f>
        <v>0</v>
      </c>
      <c r="CC13">
        <f>ROUND($C13*'Allocators Calc'!BT13,0)</f>
        <v>0</v>
      </c>
      <c r="CD13">
        <f>ROUND($C13*'Allocators Calc'!BU13,0)</f>
        <v>0</v>
      </c>
      <c r="CE13" s="13">
        <f>ROUND($C13*'Allocators Calc'!BV13,0)</f>
        <v>0</v>
      </c>
      <c r="CF13" s="11"/>
      <c r="CG13">
        <f>ROUND($C13*'Allocators Calc'!BX13,0)</f>
        <v>0</v>
      </c>
      <c r="CH13">
        <f>ROUND($C13*'Allocators Calc'!BY13,0)</f>
        <v>0</v>
      </c>
      <c r="CI13">
        <f>ROUND($C13*'Allocators Calc'!BZ13,0)</f>
        <v>0</v>
      </c>
      <c r="CJ13">
        <f>ROUND($C13*'Allocators Calc'!CA13,0)</f>
        <v>0</v>
      </c>
      <c r="CK13">
        <f>ROUND($C13*'Allocators Calc'!CB13,0)</f>
        <v>0</v>
      </c>
      <c r="CL13">
        <f>ROUND($C13*'Allocators Calc'!CC13,0)</f>
        <v>0</v>
      </c>
      <c r="CM13">
        <f>ROUND($C13*'Allocators Calc'!CD13,0)</f>
        <v>0</v>
      </c>
      <c r="CN13">
        <f>ROUND($C13*'Allocators Calc'!CE13,0)</f>
        <v>0</v>
      </c>
      <c r="CO13">
        <f>ROUND($C13*'Allocators Calc'!CF13,0)</f>
        <v>0</v>
      </c>
      <c r="CP13">
        <f>ROUND($C13*'Allocators Calc'!CG13,0)</f>
        <v>0</v>
      </c>
      <c r="CQ13" s="11"/>
      <c r="CR13" s="2">
        <f>ROUND($C13*'Allocators Calc'!CI13,0)</f>
        <v>209027229</v>
      </c>
      <c r="CS13" s="2">
        <f>ROUND($C13*'Allocators Calc'!CJ13,0)</f>
        <v>253560065</v>
      </c>
      <c r="CT13" s="2">
        <f>ROUND($C13*'Allocators Calc'!CK13,0)</f>
        <v>92920001</v>
      </c>
      <c r="CU13" s="2">
        <f>ROUND($C13*'Allocators Calc'!CL13,0)</f>
        <v>12145041</v>
      </c>
      <c r="CV13" s="2">
        <f>ROUND($C13*'Allocators Calc'!CM13,0)</f>
        <v>22680019</v>
      </c>
      <c r="CW13" s="2">
        <f>ROUND($C13*'Allocators Calc'!CN13,0)</f>
        <v>12721689</v>
      </c>
      <c r="CX13" s="11"/>
      <c r="CY13">
        <f>ROUND($C13*'Allocators Calc'!CP13,0)</f>
        <v>0</v>
      </c>
      <c r="CZ13">
        <f>ROUND($C13*'Allocators Calc'!CQ13,0)</f>
        <v>0</v>
      </c>
      <c r="DA13" s="11"/>
      <c r="DB13">
        <f>ROUND($C13*'Allocators Calc'!CS13,0)</f>
        <v>0</v>
      </c>
      <c r="DC13">
        <f>ROUND($C13*'Allocators Calc'!CT13,0)</f>
        <v>0</v>
      </c>
      <c r="DD13">
        <f>ROUND($C13*'Allocators Calc'!CU13,0)</f>
        <v>0</v>
      </c>
      <c r="DE13">
        <f>ROUND($C13*'Allocators Calc'!CV13,0)</f>
        <v>0</v>
      </c>
      <c r="DF13">
        <f>ROUND($C13*'Allocators Calc'!CW13,0)</f>
        <v>0</v>
      </c>
      <c r="DG13">
        <f>ROUND($C13*'Allocators Calc'!CX13,0)</f>
        <v>0</v>
      </c>
      <c r="DH13">
        <f>ROUND($C13*'Allocators Calc'!CY13,0)</f>
        <v>0</v>
      </c>
      <c r="DI13">
        <f>ROUND($C13*'Allocators Calc'!CZ13,0)</f>
        <v>0</v>
      </c>
      <c r="DJ13">
        <f>ROUND($C13*'Allocators Calc'!DA13,0)</f>
        <v>0</v>
      </c>
      <c r="DK13" s="11"/>
      <c r="DL13" s="3">
        <f t="shared" si="0"/>
        <v>603054044</v>
      </c>
      <c r="DM13" s="3">
        <f t="shared" si="1"/>
        <v>603054043.74100006</v>
      </c>
      <c r="DN13" s="3">
        <f t="shared" si="2"/>
        <v>0.25899994373321533</v>
      </c>
    </row>
    <row r="14" spans="1:119" x14ac:dyDescent="0.2">
      <c r="B14">
        <v>12</v>
      </c>
      <c r="C14" s="2">
        <f>+'DEI Sales by Revenue'!C14</f>
        <v>879927396.44700003</v>
      </c>
      <c r="D14" s="2">
        <f>+'DEI Sales by Revenue'!D14</f>
        <v>497460332.65595984</v>
      </c>
      <c r="E14" s="2">
        <f>+'DEI Sales by Revenue'!E14</f>
        <v>718547932.59200013</v>
      </c>
      <c r="F14" s="2">
        <v>139361976</v>
      </c>
      <c r="G14" s="2">
        <f>+'DEI Sales by Revenue'!G14</f>
        <v>10650057.216</v>
      </c>
      <c r="K14" t="s">
        <v>243</v>
      </c>
      <c r="L14">
        <f>ROUND($C14*'Allocators Calc'!C14,0)</f>
        <v>0</v>
      </c>
      <c r="M14">
        <f>ROUND($C14*'Allocators Calc'!D14,0)</f>
        <v>0</v>
      </c>
      <c r="N14">
        <f>ROUND($C14*'Allocators Calc'!E14,0)</f>
        <v>0</v>
      </c>
      <c r="O14" s="3">
        <f>ROUND($C14*'Allocators Calc'!F14,0)</f>
        <v>0</v>
      </c>
      <c r="P14" s="15">
        <f>ROUND($C14*'Allocators Calc'!G14,0)</f>
        <v>0</v>
      </c>
      <c r="Q14">
        <f>ROUND($C14*'Allocators Calc'!H14,0)</f>
        <v>0</v>
      </c>
      <c r="R14">
        <f>ROUND($C14*'Allocators Calc'!I14,0)</f>
        <v>0</v>
      </c>
      <c r="S14">
        <f>ROUND($C14*'Allocators Calc'!J14,0)</f>
        <v>0</v>
      </c>
      <c r="T14" s="13">
        <f>ROUND($C14*'Allocators Calc'!K14,0)</f>
        <v>0</v>
      </c>
      <c r="U14">
        <f>ROUND($C14*'Allocators Calc'!L14,0)</f>
        <v>0</v>
      </c>
      <c r="V14">
        <f>ROUND($C14*'Allocators Calc'!M14,0)</f>
        <v>0</v>
      </c>
      <c r="W14">
        <f>ROUND($C14*'Allocators Calc'!N14,0)</f>
        <v>0</v>
      </c>
      <c r="X14" s="13">
        <f>ROUND($C14*'Allocators Calc'!O14,0)</f>
        <v>0</v>
      </c>
      <c r="Y14">
        <f>ROUND($C14*'Allocators Calc'!P14,0)</f>
        <v>0</v>
      </c>
      <c r="Z14">
        <f>ROUND($C14*'Allocators Calc'!Q14,0)</f>
        <v>0</v>
      </c>
      <c r="AA14">
        <f>ROUND($C14*'Allocators Calc'!R14,0)</f>
        <v>0</v>
      </c>
      <c r="AB14" s="13">
        <f>ROUND($C14*'Allocators Calc'!S14,0)</f>
        <v>0</v>
      </c>
      <c r="AC14">
        <f>ROUND($C14*'Allocators Calc'!T14,0)</f>
        <v>0</v>
      </c>
      <c r="AD14">
        <f>ROUND($C14*'Allocators Calc'!U14,0)</f>
        <v>0</v>
      </c>
      <c r="AE14">
        <f>ROUND($C14*'Allocators Calc'!V14,0)</f>
        <v>0</v>
      </c>
      <c r="AF14">
        <f>ROUND($C14*'Allocators Calc'!W14,0)</f>
        <v>0</v>
      </c>
      <c r="AG14" s="11"/>
      <c r="AH14">
        <f>ROUND($C14*'Allocators Calc'!Y14,0)</f>
        <v>0</v>
      </c>
      <c r="AI14">
        <f>ROUND($C14*'Allocators Calc'!Z14,0)</f>
        <v>0</v>
      </c>
      <c r="AJ14">
        <f>ROUND($C14*'Allocators Calc'!AA14,0)</f>
        <v>0</v>
      </c>
      <c r="AK14">
        <f>ROUND($C14*'Allocators Calc'!AB14,0)</f>
        <v>0</v>
      </c>
      <c r="AL14">
        <f>ROUND($C14*'Allocators Calc'!AC14,0)</f>
        <v>0</v>
      </c>
      <c r="AM14">
        <f>ROUND($C14*'Allocators Calc'!AD14,0)</f>
        <v>0</v>
      </c>
      <c r="AN14">
        <f>ROUND($C14*'Allocators Calc'!AE14,0)</f>
        <v>0</v>
      </c>
      <c r="AO14" s="11"/>
      <c r="AP14">
        <f>ROUND($C14*'Allocators Calc'!AG14,0)</f>
        <v>0</v>
      </c>
      <c r="AQ14">
        <f>ROUND($C14*'Allocators Calc'!AH14,0)</f>
        <v>0</v>
      </c>
      <c r="AR14">
        <f>ROUND($C14*'Allocators Calc'!AI14,0)</f>
        <v>0</v>
      </c>
      <c r="AS14">
        <f>ROUND($C14*'Allocators Calc'!AJ14,0)</f>
        <v>0</v>
      </c>
      <c r="AT14">
        <f>ROUND($C14*'Allocators Calc'!AK14,0)</f>
        <v>0</v>
      </c>
      <c r="AU14" s="13">
        <f>ROUND($C14*'Allocators Calc'!AL14,0)</f>
        <v>0</v>
      </c>
      <c r="AV14">
        <f>ROUND($C14*'Allocators Calc'!AM14,0)</f>
        <v>0</v>
      </c>
      <c r="AW14">
        <f>ROUND($C14*'Allocators Calc'!AN14,0)</f>
        <v>0</v>
      </c>
      <c r="AX14">
        <f>ROUND($C14*'Allocators Calc'!AO14,0)</f>
        <v>0</v>
      </c>
      <c r="AY14">
        <f>ROUND($C14*'Allocators Calc'!AP14,0)</f>
        <v>0</v>
      </c>
      <c r="AZ14">
        <f>ROUND($C14*'Allocators Calc'!AQ14,0)</f>
        <v>0</v>
      </c>
      <c r="BA14" s="13">
        <f>ROUND($C14*'Allocators Calc'!AR14,0)</f>
        <v>0</v>
      </c>
      <c r="BB14">
        <f>ROUND($C14*'Allocators Calc'!AS14,0)</f>
        <v>0</v>
      </c>
      <c r="BC14">
        <f>ROUND($C14*'Allocators Calc'!AT14,0)</f>
        <v>0</v>
      </c>
      <c r="BD14">
        <f>ROUND($C14*'Allocators Calc'!AU14,0)</f>
        <v>0</v>
      </c>
      <c r="BE14">
        <f>ROUND($C14*'Allocators Calc'!AV14,0)</f>
        <v>0</v>
      </c>
      <c r="BF14">
        <f>ROUND($C14*'Allocators Calc'!AW14,0)</f>
        <v>0</v>
      </c>
      <c r="BG14" s="13">
        <f>ROUND($C14*'Allocators Calc'!AX14,0)</f>
        <v>0</v>
      </c>
      <c r="BH14">
        <f>ROUND($C14*'Allocators Calc'!AY14,0)</f>
        <v>0</v>
      </c>
      <c r="BI14">
        <f>ROUND($C14*'Allocators Calc'!AZ14,0)</f>
        <v>0</v>
      </c>
      <c r="BJ14">
        <f>ROUND($C14*'Allocators Calc'!BA14,0)</f>
        <v>0</v>
      </c>
      <c r="BK14">
        <f>ROUND($C14*'Allocators Calc'!BB14,0)</f>
        <v>0</v>
      </c>
      <c r="BL14">
        <f>ROUND($C14*'Allocators Calc'!BC14,0)</f>
        <v>0</v>
      </c>
      <c r="BM14" s="13">
        <f>ROUND($C14*'Allocators Calc'!BD14,0)</f>
        <v>0</v>
      </c>
      <c r="BN14">
        <f>ROUND($C14*'Allocators Calc'!BE14,0)</f>
        <v>0</v>
      </c>
      <c r="BO14">
        <f>ROUND($C14*'Allocators Calc'!BF14,0)</f>
        <v>0</v>
      </c>
      <c r="BP14">
        <f>ROUND($C14*'Allocators Calc'!BG14,0)</f>
        <v>0</v>
      </c>
      <c r="BQ14">
        <f>ROUND($C14*'Allocators Calc'!BH14,0)</f>
        <v>0</v>
      </c>
      <c r="BR14">
        <f>ROUND($C14*'Allocators Calc'!BI14,0)</f>
        <v>0</v>
      </c>
      <c r="BS14" s="13">
        <f>ROUND($C14*'Allocators Calc'!BJ14,0)</f>
        <v>0</v>
      </c>
      <c r="BT14">
        <f>ROUND($C14*'Allocators Calc'!BK14,0)</f>
        <v>0</v>
      </c>
      <c r="BU14">
        <f>ROUND($C14*'Allocators Calc'!BL14,0)</f>
        <v>0</v>
      </c>
      <c r="BV14">
        <f>ROUND($C14*'Allocators Calc'!BM14,0)</f>
        <v>0</v>
      </c>
      <c r="BW14">
        <f>ROUND($C14*'Allocators Calc'!BN14,0)</f>
        <v>0</v>
      </c>
      <c r="BX14">
        <f>ROUND($C14*'Allocators Calc'!BO14,0)</f>
        <v>0</v>
      </c>
      <c r="BY14" s="13">
        <f>ROUND($C14*'Allocators Calc'!BP14,0)</f>
        <v>0</v>
      </c>
      <c r="BZ14">
        <f>ROUND($C14*'Allocators Calc'!BQ14,0)</f>
        <v>0</v>
      </c>
      <c r="CA14">
        <f>ROUND($C14*'Allocators Calc'!BR14,0)</f>
        <v>0</v>
      </c>
      <c r="CB14">
        <f>ROUND($C14*'Allocators Calc'!BS14,0)</f>
        <v>0</v>
      </c>
      <c r="CC14">
        <f>ROUND($C14*'Allocators Calc'!BT14,0)</f>
        <v>0</v>
      </c>
      <c r="CD14">
        <f>ROUND($C14*'Allocators Calc'!BU14,0)</f>
        <v>0</v>
      </c>
      <c r="CE14" s="13">
        <f>ROUND($C14*'Allocators Calc'!BV14,0)</f>
        <v>0</v>
      </c>
      <c r="CF14" s="11"/>
      <c r="CG14">
        <f>ROUND($C14*'Allocators Calc'!BX14,0)</f>
        <v>0</v>
      </c>
      <c r="CH14">
        <f>ROUND($C14*'Allocators Calc'!BY14,0)</f>
        <v>0</v>
      </c>
      <c r="CI14">
        <f>ROUND($C14*'Allocators Calc'!BZ14,0)</f>
        <v>0</v>
      </c>
      <c r="CJ14">
        <f>ROUND($C14*'Allocators Calc'!CA14,0)</f>
        <v>0</v>
      </c>
      <c r="CK14">
        <f>ROUND($C14*'Allocators Calc'!CB14,0)</f>
        <v>0</v>
      </c>
      <c r="CL14">
        <f>ROUND($C14*'Allocators Calc'!CC14,0)</f>
        <v>0</v>
      </c>
      <c r="CM14">
        <f>ROUND($C14*'Allocators Calc'!CD14,0)</f>
        <v>0</v>
      </c>
      <c r="CN14">
        <f>ROUND($C14*'Allocators Calc'!CE14,0)</f>
        <v>0</v>
      </c>
      <c r="CO14">
        <f>ROUND($C14*'Allocators Calc'!CF14,0)</f>
        <v>0</v>
      </c>
      <c r="CP14">
        <f>ROUND($C14*'Allocators Calc'!CG14,0)</f>
        <v>0</v>
      </c>
      <c r="CQ14" s="11"/>
      <c r="CR14" s="2">
        <f>ROUND($C14*'Allocators Calc'!CI14,0)</f>
        <v>217993961</v>
      </c>
      <c r="CS14" s="2">
        <f>ROUND($C14*'Allocators Calc'!CJ14,0)</f>
        <v>330022515</v>
      </c>
      <c r="CT14" s="2">
        <f>ROUND($C14*'Allocators Calc'!CK14,0)</f>
        <v>252592034</v>
      </c>
      <c r="CU14" s="2">
        <f>ROUND($C14*'Allocators Calc'!CL14,0)</f>
        <v>12363625</v>
      </c>
      <c r="CV14" s="2">
        <f>ROUND($C14*'Allocators Calc'!CM14,0)</f>
        <v>26997653</v>
      </c>
      <c r="CW14" s="2">
        <f>ROUND($C14*'Allocators Calc'!CN14,0)</f>
        <v>39957608</v>
      </c>
      <c r="CX14" s="11"/>
      <c r="CY14">
        <f>ROUND($C14*'Allocators Calc'!CP14,0)</f>
        <v>0</v>
      </c>
      <c r="CZ14">
        <f>ROUND($C14*'Allocators Calc'!CQ14,0)</f>
        <v>0</v>
      </c>
      <c r="DA14" s="11"/>
      <c r="DB14">
        <f>ROUND($C14*'Allocators Calc'!CS14,0)</f>
        <v>0</v>
      </c>
      <c r="DC14">
        <f>ROUND($C14*'Allocators Calc'!CT14,0)</f>
        <v>0</v>
      </c>
      <c r="DD14">
        <f>ROUND($C14*'Allocators Calc'!CU14,0)</f>
        <v>0</v>
      </c>
      <c r="DE14">
        <f>ROUND($C14*'Allocators Calc'!CV14,0)</f>
        <v>0</v>
      </c>
      <c r="DF14">
        <f>ROUND($C14*'Allocators Calc'!CW14,0)</f>
        <v>0</v>
      </c>
      <c r="DG14">
        <f>ROUND($C14*'Allocators Calc'!CX14,0)</f>
        <v>0</v>
      </c>
      <c r="DH14">
        <f>ROUND($C14*'Allocators Calc'!CY14,0)</f>
        <v>0</v>
      </c>
      <c r="DI14">
        <f>ROUND($C14*'Allocators Calc'!CZ14,0)</f>
        <v>0</v>
      </c>
      <c r="DJ14">
        <f>ROUND($C14*'Allocators Calc'!DA14,0)</f>
        <v>0</v>
      </c>
      <c r="DK14" s="11"/>
      <c r="DL14" s="3">
        <f t="shared" si="0"/>
        <v>879927396</v>
      </c>
      <c r="DM14" s="3">
        <f t="shared" si="1"/>
        <v>879927396.44700003</v>
      </c>
      <c r="DN14" s="3">
        <f t="shared" si="2"/>
        <v>-0.44700002670288086</v>
      </c>
      <c r="DO14" s="3">
        <f>SUM(DM3:DM14)</f>
        <v>9253714339.3770008</v>
      </c>
    </row>
    <row r="15" spans="1:119" x14ac:dyDescent="0.2">
      <c r="C15" s="7">
        <f>SUM(C3:C14)</f>
        <v>9253714339.3770008</v>
      </c>
      <c r="D15" s="7">
        <f>SUM(D3:D14)</f>
        <v>5860812710.4110012</v>
      </c>
      <c r="E15" s="7">
        <f>SUM(E3:E14)</f>
        <v>9250045215.7039986</v>
      </c>
      <c r="F15" s="7">
        <f>+'DEI Sales by Revenue'!F15</f>
        <v>1750172484</v>
      </c>
      <c r="G15" s="7">
        <f>SUM(G3:G14)</f>
        <v>126249561.64000002</v>
      </c>
      <c r="K15" s="11"/>
      <c r="L15" s="11"/>
      <c r="M15" s="11"/>
      <c r="N15" s="11"/>
      <c r="O15" s="14"/>
      <c r="P15" s="16"/>
      <c r="Q15" s="11"/>
      <c r="R15" s="11"/>
      <c r="S15" s="11"/>
      <c r="T15" s="14"/>
      <c r="U15" s="11"/>
      <c r="V15" s="11"/>
      <c r="W15" s="11"/>
      <c r="X15" s="14"/>
      <c r="Y15" s="11"/>
      <c r="Z15" s="11"/>
      <c r="AA15" s="11"/>
      <c r="AB15" s="14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4"/>
      <c r="AV15" s="11"/>
      <c r="AW15" s="11"/>
      <c r="AX15" s="11"/>
      <c r="AY15" s="11"/>
      <c r="AZ15" s="11"/>
      <c r="BA15" s="14"/>
      <c r="BB15" s="11"/>
      <c r="BC15" s="11"/>
      <c r="BD15" s="11"/>
      <c r="BE15" s="11"/>
      <c r="BF15" s="11"/>
      <c r="BG15" s="14"/>
      <c r="BH15" s="11"/>
      <c r="BI15" s="11"/>
      <c r="BJ15" s="11"/>
      <c r="BK15" s="11"/>
      <c r="BL15" s="11"/>
      <c r="BM15" s="14"/>
      <c r="BN15" s="11"/>
      <c r="BO15" s="11"/>
      <c r="BP15" s="11"/>
      <c r="BQ15" s="11"/>
      <c r="BR15" s="11"/>
      <c r="BS15" s="14"/>
      <c r="BT15" s="11"/>
      <c r="BU15" s="11"/>
      <c r="BV15" s="11"/>
      <c r="BW15" s="11"/>
      <c r="BX15" s="11"/>
      <c r="BY15" s="14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4"/>
      <c r="CU15" s="11"/>
      <c r="CV15" s="11"/>
      <c r="CW15" s="14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N15" s="3"/>
    </row>
    <row r="16" spans="1:119" x14ac:dyDescent="0.2">
      <c r="F16" s="107" t="s">
        <v>8</v>
      </c>
      <c r="G16" s="3">
        <f>SUM(C15:G15)</f>
        <v>26240994311.132</v>
      </c>
      <c r="K16" t="s">
        <v>27</v>
      </c>
      <c r="L16" s="344" t="str">
        <f>L1</f>
        <v>CSN0</v>
      </c>
      <c r="M16" s="344"/>
      <c r="N16" s="344"/>
      <c r="O16" s="345"/>
      <c r="P16" s="15" t="str">
        <f>P1</f>
        <v>CSN2</v>
      </c>
      <c r="Q16" s="343" t="str">
        <f>Q1</f>
        <v>CSN7</v>
      </c>
      <c r="R16" s="344"/>
      <c r="S16" s="344"/>
      <c r="T16" s="345"/>
      <c r="U16" s="343" t="str">
        <f>U1</f>
        <v>CSN8</v>
      </c>
      <c r="V16" s="344"/>
      <c r="W16" s="344"/>
      <c r="X16" s="345"/>
      <c r="Y16" s="343" t="str">
        <f>Y1</f>
        <v>CSN9</v>
      </c>
      <c r="Z16" s="344"/>
      <c r="AA16" s="344"/>
      <c r="AB16" s="345"/>
      <c r="AC16" s="343" t="str">
        <f>AC1</f>
        <v>SFOC</v>
      </c>
      <c r="AD16" s="344"/>
      <c r="AE16" s="344"/>
      <c r="AF16" s="344"/>
      <c r="AG16" s="11"/>
      <c r="AH16" t="str">
        <f t="shared" ref="AH16:AN16" si="3">AH1</f>
        <v>HBN0</v>
      </c>
      <c r="AI16" t="str">
        <f t="shared" si="3"/>
        <v>HCN0</v>
      </c>
      <c r="AJ16" t="str">
        <f t="shared" si="3"/>
        <v>HCN3</v>
      </c>
      <c r="AK16" s="9" t="s">
        <v>60</v>
      </c>
      <c r="AL16" t="str">
        <f t="shared" si="3"/>
        <v>HDN0</v>
      </c>
      <c r="AM16" t="str">
        <f t="shared" si="3"/>
        <v>HPN0</v>
      </c>
      <c r="AN16" t="str">
        <f t="shared" si="3"/>
        <v>HSN0</v>
      </c>
      <c r="AO16" s="11"/>
      <c r="AP16" s="343" t="str">
        <f>AP1</f>
        <v>LBN0</v>
      </c>
      <c r="AQ16" s="344"/>
      <c r="AR16" s="344"/>
      <c r="AS16" s="344"/>
      <c r="AT16" s="344"/>
      <c r="AU16" s="345"/>
      <c r="AV16" s="343" t="str">
        <f>AV1</f>
        <v>LDN0</v>
      </c>
      <c r="AW16" s="344"/>
      <c r="AX16" s="344"/>
      <c r="AY16" s="344"/>
      <c r="AZ16" s="344"/>
      <c r="BA16" s="345"/>
      <c r="BB16" s="343" t="str">
        <f>BB1</f>
        <v>LPN0</v>
      </c>
      <c r="BC16" s="344"/>
      <c r="BD16" s="344"/>
      <c r="BE16" s="344"/>
      <c r="BF16" s="344"/>
      <c r="BG16" s="345"/>
      <c r="BH16" s="343" t="str">
        <f>BH1</f>
        <v>LSN0</v>
      </c>
      <c r="BI16" s="344"/>
      <c r="BJ16" s="344"/>
      <c r="BK16" s="344"/>
      <c r="BL16" s="344"/>
      <c r="BM16" s="345"/>
      <c r="BN16" s="343" t="str">
        <f>BN1</f>
        <v>LSN2</v>
      </c>
      <c r="BO16" s="344"/>
      <c r="BP16" s="344"/>
      <c r="BQ16" s="344"/>
      <c r="BR16" s="344"/>
      <c r="BS16" s="345"/>
      <c r="BT16" s="343" t="str">
        <f>BT1</f>
        <v>LSN3 - Peak</v>
      </c>
      <c r="BU16" s="344"/>
      <c r="BV16" s="344"/>
      <c r="BW16" s="344"/>
      <c r="BX16" s="344"/>
      <c r="BY16" s="344"/>
      <c r="BZ16" s="343" t="str">
        <f>BZ1</f>
        <v>LSN3 - Grandfathered</v>
      </c>
      <c r="CA16" s="344"/>
      <c r="CB16" s="344"/>
      <c r="CC16" s="344"/>
      <c r="CD16" s="344"/>
      <c r="CE16" s="344"/>
      <c r="CF16" s="11"/>
      <c r="CG16" t="str">
        <f t="shared" ref="CG16:CP16" si="4">CG1</f>
        <v>NUCF</v>
      </c>
      <c r="CH16" t="str">
        <f t="shared" si="4"/>
        <v>NUIF</v>
      </c>
      <c r="CI16" t="str">
        <f t="shared" si="4"/>
        <v>NUID</v>
      </c>
      <c r="CJ16" t="str">
        <f t="shared" si="4"/>
        <v>NUCS</v>
      </c>
      <c r="CK16" t="str">
        <f t="shared" si="4"/>
        <v>SAES</v>
      </c>
      <c r="CL16" t="str">
        <f t="shared" si="4"/>
        <v>SASN</v>
      </c>
      <c r="CM16" t="str">
        <f t="shared" si="4"/>
        <v>SPUF</v>
      </c>
      <c r="CN16" t="str">
        <f t="shared" si="4"/>
        <v>SPUR</v>
      </c>
      <c r="CO16" t="str">
        <f t="shared" si="4"/>
        <v>SDEH</v>
      </c>
      <c r="CP16" t="str">
        <f t="shared" si="4"/>
        <v>SDED</v>
      </c>
      <c r="CQ16" s="11"/>
      <c r="CR16" s="344" t="str">
        <f>CR1</f>
        <v>RSN0</v>
      </c>
      <c r="CS16" s="344"/>
      <c r="CT16" s="345"/>
      <c r="CU16" s="343" t="str">
        <f>CU1</f>
        <v>RSN2</v>
      </c>
      <c r="CV16" s="344"/>
      <c r="CW16" s="345"/>
      <c r="CX16" s="11"/>
      <c r="CY16" s="344" t="str">
        <f t="shared" ref="CY16:CZ17" si="5">CY1</f>
        <v xml:space="preserve">SWP </v>
      </c>
      <c r="CZ16" s="344"/>
      <c r="DA16" s="11"/>
      <c r="DB16" t="str">
        <f>DB1</f>
        <v>MHLS</v>
      </c>
      <c r="DC16" t="str">
        <f>DC1</f>
        <v>FS</v>
      </c>
      <c r="DD16" t="str">
        <f t="shared" ref="DD16:DJ16" si="6">DD1</f>
        <v>MOLS</v>
      </c>
      <c r="DE16" t="str">
        <f t="shared" si="6"/>
        <v>MS</v>
      </c>
      <c r="DF16" t="str">
        <f>DF1</f>
        <v>SL</v>
      </c>
      <c r="DG16" t="str">
        <f t="shared" si="6"/>
        <v>TS</v>
      </c>
      <c r="DH16" t="str">
        <f t="shared" si="6"/>
        <v>UOLS</v>
      </c>
      <c r="DI16" t="str">
        <f t="shared" si="6"/>
        <v>WHTL</v>
      </c>
      <c r="DJ16" t="str">
        <f t="shared" si="6"/>
        <v>XLED</v>
      </c>
      <c r="DK16" s="11"/>
      <c r="DM16" s="3"/>
      <c r="DN16" s="3"/>
    </row>
    <row r="17" spans="1:121" x14ac:dyDescent="0.2">
      <c r="G17" s="107" t="s">
        <v>8</v>
      </c>
      <c r="L17" t="str">
        <f t="shared" ref="L17:AF17" si="7">L2</f>
        <v>First 300</v>
      </c>
      <c r="M17" t="str">
        <f t="shared" si="7"/>
        <v>Next 700</v>
      </c>
      <c r="N17" t="str">
        <f t="shared" si="7"/>
        <v>Next 1500</v>
      </c>
      <c r="O17" s="13" t="str">
        <f t="shared" si="7"/>
        <v>Over 2500</v>
      </c>
      <c r="P17" s="15"/>
      <c r="Q17" t="str">
        <f t="shared" si="7"/>
        <v>First 300</v>
      </c>
      <c r="R17" t="str">
        <f t="shared" si="7"/>
        <v>Next 700</v>
      </c>
      <c r="S17" t="str">
        <f t="shared" si="7"/>
        <v>Next 1500</v>
      </c>
      <c r="T17" s="13" t="str">
        <f t="shared" si="7"/>
        <v>Over 2500</v>
      </c>
      <c r="U17" t="str">
        <f t="shared" si="7"/>
        <v>First 300</v>
      </c>
      <c r="V17" t="str">
        <f t="shared" si="7"/>
        <v>Next 700</v>
      </c>
      <c r="W17" t="str">
        <f t="shared" si="7"/>
        <v>Next 1500</v>
      </c>
      <c r="X17" s="13" t="str">
        <f t="shared" si="7"/>
        <v>Over 2500</v>
      </c>
      <c r="Y17" t="str">
        <f t="shared" si="7"/>
        <v>First 300</v>
      </c>
      <c r="Z17" t="str">
        <f t="shared" si="7"/>
        <v>Next 700</v>
      </c>
      <c r="AA17" t="str">
        <f t="shared" si="7"/>
        <v>Next 1500</v>
      </c>
      <c r="AB17" s="13" t="str">
        <f t="shared" si="7"/>
        <v>Over 2500</v>
      </c>
      <c r="AC17" t="str">
        <f t="shared" si="7"/>
        <v>First 300</v>
      </c>
      <c r="AD17" t="str">
        <f t="shared" si="7"/>
        <v>Next 700</v>
      </c>
      <c r="AE17" t="str">
        <f t="shared" si="7"/>
        <v>Next 1500</v>
      </c>
      <c r="AF17" t="str">
        <f t="shared" si="7"/>
        <v>Over 2500</v>
      </c>
      <c r="AG17" s="11"/>
      <c r="AJ17" s="9" t="s">
        <v>8</v>
      </c>
      <c r="AK17" s="9" t="s">
        <v>8</v>
      </c>
      <c r="AO17" s="11"/>
      <c r="AP17" t="str">
        <f>AP2</f>
        <v>First 300 kWh</v>
      </c>
      <c r="AQ17" t="str">
        <f>AQ2</f>
        <v>Next 700 kWh</v>
      </c>
      <c r="AR17" t="str">
        <f>AR2</f>
        <v>Next 1500 kWh</v>
      </c>
      <c r="AS17" t="str">
        <f>AS2</f>
        <v>Over 2500 kWh</v>
      </c>
      <c r="AT17" t="str">
        <f>AT2</f>
        <v>KWH_NEXT110</v>
      </c>
      <c r="AU17" s="13" t="str">
        <f>AU2</f>
        <v>KWH_300+</v>
      </c>
      <c r="AV17" t="str">
        <f>AV2</f>
        <v>First 300 kWh</v>
      </c>
      <c r="AW17" t="str">
        <f>AW2</f>
        <v>Next 700 kWh</v>
      </c>
      <c r="AX17" t="str">
        <f>AX2</f>
        <v>Next 1500 kWh</v>
      </c>
      <c r="AY17" t="str">
        <f>AY2</f>
        <v>Over 2500 kWh</v>
      </c>
      <c r="AZ17" t="str">
        <f>AZ2</f>
        <v>KWH_NEXT110</v>
      </c>
      <c r="BA17" s="13" t="str">
        <f>BA2</f>
        <v>KWH_300+</v>
      </c>
      <c r="BB17" t="str">
        <f>BB2</f>
        <v>First 300 kWh</v>
      </c>
      <c r="BC17" t="str">
        <f>BC2</f>
        <v>Next 700 kWh</v>
      </c>
      <c r="BD17" t="str">
        <f>BD2</f>
        <v>Next 1500 kWh</v>
      </c>
      <c r="BE17" t="str">
        <f>BE2</f>
        <v>Over 2500 kWh</v>
      </c>
      <c r="BF17" t="str">
        <f>BF2</f>
        <v>KWH_NEXT110</v>
      </c>
      <c r="BG17" s="13" t="str">
        <f>BG2</f>
        <v>KWH_300+</v>
      </c>
      <c r="BH17" t="str">
        <f>BH2</f>
        <v>First 300 kWh</v>
      </c>
      <c r="BI17" t="str">
        <f>BI2</f>
        <v>Next 700 kWh</v>
      </c>
      <c r="BJ17" t="str">
        <f>BJ2</f>
        <v>Next 1500 kWh</v>
      </c>
      <c r="BK17" t="str">
        <f>BK2</f>
        <v>Over 2500 kWh</v>
      </c>
      <c r="BL17" t="str">
        <f>BL2</f>
        <v>KWH_NEXT110</v>
      </c>
      <c r="BM17" s="13" t="str">
        <f>BM2</f>
        <v>KWH_300+</v>
      </c>
      <c r="BN17" t="str">
        <f>BN2</f>
        <v>First 300 kWh</v>
      </c>
      <c r="BO17" t="str">
        <f>BO2</f>
        <v>Next 700 kWh</v>
      </c>
      <c r="BP17" t="str">
        <f>BP2</f>
        <v>Next 1500 kWh</v>
      </c>
      <c r="BQ17" t="str">
        <f>BQ2</f>
        <v>Over 2500 kWh</v>
      </c>
      <c r="BR17" t="str">
        <f>BR2</f>
        <v>KWH_NEXT110</v>
      </c>
      <c r="BS17" s="13" t="str">
        <f>BS2</f>
        <v>KWH_300+</v>
      </c>
      <c r="BT17" t="str">
        <f>BT2</f>
        <v>First 300 kWh</v>
      </c>
      <c r="BU17" t="str">
        <f>BU2</f>
        <v>Next 700 kWh</v>
      </c>
      <c r="BV17" t="str">
        <f>BV2</f>
        <v>Next 1500 kWh</v>
      </c>
      <c r="BW17" t="str">
        <f>BW2</f>
        <v>Over 2500 kWh</v>
      </c>
      <c r="BX17" t="str">
        <f>BX2</f>
        <v>KWH_NEXT110</v>
      </c>
      <c r="BY17" s="13" t="str">
        <f>BY2</f>
        <v>KWH_300+</v>
      </c>
      <c r="BZ17" t="str">
        <f t="shared" ref="BZ17:CE17" si="8">BZ2</f>
        <v>First 300 kWh</v>
      </c>
      <c r="CA17" t="str">
        <f t="shared" si="8"/>
        <v>Next 700 kWh</v>
      </c>
      <c r="CB17" t="str">
        <f t="shared" si="8"/>
        <v>Next 1500 kWh</v>
      </c>
      <c r="CC17" t="str">
        <f t="shared" si="8"/>
        <v>Over 2500 kWh</v>
      </c>
      <c r="CD17" t="str">
        <f t="shared" si="8"/>
        <v>KWH_NEXT110</v>
      </c>
      <c r="CE17" t="str">
        <f t="shared" si="8"/>
        <v>KWH_300+</v>
      </c>
      <c r="CF17" s="11"/>
      <c r="CQ17" s="11"/>
      <c r="CR17" t="str">
        <f>CR2</f>
        <v>First 300 kWh</v>
      </c>
      <c r="CS17" t="str">
        <f>CS2</f>
        <v>Next 700 kWh</v>
      </c>
      <c r="CT17" s="13" t="str">
        <f>CT2</f>
        <v>Over 1000 kWh</v>
      </c>
      <c r="CU17" t="str">
        <f>CU2</f>
        <v>First 300 kWh</v>
      </c>
      <c r="CV17" t="str">
        <f>CV2</f>
        <v>Next 700 kWh</v>
      </c>
      <c r="CW17" s="13" t="str">
        <f>CW2</f>
        <v>Over 1000 kWh</v>
      </c>
      <c r="CX17" s="11"/>
      <c r="CY17" t="str">
        <f t="shared" si="5"/>
        <v>First 2000</v>
      </c>
      <c r="CZ17" t="str">
        <f t="shared" si="5"/>
        <v>Over 2000</v>
      </c>
      <c r="DA17" s="11"/>
      <c r="DK17" s="11"/>
      <c r="DM17" s="3"/>
      <c r="DN17" s="3"/>
    </row>
    <row r="18" spans="1:121" x14ac:dyDescent="0.2">
      <c r="A18" s="8"/>
      <c r="G18" s="3"/>
      <c r="J18" s="9"/>
      <c r="K18" t="s">
        <v>232</v>
      </c>
      <c r="L18">
        <f>ROUND($D3*'Allocators Calc'!C18,0)</f>
        <v>14492217</v>
      </c>
      <c r="M18">
        <f>ROUND($D3*'Allocators Calc'!D18,0)</f>
        <v>21058096</v>
      </c>
      <c r="N18">
        <f>ROUND($D3*'Allocators Calc'!E18,0)</f>
        <v>23025703</v>
      </c>
      <c r="O18">
        <f>ROUND($D3*'Allocators Calc'!F18,0)</f>
        <v>35190314</v>
      </c>
      <c r="P18" s="15">
        <f>ROUND($D3*'Allocators Calc'!G18,0)</f>
        <v>512377</v>
      </c>
      <c r="Q18">
        <f>ROUND($D3*'Allocators Calc'!H18,0)</f>
        <v>316</v>
      </c>
      <c r="R18">
        <f>ROUND($D3*'Allocators Calc'!I18,0)</f>
        <v>0</v>
      </c>
      <c r="S18">
        <f>ROUND($D3*'Allocators Calc'!J18,0)</f>
        <v>0</v>
      </c>
      <c r="T18" s="13">
        <f>ROUND($D3*'Allocators Calc'!K18,0)</f>
        <v>0</v>
      </c>
      <c r="U18">
        <f>ROUND($D3*'Allocators Calc'!L18,0)</f>
        <v>1414171</v>
      </c>
      <c r="V18">
        <f>ROUND($D3*'Allocators Calc'!M18,0)</f>
        <v>759312</v>
      </c>
      <c r="W18">
        <f>ROUND($D3*'Allocators Calc'!N18,0)</f>
        <v>92577</v>
      </c>
      <c r="X18" s="13">
        <f>ROUND($D3*'Allocators Calc'!O18,0)</f>
        <v>73942</v>
      </c>
      <c r="Y18">
        <f>ROUND($D3*'Allocators Calc'!P18,0)</f>
        <v>0</v>
      </c>
      <c r="Z18">
        <f>ROUND($D3*'Allocators Calc'!Q18,0)</f>
        <v>0</v>
      </c>
      <c r="AA18">
        <f>ROUND($D3*'Allocators Calc'!R18,0)</f>
        <v>0</v>
      </c>
      <c r="AB18" s="13">
        <f>ROUND($D3*'Allocators Calc'!S18,0)</f>
        <v>0</v>
      </c>
      <c r="AC18">
        <f>ROUND($D3*'Allocators Calc'!T18,0)</f>
        <v>0</v>
      </c>
      <c r="AD18">
        <f>ROUND($D3*'Allocators Calc'!U18,0)</f>
        <v>0</v>
      </c>
      <c r="AE18">
        <f>ROUND($D3*'Allocators Calc'!V18,0)</f>
        <v>0</v>
      </c>
      <c r="AF18">
        <f>ROUND($D3*'Allocators Calc'!W18,0)</f>
        <v>0</v>
      </c>
      <c r="AG18" s="11"/>
      <c r="AH18">
        <f>ROUND($D3*'Allocators Calc'!Y18,0)</f>
        <v>0</v>
      </c>
      <c r="AI18">
        <f>ROUND($D3*'Allocators Calc'!Z18,0)</f>
        <v>16775</v>
      </c>
      <c r="AJ18">
        <f>ROUND($D3*'Allocators Calc'!AA18,0)</f>
        <v>0</v>
      </c>
      <c r="AK18">
        <f>ROUND($D3*'Allocators Calc'!AB18,0)</f>
        <v>57547</v>
      </c>
      <c r="AL18">
        <f>ROUND($D3*'Allocators Calc'!AC18,0)</f>
        <v>712882</v>
      </c>
      <c r="AM18">
        <f>ROUND($D3*'Allocators Calc'!AD18,0)</f>
        <v>26447338</v>
      </c>
      <c r="AN18" s="10">
        <f t="shared" ref="AN18:AN29" si="9">ROUND($D3-SUM(L18:AM18)-SUM(AO18:DJ18),0)</f>
        <v>164521344</v>
      </c>
      <c r="AO18" s="11"/>
      <c r="AP18">
        <f>ROUND($D3*'Allocators Calc'!AG18,0)</f>
        <v>2660</v>
      </c>
      <c r="AQ18">
        <f>ROUND($D3*'Allocators Calc'!AH18,0)</f>
        <v>4750</v>
      </c>
      <c r="AR18">
        <f>ROUND($D3*'Allocators Calc'!AI18,0)</f>
        <v>8462</v>
      </c>
      <c r="AS18">
        <f>ROUND($D3*'Allocators Calc'!AJ18,0)</f>
        <v>16596</v>
      </c>
      <c r="AT18">
        <f>ROUND($D3*'Allocators Calc'!AK18,0)</f>
        <v>0</v>
      </c>
      <c r="AU18" s="13">
        <f>ROUND($D3*'Allocators Calc'!AL18,0)</f>
        <v>0</v>
      </c>
      <c r="AV18">
        <f>ROUND($D3*'Allocators Calc'!AM18,0)</f>
        <v>716</v>
      </c>
      <c r="AW18">
        <f>ROUND($D3*'Allocators Calc'!AN18,0)</f>
        <v>1670</v>
      </c>
      <c r="AX18">
        <f>ROUND($D3*'Allocators Calc'!AO18,0)</f>
        <v>3579</v>
      </c>
      <c r="AY18">
        <f>ROUND($D3*'Allocators Calc'!AP18,0)</f>
        <v>1721659</v>
      </c>
      <c r="AZ18">
        <f>ROUND($D3*'Allocators Calc'!AQ18,0)</f>
        <v>279404</v>
      </c>
      <c r="BA18" s="13">
        <f>ROUND($D3*'Allocators Calc'!AR18,0)</f>
        <v>131508</v>
      </c>
      <c r="BB18">
        <f>ROUND($D3*'Allocators Calc'!AS18,0)</f>
        <v>3535</v>
      </c>
      <c r="BC18">
        <f>ROUND($D3*'Allocators Calc'!AT18,0)</f>
        <v>8081</v>
      </c>
      <c r="BD18">
        <f>ROUND($D3*'Allocators Calc'!AU18,0)</f>
        <v>16180</v>
      </c>
      <c r="BE18">
        <f>ROUND($D3*'Allocators Calc'!AV18,0)</f>
        <v>1819227</v>
      </c>
      <c r="BF18">
        <f>ROUND($D3*'Allocators Calc'!AW18,0)</f>
        <v>1667408</v>
      </c>
      <c r="BG18" s="13">
        <f>ROUND($D3*'Allocators Calc'!AX18,0)</f>
        <v>146314</v>
      </c>
      <c r="BH18">
        <f>ROUND($D3*'Allocators Calc'!AY18,0)</f>
        <v>5313996</v>
      </c>
      <c r="BI18">
        <f>ROUND($D3*'Allocators Calc'!AZ18,0)</f>
        <v>10491701</v>
      </c>
      <c r="BJ18">
        <f>ROUND($D3*'Allocators Calc'!BA18,0)</f>
        <v>15915395</v>
      </c>
      <c r="BK18">
        <f>ROUND($D3*'Allocators Calc'!BB18,0)</f>
        <v>100344387</v>
      </c>
      <c r="BL18">
        <f>ROUND($D3*'Allocators Calc'!BC18,0)</f>
        <v>55330237</v>
      </c>
      <c r="BM18" s="13">
        <f>ROUND($D3*'Allocators Calc'!BD18,0)</f>
        <v>40544525</v>
      </c>
      <c r="BN18">
        <f>ROUND($D3*'Allocators Calc'!BE18,0)</f>
        <v>71221</v>
      </c>
      <c r="BO18">
        <f>ROUND($D3*'Allocators Calc'!BF18,0)</f>
        <v>163055</v>
      </c>
      <c r="BP18">
        <f>ROUND($D3*'Allocators Calc'!BG18,0)</f>
        <v>340980</v>
      </c>
      <c r="BQ18">
        <f>ROUND($D3*'Allocators Calc'!BH18,0)</f>
        <v>6977355</v>
      </c>
      <c r="BR18">
        <f>ROUND($D3*'Allocators Calc'!BI18,0)</f>
        <v>3951813</v>
      </c>
      <c r="BS18" s="13">
        <f>ROUND($D3*'Allocators Calc'!BJ18,0)</f>
        <v>4213543</v>
      </c>
      <c r="BT18">
        <f>ROUND($D3*'Allocators Calc'!BK18,0)</f>
        <v>974</v>
      </c>
      <c r="BU18">
        <f>ROUND($D3*'Allocators Calc'!BL18,0)</f>
        <v>2272</v>
      </c>
      <c r="BV18">
        <f>ROUND($D3*'Allocators Calc'!BM18,0)</f>
        <v>4868</v>
      </c>
      <c r="BW18">
        <f>ROUND($D3*'Allocators Calc'!BN18,0)</f>
        <v>11343</v>
      </c>
      <c r="BX18">
        <f>ROUND($D3*'Allocators Calc'!BO18,0)</f>
        <v>0</v>
      </c>
      <c r="BY18" s="13">
        <f>ROUND($D3*'Allocators Calc'!BP18,0)</f>
        <v>0</v>
      </c>
      <c r="BZ18">
        <f>ROUND($D3*'Allocators Calc'!BQ18,0)</f>
        <v>0</v>
      </c>
      <c r="CA18">
        <f>ROUND($D3*'Allocators Calc'!BR18,0)</f>
        <v>0</v>
      </c>
      <c r="CB18">
        <f>ROUND($D3*'Allocators Calc'!BS18,0)</f>
        <v>0</v>
      </c>
      <c r="CC18">
        <f>ROUND($D3*'Allocators Calc'!BT18,0)</f>
        <v>0</v>
      </c>
      <c r="CD18">
        <f>ROUND($D3*'Allocators Calc'!BU18,0)</f>
        <v>0</v>
      </c>
      <c r="CE18" s="13">
        <f>ROUND($D3*'Allocators Calc'!BV18,0)</f>
        <v>0</v>
      </c>
      <c r="CF18" s="11"/>
      <c r="CG18">
        <f>ROUND($D3*'Allocators Calc'!BX18,0)</f>
        <v>0</v>
      </c>
      <c r="CH18">
        <f>ROUND($D3*'Allocators Calc'!BY18,0)</f>
        <v>0</v>
      </c>
      <c r="CI18">
        <f>ROUND($D3*'Allocators Calc'!BZ18,0)</f>
        <v>0</v>
      </c>
      <c r="CJ18">
        <f>ROUND($D3*'Allocators Calc'!CA18,0)</f>
        <v>0</v>
      </c>
      <c r="CK18">
        <f>ROUND($D3*'Allocators Calc'!CB18,0)</f>
        <v>0</v>
      </c>
      <c r="CL18">
        <f>ROUND($D3*'Allocators Calc'!CC18,0)</f>
        <v>0</v>
      </c>
      <c r="CM18">
        <f>ROUND($D3*'Allocators Calc'!CD18,0)</f>
        <v>0</v>
      </c>
      <c r="CN18">
        <f>ROUND($D3*'Allocators Calc'!CE18,0)</f>
        <v>0</v>
      </c>
      <c r="CO18">
        <f>ROUND($D3*'Allocators Calc'!CF18,0)</f>
        <v>0</v>
      </c>
      <c r="CP18">
        <f>ROUND($D3*'Allocators Calc'!CG18,0)</f>
        <v>0</v>
      </c>
      <c r="CQ18" s="11"/>
      <c r="CR18">
        <f>ROUND($D3*'Allocators Calc'!CI18,0)</f>
        <v>0</v>
      </c>
      <c r="CS18">
        <f>ROUND($D3*'Allocators Calc'!CJ18,0)</f>
        <v>0</v>
      </c>
      <c r="CT18">
        <f>ROUND($D3*'Allocators Calc'!CK18,0)</f>
        <v>0</v>
      </c>
      <c r="CU18">
        <f>ROUND($D3*'Allocators Calc'!CL18,0)</f>
        <v>0</v>
      </c>
      <c r="CV18">
        <f>ROUND($D3*'Allocators Calc'!CM18,0)</f>
        <v>0</v>
      </c>
      <c r="CW18">
        <f>ROUND($D3*'Allocators Calc'!CN18,0)</f>
        <v>0</v>
      </c>
      <c r="CX18" s="11"/>
      <c r="CY18">
        <f>ROUND($D3*'Allocators Calc'!CP18,0)</f>
        <v>155907</v>
      </c>
      <c r="CZ18">
        <f>ROUND($D3*'Allocators Calc'!CQ18,0)</f>
        <v>1244322</v>
      </c>
      <c r="DA18" s="22"/>
      <c r="DB18">
        <f>ROUND($D3*'Allocators Calc'!CS18,0)</f>
        <v>0</v>
      </c>
      <c r="DC18">
        <f>ROUND($D3*'Allocators Calc'!CT18,0)</f>
        <v>0</v>
      </c>
      <c r="DD18">
        <f>ROUND($D3*'Allocators Calc'!CU18,0)</f>
        <v>0</v>
      </c>
      <c r="DE18">
        <f>ROUND($D3*'Allocators Calc'!CV18,0)</f>
        <v>0</v>
      </c>
      <c r="DF18">
        <f>ROUND($D3*'Allocators Calc'!CW18,0)</f>
        <v>0</v>
      </c>
      <c r="DG18">
        <f>ROUND($D3*'Allocators Calc'!CX18,0)</f>
        <v>0</v>
      </c>
      <c r="DH18">
        <f>ROUND($D3*'Allocators Calc'!CY18,0)</f>
        <v>0</v>
      </c>
      <c r="DI18">
        <f>ROUND($D3*'Allocators Calc'!CZ18,0)</f>
        <v>0</v>
      </c>
      <c r="DJ18">
        <f>ROUND($D3*'Allocators Calc'!DA18,0)</f>
        <v>0</v>
      </c>
      <c r="DK18" s="22"/>
      <c r="DL18" s="3">
        <f t="shared" ref="DL18:DL29" si="10">SUM(L18:DJ18)</f>
        <v>539284554</v>
      </c>
      <c r="DM18" s="3">
        <f t="shared" ref="DM18:DM29" si="11">D3</f>
        <v>539284554.20099998</v>
      </c>
      <c r="DN18" s="3">
        <f t="shared" si="2"/>
        <v>-0.20099997520446777</v>
      </c>
      <c r="DQ18" s="3">
        <f>+L18+M18+N18+O18</f>
        <v>93766330</v>
      </c>
    </row>
    <row r="19" spans="1:121" x14ac:dyDescent="0.2">
      <c r="J19" s="3"/>
      <c r="K19" t="s">
        <v>233</v>
      </c>
      <c r="L19">
        <f>ROUND($D4*'Allocators Calc'!C19,0)</f>
        <v>12871538</v>
      </c>
      <c r="M19">
        <f>ROUND($D4*'Allocators Calc'!D19,0)</f>
        <v>18360168</v>
      </c>
      <c r="N19">
        <f>ROUND($D4*'Allocators Calc'!E19,0)</f>
        <v>19548547</v>
      </c>
      <c r="O19">
        <f>ROUND($D4*'Allocators Calc'!F19,0)</f>
        <v>28742790</v>
      </c>
      <c r="P19" s="15">
        <f>ROUND($D4*'Allocators Calc'!G19,0)</f>
        <v>435389</v>
      </c>
      <c r="Q19">
        <f>ROUND($D4*'Allocators Calc'!H19,0)</f>
        <v>289</v>
      </c>
      <c r="R19">
        <f>ROUND($D4*'Allocators Calc'!I19,0)</f>
        <v>0</v>
      </c>
      <c r="S19">
        <f>ROUND($D4*'Allocators Calc'!J19,0)</f>
        <v>0</v>
      </c>
      <c r="T19" s="13">
        <f>ROUND($D4*'Allocators Calc'!K19,0)</f>
        <v>0</v>
      </c>
      <c r="U19">
        <f>ROUND($D4*'Allocators Calc'!L19,0)</f>
        <v>1193976</v>
      </c>
      <c r="V19">
        <f>ROUND($D4*'Allocators Calc'!M19,0)</f>
        <v>641090</v>
      </c>
      <c r="W19">
        <f>ROUND($D4*'Allocators Calc'!N19,0)</f>
        <v>78163</v>
      </c>
      <c r="X19" s="13">
        <f>ROUND($D4*'Allocators Calc'!O19,0)</f>
        <v>62429</v>
      </c>
      <c r="Y19">
        <f>ROUND($D4*'Allocators Calc'!P19,0)</f>
        <v>0</v>
      </c>
      <c r="Z19">
        <f>ROUND($D4*'Allocators Calc'!Q19,0)</f>
        <v>0</v>
      </c>
      <c r="AA19">
        <f>ROUND($D4*'Allocators Calc'!R19,0)</f>
        <v>0</v>
      </c>
      <c r="AB19" s="13">
        <f>ROUND($D4*'Allocators Calc'!S19,0)</f>
        <v>0</v>
      </c>
      <c r="AC19">
        <f>ROUND($D4*'Allocators Calc'!T19,0)</f>
        <v>0</v>
      </c>
      <c r="AD19">
        <f>ROUND($D4*'Allocators Calc'!U19,0)</f>
        <v>0</v>
      </c>
      <c r="AE19">
        <f>ROUND($D4*'Allocators Calc'!V19,0)</f>
        <v>0</v>
      </c>
      <c r="AF19">
        <f>ROUND($D4*'Allocators Calc'!W19,0)</f>
        <v>0</v>
      </c>
      <c r="AG19" s="11"/>
      <c r="AH19">
        <f>ROUND($D4*'Allocators Calc'!Y19,0)</f>
        <v>0</v>
      </c>
      <c r="AI19">
        <f>ROUND($D4*'Allocators Calc'!Z19,0)</f>
        <v>14561</v>
      </c>
      <c r="AJ19">
        <f>ROUND($D4*'Allocators Calc'!AA19,0)</f>
        <v>0</v>
      </c>
      <c r="AK19">
        <f>ROUND($D4*'Allocators Calc'!AB19,0)</f>
        <v>48159</v>
      </c>
      <c r="AL19">
        <f>ROUND($D4*'Allocators Calc'!AC19,0)</f>
        <v>626351</v>
      </c>
      <c r="AM19">
        <f>ROUND($D4*'Allocators Calc'!AD19,0)</f>
        <v>23209892</v>
      </c>
      <c r="AN19" s="10">
        <f t="shared" si="9"/>
        <v>141810066</v>
      </c>
      <c r="AO19" s="11"/>
      <c r="AP19">
        <f>ROUND($D4*'Allocators Calc'!AG19,0)</f>
        <v>2156</v>
      </c>
      <c r="AQ19">
        <f>ROUND($D4*'Allocators Calc'!AH19,0)</f>
        <v>3461</v>
      </c>
      <c r="AR19">
        <f>ROUND($D4*'Allocators Calc'!AI19,0)</f>
        <v>7416</v>
      </c>
      <c r="AS19">
        <f>ROUND($D4*'Allocators Calc'!AJ19,0)</f>
        <v>16642</v>
      </c>
      <c r="AT19">
        <f>ROUND($D4*'Allocators Calc'!AK19,0)</f>
        <v>0</v>
      </c>
      <c r="AU19" s="13">
        <f>ROUND($D4*'Allocators Calc'!AL19,0)</f>
        <v>0</v>
      </c>
      <c r="AV19">
        <f>ROUND($D4*'Allocators Calc'!AM19,0)</f>
        <v>686</v>
      </c>
      <c r="AW19">
        <f>ROUND($D4*'Allocators Calc'!AN19,0)</f>
        <v>1601</v>
      </c>
      <c r="AX19">
        <f>ROUND($D4*'Allocators Calc'!AO19,0)</f>
        <v>3430</v>
      </c>
      <c r="AY19">
        <f>ROUND($D4*'Allocators Calc'!AP19,0)</f>
        <v>1650211</v>
      </c>
      <c r="AZ19">
        <f>ROUND($D4*'Allocators Calc'!AQ19,0)</f>
        <v>267809</v>
      </c>
      <c r="BA19" s="13">
        <f>ROUND($D4*'Allocators Calc'!AR19,0)</f>
        <v>126050</v>
      </c>
      <c r="BB19">
        <f>ROUND($D4*'Allocators Calc'!AS19,0)</f>
        <v>3125</v>
      </c>
      <c r="BC19">
        <f>ROUND($D4*'Allocators Calc'!AT19,0)</f>
        <v>7144</v>
      </c>
      <c r="BD19">
        <f>ROUND($D4*'Allocators Calc'!AU19,0)</f>
        <v>14304</v>
      </c>
      <c r="BE19">
        <f>ROUND($D4*'Allocators Calc'!AV19,0)</f>
        <v>1608242</v>
      </c>
      <c r="BF19">
        <f>ROUND($D4*'Allocators Calc'!AW19,0)</f>
        <v>1474031</v>
      </c>
      <c r="BG19" s="13">
        <f>ROUND($D4*'Allocators Calc'!AX19,0)</f>
        <v>129345</v>
      </c>
      <c r="BH19">
        <f>ROUND($D4*'Allocators Calc'!AY19,0)</f>
        <v>4568442</v>
      </c>
      <c r="BI19">
        <f>ROUND($D4*'Allocators Calc'!AZ19,0)</f>
        <v>9019714</v>
      </c>
      <c r="BJ19">
        <f>ROUND($D4*'Allocators Calc'!BA19,0)</f>
        <v>13682464</v>
      </c>
      <c r="BK19">
        <f>ROUND($D4*'Allocators Calc'!BB19,0)</f>
        <v>86266060</v>
      </c>
      <c r="BL19">
        <f>ROUND($D4*'Allocators Calc'!BC19,0)</f>
        <v>47567399</v>
      </c>
      <c r="BM19" s="13">
        <f>ROUND($D4*'Allocators Calc'!BD19,0)</f>
        <v>34856124</v>
      </c>
      <c r="BN19">
        <f>ROUND($D4*'Allocators Calc'!BE19,0)</f>
        <v>59582</v>
      </c>
      <c r="BO19">
        <f>ROUND($D4*'Allocators Calc'!BF19,0)</f>
        <v>136408</v>
      </c>
      <c r="BP19">
        <f>ROUND($D4*'Allocators Calc'!BG19,0)</f>
        <v>285255</v>
      </c>
      <c r="BQ19">
        <f>ROUND($D4*'Allocators Calc'!BH19,0)</f>
        <v>5837062</v>
      </c>
      <c r="BR19">
        <f>ROUND($D4*'Allocators Calc'!BI19,0)</f>
        <v>3305977</v>
      </c>
      <c r="BS19" s="13">
        <f>ROUND($D4*'Allocators Calc'!BJ19,0)</f>
        <v>3524934</v>
      </c>
      <c r="BT19">
        <f>ROUND($D4*'Allocators Calc'!BK19,0)</f>
        <v>2648</v>
      </c>
      <c r="BU19">
        <f>ROUND($D4*'Allocators Calc'!BL19,0)</f>
        <v>5537</v>
      </c>
      <c r="BV19">
        <f>ROUND($D4*'Allocators Calc'!BM19,0)</f>
        <v>10815</v>
      </c>
      <c r="BW19">
        <f>ROUND($D4*'Allocators Calc'!BN19,0)</f>
        <v>18487</v>
      </c>
      <c r="BX19">
        <f>ROUND($D4*'Allocators Calc'!BO19,0)</f>
        <v>0</v>
      </c>
      <c r="BY19" s="13">
        <f>ROUND($D4*'Allocators Calc'!BP19,0)</f>
        <v>0</v>
      </c>
      <c r="BZ19">
        <f>ROUND($D4*'Allocators Calc'!BQ19,0)</f>
        <v>0</v>
      </c>
      <c r="CA19">
        <f>ROUND($D4*'Allocators Calc'!BR19,0)</f>
        <v>0</v>
      </c>
      <c r="CB19">
        <f>ROUND($D4*'Allocators Calc'!BS19,0)</f>
        <v>0</v>
      </c>
      <c r="CC19">
        <f>ROUND($D4*'Allocators Calc'!BT19,0)</f>
        <v>0</v>
      </c>
      <c r="CD19">
        <f>ROUND($D4*'Allocators Calc'!BU19,0)</f>
        <v>0</v>
      </c>
      <c r="CE19" s="13">
        <f>ROUND($D4*'Allocators Calc'!BV19,0)</f>
        <v>0</v>
      </c>
      <c r="CF19" s="11"/>
      <c r="CG19">
        <f>ROUND($D4*'Allocators Calc'!BX19,0)</f>
        <v>0</v>
      </c>
      <c r="CH19">
        <f>ROUND($D4*'Allocators Calc'!BY19,0)</f>
        <v>0</v>
      </c>
      <c r="CI19">
        <f>ROUND($D4*'Allocators Calc'!BZ19,0)</f>
        <v>0</v>
      </c>
      <c r="CJ19">
        <f>ROUND($D4*'Allocators Calc'!CA19,0)</f>
        <v>0</v>
      </c>
      <c r="CK19">
        <f>ROUND($D4*'Allocators Calc'!CB19,0)</f>
        <v>0</v>
      </c>
      <c r="CL19">
        <f>ROUND($D4*'Allocators Calc'!CC19,0)</f>
        <v>0</v>
      </c>
      <c r="CM19">
        <f>ROUND($D4*'Allocators Calc'!CD19,0)</f>
        <v>0</v>
      </c>
      <c r="CN19">
        <f>ROUND($D4*'Allocators Calc'!CE19,0)</f>
        <v>0</v>
      </c>
      <c r="CO19">
        <f>ROUND($D4*'Allocators Calc'!CF19,0)</f>
        <v>0</v>
      </c>
      <c r="CP19">
        <f>ROUND($D4*'Allocators Calc'!CG19,0)</f>
        <v>0</v>
      </c>
      <c r="CQ19" s="11"/>
      <c r="CR19">
        <f>ROUND($D4*'Allocators Calc'!CI19,0)</f>
        <v>0</v>
      </c>
      <c r="CS19">
        <f>ROUND($D4*'Allocators Calc'!CJ19,0)</f>
        <v>0</v>
      </c>
      <c r="CT19">
        <f>ROUND($D4*'Allocators Calc'!CK19,0)</f>
        <v>0</v>
      </c>
      <c r="CU19">
        <f>ROUND($D4*'Allocators Calc'!CL19,0)</f>
        <v>0</v>
      </c>
      <c r="CV19">
        <f>ROUND($D4*'Allocators Calc'!CM19,0)</f>
        <v>0</v>
      </c>
      <c r="CW19">
        <f>ROUND($D4*'Allocators Calc'!CN19,0)</f>
        <v>0</v>
      </c>
      <c r="CX19" s="11"/>
      <c r="CY19">
        <f>ROUND($D4*'Allocators Calc'!CP19,0)</f>
        <v>137353</v>
      </c>
      <c r="CZ19">
        <f>ROUND($D4*'Allocators Calc'!CQ19,0)</f>
        <v>1096240</v>
      </c>
      <c r="DA19" s="22"/>
      <c r="DB19">
        <f>ROUND($D4*'Allocators Calc'!CS19,0)</f>
        <v>0</v>
      </c>
      <c r="DC19">
        <f>ROUND($D4*'Allocators Calc'!CT19,0)</f>
        <v>0</v>
      </c>
      <c r="DD19">
        <f>ROUND($D4*'Allocators Calc'!CU19,0)</f>
        <v>0</v>
      </c>
      <c r="DE19">
        <f>ROUND($D4*'Allocators Calc'!CV19,0)</f>
        <v>0</v>
      </c>
      <c r="DF19">
        <f>ROUND($D4*'Allocators Calc'!CW19,0)</f>
        <v>0</v>
      </c>
      <c r="DG19">
        <f>ROUND($D4*'Allocators Calc'!CX19,0)</f>
        <v>0</v>
      </c>
      <c r="DH19">
        <f>ROUND($D4*'Allocators Calc'!CY19,0)</f>
        <v>0</v>
      </c>
      <c r="DI19">
        <f>ROUND($D4*'Allocators Calc'!CZ19,0)</f>
        <v>0</v>
      </c>
      <c r="DJ19">
        <f>ROUND($D4*'Allocators Calc'!DA19,0)</f>
        <v>0</v>
      </c>
      <c r="DK19" s="22"/>
      <c r="DL19" s="3">
        <f t="shared" si="10"/>
        <v>463339562</v>
      </c>
      <c r="DM19" s="3">
        <f t="shared" si="11"/>
        <v>463339561.82499999</v>
      </c>
      <c r="DN19" s="3">
        <f t="shared" si="2"/>
        <v>0.17500001192092896</v>
      </c>
    </row>
    <row r="20" spans="1:121" x14ac:dyDescent="0.2">
      <c r="J20" s="3"/>
      <c r="K20" t="s">
        <v>234</v>
      </c>
      <c r="L20">
        <f>ROUND($D5*'Allocators Calc'!C20,0)</f>
        <v>12299940</v>
      </c>
      <c r="M20">
        <f>ROUND($D5*'Allocators Calc'!D20,0)</f>
        <v>16887331</v>
      </c>
      <c r="N20">
        <f>ROUND($D5*'Allocators Calc'!E20,0)</f>
        <v>17044439</v>
      </c>
      <c r="O20">
        <f>ROUND($D5*'Allocators Calc'!F20,0)</f>
        <v>24102139</v>
      </c>
      <c r="P20" s="15">
        <f>ROUND($D5*'Allocators Calc'!G20,0)</f>
        <v>383482</v>
      </c>
      <c r="Q20">
        <f>ROUND($D5*'Allocators Calc'!H20,0)</f>
        <v>278</v>
      </c>
      <c r="R20">
        <f>ROUND($D5*'Allocators Calc'!I20,0)</f>
        <v>0</v>
      </c>
      <c r="S20">
        <f>ROUND($D5*'Allocators Calc'!J20,0)</f>
        <v>0</v>
      </c>
      <c r="T20" s="13">
        <f>ROUND($D5*'Allocators Calc'!K20,0)</f>
        <v>0</v>
      </c>
      <c r="U20">
        <f>ROUND($D5*'Allocators Calc'!L20,0)</f>
        <v>1163733</v>
      </c>
      <c r="V20">
        <f>ROUND($D5*'Allocators Calc'!M20,0)</f>
        <v>624851</v>
      </c>
      <c r="W20">
        <f>ROUND($D5*'Allocators Calc'!N20,0)</f>
        <v>76183</v>
      </c>
      <c r="X20" s="13">
        <f>ROUND($D5*'Allocators Calc'!O20,0)</f>
        <v>60848</v>
      </c>
      <c r="Y20">
        <f>ROUND($D5*'Allocators Calc'!P20,0)</f>
        <v>0</v>
      </c>
      <c r="Z20">
        <f>ROUND($D5*'Allocators Calc'!Q20,0)</f>
        <v>0</v>
      </c>
      <c r="AA20">
        <f>ROUND($D5*'Allocators Calc'!R20,0)</f>
        <v>0</v>
      </c>
      <c r="AB20" s="13">
        <f>ROUND($D5*'Allocators Calc'!S20,0)</f>
        <v>0</v>
      </c>
      <c r="AC20">
        <f>ROUND($D5*'Allocators Calc'!T20,0)</f>
        <v>0</v>
      </c>
      <c r="AD20">
        <f>ROUND($D5*'Allocators Calc'!U20,0)</f>
        <v>0</v>
      </c>
      <c r="AE20">
        <f>ROUND($D5*'Allocators Calc'!V20,0)</f>
        <v>0</v>
      </c>
      <c r="AF20">
        <f>ROUND($D5*'Allocators Calc'!W20,0)</f>
        <v>0</v>
      </c>
      <c r="AG20" s="11"/>
      <c r="AH20">
        <f>ROUND($D5*'Allocators Calc'!Y20,0)</f>
        <v>0</v>
      </c>
      <c r="AI20">
        <f>ROUND($D5*'Allocators Calc'!Z20,0)</f>
        <v>13277</v>
      </c>
      <c r="AJ20">
        <f>ROUND($D5*'Allocators Calc'!AA20,0)</f>
        <v>0</v>
      </c>
      <c r="AK20">
        <f>ROUND($D5*'Allocators Calc'!AB20,0)</f>
        <v>40486</v>
      </c>
      <c r="AL20">
        <f>ROUND($D5*'Allocators Calc'!AC20,0)</f>
        <v>620231</v>
      </c>
      <c r="AM20">
        <f>ROUND($D5*'Allocators Calc'!AD20,0)</f>
        <v>22975789</v>
      </c>
      <c r="AN20" s="10">
        <f t="shared" si="9"/>
        <v>135156207</v>
      </c>
      <c r="AO20" s="11"/>
      <c r="AP20">
        <f>ROUND($D5*'Allocators Calc'!AG20,0)</f>
        <v>2744</v>
      </c>
      <c r="AQ20">
        <f>ROUND($D5*'Allocators Calc'!AH20,0)</f>
        <v>4641</v>
      </c>
      <c r="AR20">
        <f>ROUND($D5*'Allocators Calc'!AI20,0)</f>
        <v>8575</v>
      </c>
      <c r="AS20">
        <f>ROUND($D5*'Allocators Calc'!AJ20,0)</f>
        <v>24732</v>
      </c>
      <c r="AT20">
        <f>ROUND($D5*'Allocators Calc'!AK20,0)</f>
        <v>0</v>
      </c>
      <c r="AU20" s="13">
        <f>ROUND($D5*'Allocators Calc'!AL20,0)</f>
        <v>0</v>
      </c>
      <c r="AV20">
        <f>ROUND($D5*'Allocators Calc'!AM20,0)</f>
        <v>670</v>
      </c>
      <c r="AW20">
        <f>ROUND($D5*'Allocators Calc'!AN20,0)</f>
        <v>1563</v>
      </c>
      <c r="AX20">
        <f>ROUND($D5*'Allocators Calc'!AO20,0)</f>
        <v>3349</v>
      </c>
      <c r="AY20">
        <f>ROUND($D5*'Allocators Calc'!AP20,0)</f>
        <v>1611112</v>
      </c>
      <c r="AZ20">
        <f>ROUND($D5*'Allocators Calc'!AQ20,0)</f>
        <v>261464</v>
      </c>
      <c r="BA20" s="13">
        <f>ROUND($D5*'Allocators Calc'!AR20,0)</f>
        <v>123064</v>
      </c>
      <c r="BB20">
        <f>ROUND($D5*'Allocators Calc'!AS20,0)</f>
        <v>3077</v>
      </c>
      <c r="BC20">
        <f>ROUND($D5*'Allocators Calc'!AT20,0)</f>
        <v>7035</v>
      </c>
      <c r="BD20">
        <f>ROUND($D5*'Allocators Calc'!AU20,0)</f>
        <v>14087</v>
      </c>
      <c r="BE20">
        <f>ROUND($D5*'Allocators Calc'!AV20,0)</f>
        <v>1583820</v>
      </c>
      <c r="BF20">
        <f>ROUND($D5*'Allocators Calc'!AW20,0)</f>
        <v>1451646</v>
      </c>
      <c r="BG20" s="13">
        <f>ROUND($D5*'Allocators Calc'!AX20,0)</f>
        <v>127381</v>
      </c>
      <c r="BH20">
        <f>ROUND($D5*'Allocators Calc'!AY20,0)</f>
        <v>4205320</v>
      </c>
      <c r="BI20">
        <f>ROUND($D5*'Allocators Calc'!AZ20,0)</f>
        <v>8302783</v>
      </c>
      <c r="BJ20">
        <f>ROUND($D5*'Allocators Calc'!BA20,0)</f>
        <v>12594914</v>
      </c>
      <c r="BK20">
        <f>ROUND($D5*'Allocators Calc'!BB20,0)</f>
        <v>79409206</v>
      </c>
      <c r="BL20">
        <f>ROUND($D5*'Allocators Calc'!BC20,0)</f>
        <v>43786507</v>
      </c>
      <c r="BM20" s="13">
        <f>ROUND($D5*'Allocators Calc'!BD20,0)</f>
        <v>32085586</v>
      </c>
      <c r="BN20">
        <f>ROUND($D5*'Allocators Calc'!BE20,0)</f>
        <v>53323</v>
      </c>
      <c r="BO20">
        <f>ROUND($D5*'Allocators Calc'!BF20,0)</f>
        <v>122079</v>
      </c>
      <c r="BP20">
        <f>ROUND($D5*'Allocators Calc'!BG20,0)</f>
        <v>255291</v>
      </c>
      <c r="BQ20">
        <f>ROUND($D5*'Allocators Calc'!BH20,0)</f>
        <v>5223921</v>
      </c>
      <c r="BR20">
        <f>ROUND($D5*'Allocators Calc'!BI20,0)</f>
        <v>2958708</v>
      </c>
      <c r="BS20" s="13">
        <f>ROUND($D5*'Allocators Calc'!BJ20,0)</f>
        <v>3154665</v>
      </c>
      <c r="BT20">
        <f>ROUND($D5*'Allocators Calc'!BK20,0)</f>
        <v>1807</v>
      </c>
      <c r="BU20">
        <f>ROUND($D5*'Allocators Calc'!BL20,0)</f>
        <v>6670</v>
      </c>
      <c r="BV20">
        <f>ROUND($D5*'Allocators Calc'!BM20,0)</f>
        <v>9483</v>
      </c>
      <c r="BW20">
        <f>ROUND($D5*'Allocators Calc'!BN20,0)</f>
        <v>18293</v>
      </c>
      <c r="BX20">
        <f>ROUND($D5*'Allocators Calc'!BO20,0)</f>
        <v>0</v>
      </c>
      <c r="BY20" s="13">
        <f>ROUND($D5*'Allocators Calc'!BP20,0)</f>
        <v>0</v>
      </c>
      <c r="BZ20">
        <f>ROUND($D5*'Allocators Calc'!BQ20,0)</f>
        <v>0</v>
      </c>
      <c r="CA20">
        <f>ROUND($D5*'Allocators Calc'!BR20,0)</f>
        <v>0</v>
      </c>
      <c r="CB20">
        <f>ROUND($D5*'Allocators Calc'!BS20,0)</f>
        <v>0</v>
      </c>
      <c r="CC20">
        <f>ROUND($D5*'Allocators Calc'!BT20,0)</f>
        <v>0</v>
      </c>
      <c r="CD20">
        <f>ROUND($D5*'Allocators Calc'!BU20,0)</f>
        <v>0</v>
      </c>
      <c r="CE20" s="13">
        <f>ROUND($D5*'Allocators Calc'!BV20,0)</f>
        <v>0</v>
      </c>
      <c r="CF20" s="11"/>
      <c r="CG20">
        <f>ROUND($D5*'Allocators Calc'!BX20,0)</f>
        <v>0</v>
      </c>
      <c r="CH20">
        <f>ROUND($D5*'Allocators Calc'!BY20,0)</f>
        <v>0</v>
      </c>
      <c r="CI20">
        <f>ROUND($D5*'Allocators Calc'!BZ20,0)</f>
        <v>0</v>
      </c>
      <c r="CJ20">
        <f>ROUND($D5*'Allocators Calc'!CA20,0)</f>
        <v>0</v>
      </c>
      <c r="CK20">
        <f>ROUND($D5*'Allocators Calc'!CB20,0)</f>
        <v>0</v>
      </c>
      <c r="CL20">
        <f>ROUND($D5*'Allocators Calc'!CC20,0)</f>
        <v>0</v>
      </c>
      <c r="CM20">
        <f>ROUND($D5*'Allocators Calc'!CD20,0)</f>
        <v>0</v>
      </c>
      <c r="CN20">
        <f>ROUND($D5*'Allocators Calc'!CE20,0)</f>
        <v>0</v>
      </c>
      <c r="CO20">
        <f>ROUND($D5*'Allocators Calc'!CF20,0)</f>
        <v>0</v>
      </c>
      <c r="CP20">
        <f>ROUND($D5*'Allocators Calc'!CG20,0)</f>
        <v>0</v>
      </c>
      <c r="CQ20" s="11"/>
      <c r="CR20">
        <f>ROUND($D5*'Allocators Calc'!CI20,0)</f>
        <v>0</v>
      </c>
      <c r="CS20">
        <f>ROUND($D5*'Allocators Calc'!CJ20,0)</f>
        <v>0</v>
      </c>
      <c r="CT20">
        <f>ROUND($D5*'Allocators Calc'!CK20,0)</f>
        <v>0</v>
      </c>
      <c r="CU20">
        <f>ROUND($D5*'Allocators Calc'!CL20,0)</f>
        <v>0</v>
      </c>
      <c r="CV20">
        <f>ROUND($D5*'Allocators Calc'!CM20,0)</f>
        <v>0</v>
      </c>
      <c r="CW20">
        <f>ROUND($D5*'Allocators Calc'!CN20,0)</f>
        <v>0</v>
      </c>
      <c r="CX20" s="11"/>
      <c r="CY20">
        <f>ROUND($D5*'Allocators Calc'!CP20,0)</f>
        <v>128492</v>
      </c>
      <c r="CZ20">
        <f>ROUND($D5*'Allocators Calc'!CQ20,0)</f>
        <v>1025523</v>
      </c>
      <c r="DA20" s="22"/>
      <c r="DB20">
        <f>ROUND($D5*'Allocators Calc'!CS20,0)</f>
        <v>0</v>
      </c>
      <c r="DC20">
        <f>ROUND($D5*'Allocators Calc'!CT20,0)</f>
        <v>0</v>
      </c>
      <c r="DD20">
        <f>ROUND($D5*'Allocators Calc'!CU20,0)</f>
        <v>0</v>
      </c>
      <c r="DE20">
        <f>ROUND($D5*'Allocators Calc'!CV20,0)</f>
        <v>0</v>
      </c>
      <c r="DF20">
        <f>ROUND($D5*'Allocators Calc'!CW20,0)</f>
        <v>0</v>
      </c>
      <c r="DG20">
        <f>ROUND($D5*'Allocators Calc'!CX20,0)</f>
        <v>0</v>
      </c>
      <c r="DH20">
        <f>ROUND($D5*'Allocators Calc'!CY20,0)</f>
        <v>0</v>
      </c>
      <c r="DI20">
        <f>ROUND($D5*'Allocators Calc'!CZ20,0)</f>
        <v>0</v>
      </c>
      <c r="DJ20">
        <f>ROUND($D5*'Allocators Calc'!DA20,0)</f>
        <v>0</v>
      </c>
      <c r="DK20" s="22"/>
      <c r="DL20" s="3">
        <f t="shared" si="10"/>
        <v>430020745</v>
      </c>
      <c r="DM20" s="3">
        <f t="shared" si="11"/>
        <v>430020745.03500003</v>
      </c>
      <c r="DN20" s="3">
        <f t="shared" si="2"/>
        <v>-3.5000026226043701E-2</v>
      </c>
    </row>
    <row r="21" spans="1:121" x14ac:dyDescent="0.2">
      <c r="J21" s="3"/>
      <c r="K21" t="s">
        <v>235</v>
      </c>
      <c r="L21">
        <f>ROUND($D6*'Allocators Calc'!C21,0)</f>
        <v>11605872</v>
      </c>
      <c r="M21">
        <f>ROUND($D6*'Allocators Calc'!D21,0)</f>
        <v>15495714</v>
      </c>
      <c r="N21">
        <f>ROUND($D6*'Allocators Calc'!E21,0)</f>
        <v>15120032</v>
      </c>
      <c r="O21">
        <f>ROUND($D6*'Allocators Calc'!F21,0)</f>
        <v>21377582</v>
      </c>
      <c r="P21" s="15">
        <f>ROUND($D6*'Allocators Calc'!G21,0)</f>
        <v>346410</v>
      </c>
      <c r="Q21">
        <f>ROUND($D6*'Allocators Calc'!H21,0)</f>
        <v>264</v>
      </c>
      <c r="R21">
        <f>ROUND($D6*'Allocators Calc'!I21,0)</f>
        <v>0</v>
      </c>
      <c r="S21">
        <f>ROUND($D6*'Allocators Calc'!J21,0)</f>
        <v>0</v>
      </c>
      <c r="T21" s="13">
        <f>ROUND($D6*'Allocators Calc'!K21,0)</f>
        <v>0</v>
      </c>
      <c r="U21">
        <f>ROUND($D6*'Allocators Calc'!L21,0)</f>
        <v>1123414</v>
      </c>
      <c r="V21">
        <f>ROUND($D6*'Allocators Calc'!M21,0)</f>
        <v>602982</v>
      </c>
      <c r="W21">
        <f>ROUND($D6*'Allocators Calc'!N21,0)</f>
        <v>73517</v>
      </c>
      <c r="X21" s="13">
        <f>ROUND($D6*'Allocators Calc'!O21,0)</f>
        <v>58718</v>
      </c>
      <c r="Y21">
        <f>ROUND($D6*'Allocators Calc'!P21,0)</f>
        <v>0</v>
      </c>
      <c r="Z21">
        <f>ROUND($D6*'Allocators Calc'!Q21,0)</f>
        <v>0</v>
      </c>
      <c r="AA21">
        <f>ROUND($D6*'Allocators Calc'!R21,0)</f>
        <v>0</v>
      </c>
      <c r="AB21" s="13">
        <f>ROUND($D6*'Allocators Calc'!S21,0)</f>
        <v>0</v>
      </c>
      <c r="AC21">
        <f>ROUND($D6*'Allocators Calc'!T21,0)</f>
        <v>0</v>
      </c>
      <c r="AD21">
        <f>ROUND($D6*'Allocators Calc'!U21,0)</f>
        <v>0</v>
      </c>
      <c r="AE21">
        <f>ROUND($D6*'Allocators Calc'!V21,0)</f>
        <v>0</v>
      </c>
      <c r="AF21">
        <f>ROUND($D6*'Allocators Calc'!W21,0)</f>
        <v>0</v>
      </c>
      <c r="AG21" s="11"/>
      <c r="AH21">
        <f>ROUND($D6*'Allocators Calc'!Y21,0)</f>
        <v>0</v>
      </c>
      <c r="AI21">
        <f>ROUND($D6*'Allocators Calc'!Z21,0)</f>
        <v>12089</v>
      </c>
      <c r="AJ21">
        <f>ROUND($D6*'Allocators Calc'!AA21,0)</f>
        <v>0</v>
      </c>
      <c r="AK21">
        <f>ROUND($D6*'Allocators Calc'!AB21,0)</f>
        <v>54668</v>
      </c>
      <c r="AL21">
        <f>ROUND($D6*'Allocators Calc'!AC21,0)</f>
        <v>650126</v>
      </c>
      <c r="AM21">
        <f>ROUND($D6*'Allocators Calc'!AD21,0)</f>
        <v>21892067</v>
      </c>
      <c r="AN21" s="10">
        <f t="shared" si="9"/>
        <v>128447635</v>
      </c>
      <c r="AO21" s="11"/>
      <c r="AP21">
        <f>ROUND($D6*'Allocators Calc'!AG21,0)</f>
        <v>7871</v>
      </c>
      <c r="AQ21">
        <f>ROUND($D6*'Allocators Calc'!AH21,0)</f>
        <v>14337</v>
      </c>
      <c r="AR21">
        <f>ROUND($D6*'Allocators Calc'!AI21,0)</f>
        <v>26730</v>
      </c>
      <c r="AS21">
        <f>ROUND($D6*'Allocators Calc'!AJ21,0)</f>
        <v>50964</v>
      </c>
      <c r="AT21">
        <f>ROUND($D6*'Allocators Calc'!AK21,0)</f>
        <v>0</v>
      </c>
      <c r="AU21" s="13">
        <f>ROUND($D6*'Allocators Calc'!AL21,0)</f>
        <v>0</v>
      </c>
      <c r="AV21">
        <f>ROUND($D6*'Allocators Calc'!AM21,0)</f>
        <v>602</v>
      </c>
      <c r="AW21">
        <f>ROUND($D6*'Allocators Calc'!AN21,0)</f>
        <v>1405</v>
      </c>
      <c r="AX21">
        <f>ROUND($D6*'Allocators Calc'!AO21,0)</f>
        <v>3011</v>
      </c>
      <c r="AY21">
        <f>ROUND($D6*'Allocators Calc'!AP21,0)</f>
        <v>1448555</v>
      </c>
      <c r="AZ21">
        <f>ROUND($D6*'Allocators Calc'!AQ21,0)</f>
        <v>235083</v>
      </c>
      <c r="BA21" s="13">
        <f>ROUND($D6*'Allocators Calc'!AR21,0)</f>
        <v>110647</v>
      </c>
      <c r="BB21">
        <f>ROUND($D6*'Allocators Calc'!AS21,0)</f>
        <v>2936</v>
      </c>
      <c r="BC21">
        <f>ROUND($D6*'Allocators Calc'!AT21,0)</f>
        <v>6713</v>
      </c>
      <c r="BD21">
        <f>ROUND($D6*'Allocators Calc'!AU21,0)</f>
        <v>13441</v>
      </c>
      <c r="BE21">
        <f>ROUND($D6*'Allocators Calc'!AV21,0)</f>
        <v>1511249</v>
      </c>
      <c r="BF21">
        <f>ROUND($D6*'Allocators Calc'!AW21,0)</f>
        <v>1385132</v>
      </c>
      <c r="BG21" s="13">
        <f>ROUND($D6*'Allocators Calc'!AX21,0)</f>
        <v>121545</v>
      </c>
      <c r="BH21">
        <f>ROUND($D6*'Allocators Calc'!AY21,0)</f>
        <v>3902212</v>
      </c>
      <c r="BI21">
        <f>ROUND($D6*'Allocators Calc'!AZ21,0)</f>
        <v>7704342</v>
      </c>
      <c r="BJ21">
        <f>ROUND($D6*'Allocators Calc'!BA21,0)</f>
        <v>11687109</v>
      </c>
      <c r="BK21">
        <f>ROUND($D6*'Allocators Calc'!BB21,0)</f>
        <v>73685621</v>
      </c>
      <c r="BL21">
        <f>ROUND($D6*'Allocators Calc'!BC21,0)</f>
        <v>40630503</v>
      </c>
      <c r="BM21" s="13">
        <f>ROUND($D6*'Allocators Calc'!BD21,0)</f>
        <v>29772951</v>
      </c>
      <c r="BN21">
        <f>ROUND($D6*'Allocators Calc'!BE21,0)</f>
        <v>47635</v>
      </c>
      <c r="BO21">
        <f>ROUND($D6*'Allocators Calc'!BF21,0)</f>
        <v>109056</v>
      </c>
      <c r="BP21">
        <f>ROUND($D6*'Allocators Calc'!BG21,0)</f>
        <v>228057</v>
      </c>
      <c r="BQ21">
        <f>ROUND($D6*'Allocators Calc'!BH21,0)</f>
        <v>4666636</v>
      </c>
      <c r="BR21">
        <f>ROUND($D6*'Allocators Calc'!BI21,0)</f>
        <v>2643075</v>
      </c>
      <c r="BS21" s="13">
        <f>ROUND($D6*'Allocators Calc'!BJ21,0)</f>
        <v>2818127</v>
      </c>
      <c r="BT21">
        <f>ROUND($D6*'Allocators Calc'!BK21,0)</f>
        <v>18650</v>
      </c>
      <c r="BU21">
        <f>ROUND($D6*'Allocators Calc'!BL21,0)</f>
        <v>43043</v>
      </c>
      <c r="BV21">
        <f>ROUND($D6*'Allocators Calc'!BM21,0)</f>
        <v>88567</v>
      </c>
      <c r="BW21">
        <f>ROUND($D6*'Allocators Calc'!BN21,0)</f>
        <v>587522</v>
      </c>
      <c r="BX21">
        <f>ROUND($D6*'Allocators Calc'!BO21,0)</f>
        <v>0</v>
      </c>
      <c r="BY21" s="13">
        <f>ROUND($D6*'Allocators Calc'!BP21,0)</f>
        <v>0</v>
      </c>
      <c r="BZ21">
        <f>ROUND($D6*'Allocators Calc'!BQ21,0)</f>
        <v>0</v>
      </c>
      <c r="CA21">
        <f>ROUND($D6*'Allocators Calc'!BR21,0)</f>
        <v>0</v>
      </c>
      <c r="CB21">
        <f>ROUND($D6*'Allocators Calc'!BS21,0)</f>
        <v>0</v>
      </c>
      <c r="CC21">
        <f>ROUND($D6*'Allocators Calc'!BT21,0)</f>
        <v>0</v>
      </c>
      <c r="CD21">
        <f>ROUND($D6*'Allocators Calc'!BU21,0)</f>
        <v>0</v>
      </c>
      <c r="CE21" s="13">
        <f>ROUND($D6*'Allocators Calc'!BV21,0)</f>
        <v>0</v>
      </c>
      <c r="CF21" s="11"/>
      <c r="CG21">
        <f>ROUND($D6*'Allocators Calc'!BX21,0)</f>
        <v>0</v>
      </c>
      <c r="CH21">
        <f>ROUND($D6*'Allocators Calc'!BY21,0)</f>
        <v>0</v>
      </c>
      <c r="CI21">
        <f>ROUND($D6*'Allocators Calc'!BZ21,0)</f>
        <v>0</v>
      </c>
      <c r="CJ21">
        <f>ROUND($D6*'Allocators Calc'!CA21,0)</f>
        <v>0</v>
      </c>
      <c r="CK21">
        <f>ROUND($D6*'Allocators Calc'!CB21,0)</f>
        <v>0</v>
      </c>
      <c r="CL21">
        <f>ROUND($D6*'Allocators Calc'!CC21,0)</f>
        <v>0</v>
      </c>
      <c r="CM21">
        <f>ROUND($D6*'Allocators Calc'!CD21,0)</f>
        <v>0</v>
      </c>
      <c r="CN21">
        <f>ROUND($D6*'Allocators Calc'!CE21,0)</f>
        <v>0</v>
      </c>
      <c r="CO21">
        <f>ROUND($D6*'Allocators Calc'!CF21,0)</f>
        <v>0</v>
      </c>
      <c r="CP21">
        <f>ROUND($D6*'Allocators Calc'!CG21,0)</f>
        <v>0</v>
      </c>
      <c r="CQ21" s="11"/>
      <c r="CR21">
        <f>ROUND($D6*'Allocators Calc'!CI21,0)</f>
        <v>0</v>
      </c>
      <c r="CS21">
        <f>ROUND($D6*'Allocators Calc'!CJ21,0)</f>
        <v>0</v>
      </c>
      <c r="CT21">
        <f>ROUND($D6*'Allocators Calc'!CK21,0)</f>
        <v>0</v>
      </c>
      <c r="CU21">
        <f>ROUND($D6*'Allocators Calc'!CL21,0)</f>
        <v>0</v>
      </c>
      <c r="CV21">
        <f>ROUND($D6*'Allocators Calc'!CM21,0)</f>
        <v>0</v>
      </c>
      <c r="CW21">
        <f>ROUND($D6*'Allocators Calc'!CN21,0)</f>
        <v>0</v>
      </c>
      <c r="CX21" s="11"/>
      <c r="CY21">
        <f>ROUND($D6*'Allocators Calc'!CP21,0)</f>
        <v>127231</v>
      </c>
      <c r="CZ21">
        <f>ROUND($D6*'Allocators Calc'!CQ21,0)</f>
        <v>1015453</v>
      </c>
      <c r="DA21" s="22"/>
      <c r="DB21">
        <f>ROUND($D6*'Allocators Calc'!CS21,0)</f>
        <v>0</v>
      </c>
      <c r="DC21">
        <f>ROUND($D6*'Allocators Calc'!CT21,0)</f>
        <v>0</v>
      </c>
      <c r="DD21">
        <f>ROUND($D6*'Allocators Calc'!CU21,0)</f>
        <v>0</v>
      </c>
      <c r="DE21">
        <f>ROUND($D6*'Allocators Calc'!CV21,0)</f>
        <v>0</v>
      </c>
      <c r="DF21">
        <f>ROUND($D6*'Allocators Calc'!CW21,0)</f>
        <v>0</v>
      </c>
      <c r="DG21">
        <f>ROUND($D6*'Allocators Calc'!CX21,0)</f>
        <v>0</v>
      </c>
      <c r="DH21">
        <f>ROUND($D6*'Allocators Calc'!CY21,0)</f>
        <v>0</v>
      </c>
      <c r="DI21">
        <f>ROUND($D6*'Allocators Calc'!CZ21,0)</f>
        <v>0</v>
      </c>
      <c r="DJ21">
        <f>ROUND($D6*'Allocators Calc'!DA21,0)</f>
        <v>0</v>
      </c>
      <c r="DK21" s="22"/>
      <c r="DL21" s="3">
        <f t="shared" si="10"/>
        <v>401577101</v>
      </c>
      <c r="DM21" s="3">
        <f t="shared" si="11"/>
        <v>401577100.51899999</v>
      </c>
      <c r="DN21" s="3">
        <f t="shared" si="2"/>
        <v>0.48100000619888306</v>
      </c>
    </row>
    <row r="22" spans="1:121" x14ac:dyDescent="0.2">
      <c r="J22" s="3"/>
      <c r="K22" t="s">
        <v>236</v>
      </c>
      <c r="L22">
        <f>ROUND($D7*'Allocators Calc'!C22,0)</f>
        <v>12792433</v>
      </c>
      <c r="M22">
        <f>ROUND($D7*'Allocators Calc'!D22,0)</f>
        <v>16130463</v>
      </c>
      <c r="N22">
        <f>ROUND($D7*'Allocators Calc'!E22,0)</f>
        <v>15289302</v>
      </c>
      <c r="O22">
        <f>ROUND($D7*'Allocators Calc'!F22,0)</f>
        <v>21565437</v>
      </c>
      <c r="P22" s="15">
        <f>ROUND($D7*'Allocators Calc'!G22,0)</f>
        <v>374786</v>
      </c>
      <c r="Q22">
        <f>ROUND($D7*'Allocators Calc'!H22,0)</f>
        <v>301</v>
      </c>
      <c r="R22">
        <f>ROUND($D7*'Allocators Calc'!I22,0)</f>
        <v>0</v>
      </c>
      <c r="S22">
        <f>ROUND($D7*'Allocators Calc'!J22,0)</f>
        <v>0</v>
      </c>
      <c r="T22" s="13">
        <f>ROUND($D7*'Allocators Calc'!K22,0)</f>
        <v>0</v>
      </c>
      <c r="U22">
        <f>ROUND($D7*'Allocators Calc'!L22,0)</f>
        <v>1232094</v>
      </c>
      <c r="V22">
        <f>ROUND($D7*'Allocators Calc'!M22,0)</f>
        <v>661296</v>
      </c>
      <c r="W22">
        <f>ROUND($D7*'Allocators Calc'!N22,0)</f>
        <v>80626</v>
      </c>
      <c r="X22" s="13">
        <f>ROUND($D7*'Allocators Calc'!O22,0)</f>
        <v>64397</v>
      </c>
      <c r="Y22">
        <f>ROUND($D7*'Allocators Calc'!P22,0)</f>
        <v>0</v>
      </c>
      <c r="Z22">
        <f>ROUND($D7*'Allocators Calc'!Q22,0)</f>
        <v>0</v>
      </c>
      <c r="AA22">
        <f>ROUND($D7*'Allocators Calc'!R22,0)</f>
        <v>0</v>
      </c>
      <c r="AB22" s="13">
        <f>ROUND($D7*'Allocators Calc'!S22,0)</f>
        <v>0</v>
      </c>
      <c r="AC22">
        <f>ROUND($D7*'Allocators Calc'!T22,0)</f>
        <v>0</v>
      </c>
      <c r="AD22">
        <f>ROUND($D7*'Allocators Calc'!U22,0)</f>
        <v>0</v>
      </c>
      <c r="AE22">
        <f>ROUND($D7*'Allocators Calc'!V22,0)</f>
        <v>0</v>
      </c>
      <c r="AF22">
        <f>ROUND($D7*'Allocators Calc'!W22,0)</f>
        <v>0</v>
      </c>
      <c r="AG22" s="11"/>
      <c r="AH22">
        <f>ROUND($D7*'Allocators Calc'!Y22,0)</f>
        <v>0</v>
      </c>
      <c r="AI22">
        <f>ROUND($D7*'Allocators Calc'!Z22,0)</f>
        <v>16891</v>
      </c>
      <c r="AJ22">
        <f>ROUND($D7*'Allocators Calc'!AA22,0)</f>
        <v>0</v>
      </c>
      <c r="AK22">
        <f>ROUND($D7*'Allocators Calc'!AB22,0)</f>
        <v>53441</v>
      </c>
      <c r="AL22">
        <f>ROUND($D7*'Allocators Calc'!AC22,0)</f>
        <v>890166</v>
      </c>
      <c r="AM22">
        <f>ROUND($D7*'Allocators Calc'!AD22,0)</f>
        <v>26104911</v>
      </c>
      <c r="AN22" s="10">
        <f t="shared" si="9"/>
        <v>144359266</v>
      </c>
      <c r="AO22" s="11"/>
      <c r="AP22">
        <f>ROUND($D7*'Allocators Calc'!AG22,0)</f>
        <v>7111</v>
      </c>
      <c r="AQ22">
        <f>ROUND($D7*'Allocators Calc'!AH22,0)</f>
        <v>13682</v>
      </c>
      <c r="AR22">
        <f>ROUND($D7*'Allocators Calc'!AI22,0)</f>
        <v>28428</v>
      </c>
      <c r="AS22">
        <f>ROUND($D7*'Allocators Calc'!AJ22,0)</f>
        <v>54148</v>
      </c>
      <c r="AT22">
        <f>ROUND($D7*'Allocators Calc'!AK22,0)</f>
        <v>0</v>
      </c>
      <c r="AU22" s="13">
        <f>ROUND($D7*'Allocators Calc'!AL22,0)</f>
        <v>0</v>
      </c>
      <c r="AV22">
        <f>ROUND($D7*'Allocators Calc'!AM22,0)</f>
        <v>673</v>
      </c>
      <c r="AW22">
        <f>ROUND($D7*'Allocators Calc'!AN22,0)</f>
        <v>1571</v>
      </c>
      <c r="AX22">
        <f>ROUND($D7*'Allocators Calc'!AO22,0)</f>
        <v>3366</v>
      </c>
      <c r="AY22">
        <f>ROUND($D7*'Allocators Calc'!AP22,0)</f>
        <v>1619046</v>
      </c>
      <c r="AZ22">
        <f>ROUND($D7*'Allocators Calc'!AQ22,0)</f>
        <v>262751</v>
      </c>
      <c r="BA22" s="13">
        <f>ROUND($D7*'Allocators Calc'!AR22,0)</f>
        <v>123670</v>
      </c>
      <c r="BB22">
        <f>ROUND($D7*'Allocators Calc'!AS22,0)</f>
        <v>3567</v>
      </c>
      <c r="BC22">
        <f>ROUND($D7*'Allocators Calc'!AT22,0)</f>
        <v>8154</v>
      </c>
      <c r="BD22">
        <f>ROUND($D7*'Allocators Calc'!AU22,0)</f>
        <v>16327</v>
      </c>
      <c r="BE22">
        <f>ROUND($D7*'Allocators Calc'!AV22,0)</f>
        <v>1835699</v>
      </c>
      <c r="BF22">
        <f>ROUND($D7*'Allocators Calc'!AW22,0)</f>
        <v>1682506</v>
      </c>
      <c r="BG22" s="13">
        <f>ROUND($D7*'Allocators Calc'!AX22,0)</f>
        <v>147639</v>
      </c>
      <c r="BH22">
        <f>ROUND($D7*'Allocators Calc'!AY22,0)</f>
        <v>4329846</v>
      </c>
      <c r="BI22">
        <f>ROUND($D7*'Allocators Calc'!AZ22,0)</f>
        <v>8548641</v>
      </c>
      <c r="BJ22">
        <f>ROUND($D7*'Allocators Calc'!BA22,0)</f>
        <v>12967869</v>
      </c>
      <c r="BK22">
        <f>ROUND($D7*'Allocators Calc'!BB22,0)</f>
        <v>81760635</v>
      </c>
      <c r="BL22">
        <f>ROUND($D7*'Allocators Calc'!BC22,0)</f>
        <v>45083093</v>
      </c>
      <c r="BM22" s="13">
        <f>ROUND($D7*'Allocators Calc'!BD22,0)</f>
        <v>33035690</v>
      </c>
      <c r="BN22">
        <f>ROUND($D7*'Allocators Calc'!BE22,0)</f>
        <v>50110</v>
      </c>
      <c r="BO22">
        <f>ROUND($D7*'Allocators Calc'!BF22,0)</f>
        <v>114723</v>
      </c>
      <c r="BP22">
        <f>ROUND($D7*'Allocators Calc'!BG22,0)</f>
        <v>239907</v>
      </c>
      <c r="BQ22">
        <f>ROUND($D7*'Allocators Calc'!BH22,0)</f>
        <v>4909138</v>
      </c>
      <c r="BR22">
        <f>ROUND($D7*'Allocators Calc'!BI22,0)</f>
        <v>2780422</v>
      </c>
      <c r="BS22" s="13">
        <f>ROUND($D7*'Allocators Calc'!BJ22,0)</f>
        <v>2964571</v>
      </c>
      <c r="BT22">
        <f>ROUND($D7*'Allocators Calc'!BK22,0)</f>
        <v>12780</v>
      </c>
      <c r="BU22">
        <f>ROUND($D7*'Allocators Calc'!BL22,0)</f>
        <v>57919</v>
      </c>
      <c r="BV22">
        <f>ROUND($D7*'Allocators Calc'!BM22,0)</f>
        <v>121606</v>
      </c>
      <c r="BW22">
        <f>ROUND($D7*'Allocators Calc'!BN22,0)</f>
        <v>822600</v>
      </c>
      <c r="BX22">
        <f>ROUND($D7*'Allocators Calc'!BO22,0)</f>
        <v>0</v>
      </c>
      <c r="BY22" s="13">
        <f>ROUND($D7*'Allocators Calc'!BP22,0)</f>
        <v>0</v>
      </c>
      <c r="BZ22">
        <f>ROUND($D7*'Allocators Calc'!BQ22,0)</f>
        <v>0</v>
      </c>
      <c r="CA22">
        <f>ROUND($D7*'Allocators Calc'!BR22,0)</f>
        <v>0</v>
      </c>
      <c r="CB22">
        <f>ROUND($D7*'Allocators Calc'!BS22,0)</f>
        <v>0</v>
      </c>
      <c r="CC22">
        <f>ROUND($D7*'Allocators Calc'!BT22,0)</f>
        <v>0</v>
      </c>
      <c r="CD22">
        <f>ROUND($D7*'Allocators Calc'!BU22,0)</f>
        <v>0</v>
      </c>
      <c r="CE22" s="13">
        <f>ROUND($D7*'Allocators Calc'!BV22,0)</f>
        <v>0</v>
      </c>
      <c r="CF22" s="11"/>
      <c r="CG22">
        <f>ROUND($D7*'Allocators Calc'!BX22,0)</f>
        <v>0</v>
      </c>
      <c r="CH22">
        <f>ROUND($D7*'Allocators Calc'!BY22,0)</f>
        <v>0</v>
      </c>
      <c r="CI22">
        <f>ROUND($D7*'Allocators Calc'!BZ22,0)</f>
        <v>0</v>
      </c>
      <c r="CJ22">
        <f>ROUND($D7*'Allocators Calc'!CA22,0)</f>
        <v>0</v>
      </c>
      <c r="CK22">
        <f>ROUND($D7*'Allocators Calc'!CB22,0)</f>
        <v>0</v>
      </c>
      <c r="CL22">
        <f>ROUND($D7*'Allocators Calc'!CC22,0)</f>
        <v>0</v>
      </c>
      <c r="CM22">
        <f>ROUND($D7*'Allocators Calc'!CD22,0)</f>
        <v>0</v>
      </c>
      <c r="CN22">
        <f>ROUND($D7*'Allocators Calc'!CE22,0)</f>
        <v>0</v>
      </c>
      <c r="CO22">
        <f>ROUND($D7*'Allocators Calc'!CF22,0)</f>
        <v>0</v>
      </c>
      <c r="CP22">
        <f>ROUND($D7*'Allocators Calc'!CG22,0)</f>
        <v>0</v>
      </c>
      <c r="CQ22" s="11"/>
      <c r="CR22">
        <f>ROUND($D7*'Allocators Calc'!CI22,0)</f>
        <v>0</v>
      </c>
      <c r="CS22">
        <f>ROUND($D7*'Allocators Calc'!CJ22,0)</f>
        <v>0</v>
      </c>
      <c r="CT22">
        <f>ROUND($D7*'Allocators Calc'!CK22,0)</f>
        <v>0</v>
      </c>
      <c r="CU22">
        <f>ROUND($D7*'Allocators Calc'!CL22,0)</f>
        <v>0</v>
      </c>
      <c r="CV22">
        <f>ROUND($D7*'Allocators Calc'!CM22,0)</f>
        <v>0</v>
      </c>
      <c r="CW22">
        <f>ROUND($D7*'Allocators Calc'!CN22,0)</f>
        <v>0</v>
      </c>
      <c r="CX22" s="11"/>
      <c r="CY22">
        <f>ROUND($D7*'Allocators Calc'!CP22,0)</f>
        <v>122853</v>
      </c>
      <c r="CZ22">
        <f>ROUND($D7*'Allocators Calc'!CQ22,0)</f>
        <v>980517</v>
      </c>
      <c r="DA22" s="22"/>
      <c r="DB22">
        <f>ROUND($D7*'Allocators Calc'!CS22,0)</f>
        <v>0</v>
      </c>
      <c r="DC22">
        <f>ROUND($D7*'Allocators Calc'!CT22,0)</f>
        <v>0</v>
      </c>
      <c r="DD22">
        <f>ROUND($D7*'Allocators Calc'!CU22,0)</f>
        <v>0</v>
      </c>
      <c r="DE22">
        <f>ROUND($D7*'Allocators Calc'!CV22,0)</f>
        <v>0</v>
      </c>
      <c r="DF22">
        <f>ROUND($D7*'Allocators Calc'!CW22,0)</f>
        <v>0</v>
      </c>
      <c r="DG22">
        <f>ROUND($D7*'Allocators Calc'!CX22,0)</f>
        <v>0</v>
      </c>
      <c r="DH22">
        <f>ROUND($D7*'Allocators Calc'!CY22,0)</f>
        <v>0</v>
      </c>
      <c r="DI22">
        <f>ROUND($D7*'Allocators Calc'!CZ22,0)</f>
        <v>0</v>
      </c>
      <c r="DJ22">
        <f>ROUND($D7*'Allocators Calc'!DA22,0)</f>
        <v>0</v>
      </c>
      <c r="DK22" s="22"/>
      <c r="DL22" s="3">
        <f t="shared" si="10"/>
        <v>444327068</v>
      </c>
      <c r="DM22" s="3">
        <f t="shared" si="11"/>
        <v>444327068.20899999</v>
      </c>
      <c r="DN22" s="3">
        <f t="shared" si="2"/>
        <v>-0.20899999141693115</v>
      </c>
    </row>
    <row r="23" spans="1:121" x14ac:dyDescent="0.2">
      <c r="J23" s="3"/>
      <c r="K23" t="s">
        <v>237</v>
      </c>
      <c r="L23">
        <f>ROUND($D8*'Allocators Calc'!C23,0)</f>
        <v>13614830</v>
      </c>
      <c r="M23">
        <f>ROUND($D8*'Allocators Calc'!D23,0)</f>
        <v>18634221</v>
      </c>
      <c r="N23">
        <f>ROUND($D8*'Allocators Calc'!E23,0)</f>
        <v>19862159</v>
      </c>
      <c r="O23">
        <f>ROUND($D8*'Allocators Calc'!F23,0)</f>
        <v>32449090</v>
      </c>
      <c r="P23" s="15">
        <f>ROUND($D8*'Allocators Calc'!G23,0)</f>
        <v>456362</v>
      </c>
      <c r="Q23">
        <f>ROUND($D8*'Allocators Calc'!H23,0)</f>
        <v>309</v>
      </c>
      <c r="R23">
        <f>ROUND($D8*'Allocators Calc'!I23,0)</f>
        <v>0</v>
      </c>
      <c r="S23">
        <f>ROUND($D8*'Allocators Calc'!J23,0)</f>
        <v>0</v>
      </c>
      <c r="T23" s="13">
        <f>ROUND($D8*'Allocators Calc'!K23,0)</f>
        <v>0</v>
      </c>
      <c r="U23">
        <f>ROUND($D8*'Allocators Calc'!L23,0)</f>
        <v>1422017</v>
      </c>
      <c r="V23">
        <f>ROUND($D8*'Allocators Calc'!M23,0)</f>
        <v>763282</v>
      </c>
      <c r="W23">
        <f>ROUND($D8*'Allocators Calc'!N23,0)</f>
        <v>93061</v>
      </c>
      <c r="X23" s="13">
        <f>ROUND($D8*'Allocators Calc'!O23,0)</f>
        <v>74328</v>
      </c>
      <c r="Y23">
        <f>ROUND($D8*'Allocators Calc'!P23,0)</f>
        <v>0</v>
      </c>
      <c r="Z23">
        <f>ROUND($D8*'Allocators Calc'!Q23,0)</f>
        <v>0</v>
      </c>
      <c r="AA23">
        <f>ROUND($D8*'Allocators Calc'!R23,0)</f>
        <v>0</v>
      </c>
      <c r="AB23" s="13">
        <f>ROUND($D8*'Allocators Calc'!S23,0)</f>
        <v>0</v>
      </c>
      <c r="AC23">
        <f>ROUND($D8*'Allocators Calc'!T23,0)</f>
        <v>0</v>
      </c>
      <c r="AD23">
        <f>ROUND($D8*'Allocators Calc'!U23,0)</f>
        <v>0</v>
      </c>
      <c r="AE23">
        <f>ROUND($D8*'Allocators Calc'!V23,0)</f>
        <v>0</v>
      </c>
      <c r="AF23">
        <f>ROUND($D8*'Allocators Calc'!W23,0)</f>
        <v>0</v>
      </c>
      <c r="AG23" s="11"/>
      <c r="AH23">
        <f>ROUND($D8*'Allocators Calc'!Y23,0)</f>
        <v>0</v>
      </c>
      <c r="AI23">
        <f>ROUND($D8*'Allocators Calc'!Z23,0)</f>
        <v>24923</v>
      </c>
      <c r="AJ23">
        <f>ROUND($D8*'Allocators Calc'!AA23,0)</f>
        <v>0</v>
      </c>
      <c r="AK23">
        <f>ROUND($D8*'Allocators Calc'!AB23,0)</f>
        <v>74307</v>
      </c>
      <c r="AL23">
        <f>ROUND($D8*'Allocators Calc'!AC23,0)</f>
        <v>887575</v>
      </c>
      <c r="AM23">
        <f>ROUND($D8*'Allocators Calc'!AD23,0)</f>
        <v>31647277</v>
      </c>
      <c r="AN23" s="10">
        <f t="shared" si="9"/>
        <v>178222209</v>
      </c>
      <c r="AO23" s="11"/>
      <c r="AP23">
        <f>ROUND($D8*'Allocators Calc'!AG23,0)</f>
        <v>6626</v>
      </c>
      <c r="AQ23">
        <f>ROUND($D8*'Allocators Calc'!AH23,0)</f>
        <v>17773</v>
      </c>
      <c r="AR23">
        <f>ROUND($D8*'Allocators Calc'!AI23,0)</f>
        <v>24444</v>
      </c>
      <c r="AS23">
        <f>ROUND($D8*'Allocators Calc'!AJ23,0)</f>
        <v>86697</v>
      </c>
      <c r="AT23">
        <f>ROUND($D8*'Allocators Calc'!AK23,0)</f>
        <v>0</v>
      </c>
      <c r="AU23" s="13">
        <f>ROUND($D8*'Allocators Calc'!AL23,0)</f>
        <v>0</v>
      </c>
      <c r="AV23">
        <f>ROUND($D8*'Allocators Calc'!AM23,0)</f>
        <v>853</v>
      </c>
      <c r="AW23">
        <f>ROUND($D8*'Allocators Calc'!AN23,0)</f>
        <v>1991</v>
      </c>
      <c r="AX23">
        <f>ROUND($D8*'Allocators Calc'!AO23,0)</f>
        <v>4266</v>
      </c>
      <c r="AY23">
        <f>ROUND($D8*'Allocators Calc'!AP23,0)</f>
        <v>2052345</v>
      </c>
      <c r="AZ23">
        <f>ROUND($D8*'Allocators Calc'!AQ23,0)</f>
        <v>333070</v>
      </c>
      <c r="BA23" s="13">
        <f>ROUND($D8*'Allocators Calc'!AR23,0)</f>
        <v>156767</v>
      </c>
      <c r="BB23">
        <f>ROUND($D8*'Allocators Calc'!AS23,0)</f>
        <v>4119</v>
      </c>
      <c r="BC23">
        <f>ROUND($D8*'Allocators Calc'!AT23,0)</f>
        <v>9416</v>
      </c>
      <c r="BD23">
        <f>ROUND($D8*'Allocators Calc'!AU23,0)</f>
        <v>18854</v>
      </c>
      <c r="BE23">
        <f>ROUND($D8*'Allocators Calc'!AV23,0)</f>
        <v>2119862</v>
      </c>
      <c r="BF23">
        <f>ROUND($D8*'Allocators Calc'!AW23,0)</f>
        <v>1942955</v>
      </c>
      <c r="BG23" s="13">
        <f>ROUND($D8*'Allocators Calc'!AX23,0)</f>
        <v>170493</v>
      </c>
      <c r="BH23">
        <f>ROUND($D8*'Allocators Calc'!AY23,0)</f>
        <v>5358892</v>
      </c>
      <c r="BI23">
        <f>ROUND($D8*'Allocators Calc'!AZ23,0)</f>
        <v>10580341</v>
      </c>
      <c r="BJ23">
        <f>ROUND($D8*'Allocators Calc'!BA23,0)</f>
        <v>16049858</v>
      </c>
      <c r="BK23">
        <f>ROUND($D8*'Allocators Calc'!BB23,0)</f>
        <v>101192156</v>
      </c>
      <c r="BL23">
        <f>ROUND($D8*'Allocators Calc'!BC23,0)</f>
        <v>55797699</v>
      </c>
      <c r="BM23" s="13">
        <f>ROUND($D8*'Allocators Calc'!BD23,0)</f>
        <v>40887069</v>
      </c>
      <c r="BN23">
        <f>ROUND($D8*'Allocators Calc'!BE23,0)</f>
        <v>57638</v>
      </c>
      <c r="BO23">
        <f>ROUND($D8*'Allocators Calc'!BF23,0)</f>
        <v>131957</v>
      </c>
      <c r="BP23">
        <f>ROUND($D8*'Allocators Calc'!BG23,0)</f>
        <v>275948</v>
      </c>
      <c r="BQ23">
        <f>ROUND($D8*'Allocators Calc'!BH23,0)</f>
        <v>5646630</v>
      </c>
      <c r="BR23">
        <f>ROUND($D8*'Allocators Calc'!BI23,0)</f>
        <v>3198121</v>
      </c>
      <c r="BS23" s="13">
        <f>ROUND($D8*'Allocators Calc'!BJ23,0)</f>
        <v>3409934</v>
      </c>
      <c r="BT23">
        <f>ROUND($D8*'Allocators Calc'!BK23,0)</f>
        <v>24110</v>
      </c>
      <c r="BU23">
        <f>ROUND($D8*'Allocators Calc'!BL23,0)</f>
        <v>92152</v>
      </c>
      <c r="BV23">
        <f>ROUND($D8*'Allocators Calc'!BM23,0)</f>
        <v>196439</v>
      </c>
      <c r="BW23">
        <f>ROUND($D8*'Allocators Calc'!BN23,0)</f>
        <v>1498915</v>
      </c>
      <c r="BX23">
        <f>ROUND($D8*'Allocators Calc'!BO23,0)</f>
        <v>0</v>
      </c>
      <c r="BY23" s="13">
        <f>ROUND($D8*'Allocators Calc'!BP23,0)</f>
        <v>0</v>
      </c>
      <c r="BZ23">
        <f>ROUND($D8*'Allocators Calc'!BQ23,0)</f>
        <v>0</v>
      </c>
      <c r="CA23">
        <f>ROUND($D8*'Allocators Calc'!BR23,0)</f>
        <v>0</v>
      </c>
      <c r="CB23">
        <f>ROUND($D8*'Allocators Calc'!BS23,0)</f>
        <v>0</v>
      </c>
      <c r="CC23">
        <f>ROUND($D8*'Allocators Calc'!BT23,0)</f>
        <v>0</v>
      </c>
      <c r="CD23">
        <f>ROUND($D8*'Allocators Calc'!BU23,0)</f>
        <v>0</v>
      </c>
      <c r="CE23" s="13">
        <f>ROUND($D8*'Allocators Calc'!BV23,0)</f>
        <v>0</v>
      </c>
      <c r="CF23" s="11"/>
      <c r="CG23">
        <f>ROUND($D8*'Allocators Calc'!BX23,0)</f>
        <v>0</v>
      </c>
      <c r="CH23">
        <f>ROUND($D8*'Allocators Calc'!BY23,0)</f>
        <v>0</v>
      </c>
      <c r="CI23">
        <f>ROUND($D8*'Allocators Calc'!BZ23,0)</f>
        <v>0</v>
      </c>
      <c r="CJ23">
        <f>ROUND($D8*'Allocators Calc'!CA23,0)</f>
        <v>0</v>
      </c>
      <c r="CK23">
        <f>ROUND($D8*'Allocators Calc'!CB23,0)</f>
        <v>0</v>
      </c>
      <c r="CL23">
        <f>ROUND($D8*'Allocators Calc'!CC23,0)</f>
        <v>0</v>
      </c>
      <c r="CM23">
        <f>ROUND($D8*'Allocators Calc'!CD23,0)</f>
        <v>0</v>
      </c>
      <c r="CN23">
        <f>ROUND($D8*'Allocators Calc'!CE23,0)</f>
        <v>0</v>
      </c>
      <c r="CO23">
        <f>ROUND($D8*'Allocators Calc'!CF23,0)</f>
        <v>0</v>
      </c>
      <c r="CP23">
        <f>ROUND($D8*'Allocators Calc'!CG23,0)</f>
        <v>0</v>
      </c>
      <c r="CQ23" s="11"/>
      <c r="CR23">
        <f>ROUND($D8*'Allocators Calc'!CI23,0)</f>
        <v>0</v>
      </c>
      <c r="CS23">
        <f>ROUND($D8*'Allocators Calc'!CJ23,0)</f>
        <v>0</v>
      </c>
      <c r="CT23">
        <f>ROUND($D8*'Allocators Calc'!CK23,0)</f>
        <v>0</v>
      </c>
      <c r="CU23">
        <f>ROUND($D8*'Allocators Calc'!CL23,0)</f>
        <v>0</v>
      </c>
      <c r="CV23">
        <f>ROUND($D8*'Allocators Calc'!CM23,0)</f>
        <v>0</v>
      </c>
      <c r="CW23">
        <f>ROUND($D8*'Allocators Calc'!CN23,0)</f>
        <v>0</v>
      </c>
      <c r="CX23" s="11"/>
      <c r="CY23">
        <f>ROUND($D8*'Allocators Calc'!CP23,0)</f>
        <v>144729</v>
      </c>
      <c r="CZ23">
        <f>ROUND($D8*'Allocators Calc'!CQ23,0)</f>
        <v>1155109</v>
      </c>
      <c r="DA23" s="22"/>
      <c r="DB23">
        <f>ROUND($D8*'Allocators Calc'!CS23,0)</f>
        <v>0</v>
      </c>
      <c r="DC23">
        <f>ROUND($D8*'Allocators Calc'!CT23,0)</f>
        <v>0</v>
      </c>
      <c r="DD23">
        <f>ROUND($D8*'Allocators Calc'!CU23,0)</f>
        <v>0</v>
      </c>
      <c r="DE23">
        <f>ROUND($D8*'Allocators Calc'!CV23,0)</f>
        <v>0</v>
      </c>
      <c r="DF23">
        <f>ROUND($D8*'Allocators Calc'!CW23,0)</f>
        <v>0</v>
      </c>
      <c r="DG23">
        <f>ROUND($D8*'Allocators Calc'!CX23,0)</f>
        <v>0</v>
      </c>
      <c r="DH23">
        <f>ROUND($D8*'Allocators Calc'!CY23,0)</f>
        <v>0</v>
      </c>
      <c r="DI23">
        <f>ROUND($D8*'Allocators Calc'!CZ23,0)</f>
        <v>0</v>
      </c>
      <c r="DJ23">
        <f>ROUND($D8*'Allocators Calc'!DA23,0)</f>
        <v>0</v>
      </c>
      <c r="DK23" s="22"/>
      <c r="DL23" s="3">
        <f t="shared" si="10"/>
        <v>550874178</v>
      </c>
      <c r="DM23" s="3">
        <f t="shared" si="11"/>
        <v>550874177.66700006</v>
      </c>
      <c r="DN23" s="3">
        <f t="shared" si="2"/>
        <v>0.33299994468688965</v>
      </c>
    </row>
    <row r="24" spans="1:121" x14ac:dyDescent="0.2">
      <c r="J24" s="3"/>
      <c r="K24" t="s">
        <v>238</v>
      </c>
      <c r="L24">
        <f>ROUND($D9*'Allocators Calc'!C24,0)</f>
        <v>12989118</v>
      </c>
      <c r="M24">
        <f>ROUND($D9*'Allocators Calc'!D24,0)</f>
        <v>18624633</v>
      </c>
      <c r="N24">
        <f>ROUND($D9*'Allocators Calc'!E24,0)</f>
        <v>20635777</v>
      </c>
      <c r="O24">
        <f>ROUND($D9*'Allocators Calc'!F24,0)</f>
        <v>33491774</v>
      </c>
      <c r="P24" s="15">
        <f>ROUND($D9*'Allocators Calc'!G24,0)</f>
        <v>442727</v>
      </c>
      <c r="Q24">
        <f>ROUND($D9*'Allocators Calc'!H24,0)</f>
        <v>293</v>
      </c>
      <c r="R24">
        <f>ROUND($D9*'Allocators Calc'!I24,0)</f>
        <v>0</v>
      </c>
      <c r="S24">
        <f>ROUND($D9*'Allocators Calc'!J24,0)</f>
        <v>0</v>
      </c>
      <c r="T24" s="13">
        <f>ROUND($D9*'Allocators Calc'!K24,0)</f>
        <v>0</v>
      </c>
      <c r="U24">
        <f>ROUND($D9*'Allocators Calc'!L24,0)</f>
        <v>1260481</v>
      </c>
      <c r="V24">
        <f>ROUND($D9*'Allocators Calc'!M24,0)</f>
        <v>676535</v>
      </c>
      <c r="W24">
        <f>ROUND($D9*'Allocators Calc'!N24,0)</f>
        <v>82484</v>
      </c>
      <c r="X24" s="13">
        <f>ROUND($D9*'Allocators Calc'!O24,0)</f>
        <v>65881</v>
      </c>
      <c r="Y24">
        <f>ROUND($D9*'Allocators Calc'!P24,0)</f>
        <v>0</v>
      </c>
      <c r="Z24">
        <f>ROUND($D9*'Allocators Calc'!Q24,0)</f>
        <v>0</v>
      </c>
      <c r="AA24">
        <f>ROUND($D9*'Allocators Calc'!R24,0)</f>
        <v>0</v>
      </c>
      <c r="AB24" s="13">
        <f>ROUND($D9*'Allocators Calc'!S24,0)</f>
        <v>0</v>
      </c>
      <c r="AC24">
        <f>ROUND($D9*'Allocators Calc'!T24,0)</f>
        <v>0</v>
      </c>
      <c r="AD24">
        <f>ROUND($D9*'Allocators Calc'!U24,0)</f>
        <v>0</v>
      </c>
      <c r="AE24">
        <f>ROUND($D9*'Allocators Calc'!V24,0)</f>
        <v>0</v>
      </c>
      <c r="AF24">
        <f>ROUND($D9*'Allocators Calc'!W24,0)</f>
        <v>0</v>
      </c>
      <c r="AG24" s="11"/>
      <c r="AH24">
        <f>ROUND($D9*'Allocators Calc'!Y24,0)</f>
        <v>0</v>
      </c>
      <c r="AI24">
        <f>ROUND($D9*'Allocators Calc'!Z24,0)</f>
        <v>25351</v>
      </c>
      <c r="AJ24">
        <f>ROUND($D9*'Allocators Calc'!AA24,0)</f>
        <v>0</v>
      </c>
      <c r="AK24">
        <f>ROUND($D9*'Allocators Calc'!AB24,0)</f>
        <v>74787</v>
      </c>
      <c r="AL24">
        <f>ROUND($D9*'Allocators Calc'!AC24,0)</f>
        <v>619065</v>
      </c>
      <c r="AM24">
        <f>ROUND($D9*'Allocators Calc'!AD24,0)</f>
        <v>30614514</v>
      </c>
      <c r="AN24" s="10">
        <f t="shared" si="9"/>
        <v>174521926</v>
      </c>
      <c r="AO24" s="11"/>
      <c r="AP24">
        <f>ROUND($D9*'Allocators Calc'!AG24,0)</f>
        <v>11836</v>
      </c>
      <c r="AQ24">
        <f>ROUND($D9*'Allocators Calc'!AH24,0)</f>
        <v>31420</v>
      </c>
      <c r="AR24">
        <f>ROUND($D9*'Allocators Calc'!AI24,0)</f>
        <v>32743</v>
      </c>
      <c r="AS24">
        <f>ROUND($D9*'Allocators Calc'!AJ24,0)</f>
        <v>133702</v>
      </c>
      <c r="AT24">
        <f>ROUND($D9*'Allocators Calc'!AK24,0)</f>
        <v>0</v>
      </c>
      <c r="AU24" s="13">
        <f>ROUND($D9*'Allocators Calc'!AL24,0)</f>
        <v>0</v>
      </c>
      <c r="AV24">
        <f>ROUND($D9*'Allocators Calc'!AM24,0)</f>
        <v>786</v>
      </c>
      <c r="AW24">
        <f>ROUND($D9*'Allocators Calc'!AN24,0)</f>
        <v>1835</v>
      </c>
      <c r="AX24">
        <f>ROUND($D9*'Allocators Calc'!AO24,0)</f>
        <v>3932</v>
      </c>
      <c r="AY24">
        <f>ROUND($D9*'Allocators Calc'!AP24,0)</f>
        <v>1891597</v>
      </c>
      <c r="AZ24">
        <f>ROUND($D9*'Allocators Calc'!AQ24,0)</f>
        <v>306983</v>
      </c>
      <c r="BA24" s="13">
        <f>ROUND($D9*'Allocators Calc'!AR24,0)</f>
        <v>144488</v>
      </c>
      <c r="BB24">
        <f>ROUND($D9*'Allocators Calc'!AS24,0)</f>
        <v>4167</v>
      </c>
      <c r="BC24">
        <f>ROUND($D9*'Allocators Calc'!AT24,0)</f>
        <v>9528</v>
      </c>
      <c r="BD24">
        <f>ROUND($D9*'Allocators Calc'!AU24,0)</f>
        <v>19077</v>
      </c>
      <c r="BE24">
        <f>ROUND($D9*'Allocators Calc'!AV24,0)</f>
        <v>2144949</v>
      </c>
      <c r="BF24">
        <f>ROUND($D9*'Allocators Calc'!AW24,0)</f>
        <v>1965948</v>
      </c>
      <c r="BG24" s="13">
        <f>ROUND($D9*'Allocators Calc'!AX24,0)</f>
        <v>172511</v>
      </c>
      <c r="BH24">
        <f>ROUND($D9*'Allocators Calc'!AY24,0)</f>
        <v>5410098</v>
      </c>
      <c r="BI24">
        <f>ROUND($D9*'Allocators Calc'!AZ24,0)</f>
        <v>10681439</v>
      </c>
      <c r="BJ24">
        <f>ROUND($D9*'Allocators Calc'!BA24,0)</f>
        <v>16203219</v>
      </c>
      <c r="BK24">
        <f>ROUND($D9*'Allocators Calc'!BB24,0)</f>
        <v>102159076</v>
      </c>
      <c r="BL24">
        <f>ROUND($D9*'Allocators Calc'!BC24,0)</f>
        <v>56330862</v>
      </c>
      <c r="BM24" s="13">
        <f>ROUND($D9*'Allocators Calc'!BD24,0)</f>
        <v>41277756</v>
      </c>
      <c r="BN24">
        <f>ROUND($D9*'Allocators Calc'!BE24,0)</f>
        <v>54443</v>
      </c>
      <c r="BO24">
        <f>ROUND($D9*'Allocators Calc'!BF24,0)</f>
        <v>124644</v>
      </c>
      <c r="BP24">
        <f>ROUND($D9*'Allocators Calc'!BG24,0)</f>
        <v>260654</v>
      </c>
      <c r="BQ24">
        <f>ROUND($D9*'Allocators Calc'!BH24,0)</f>
        <v>5333668</v>
      </c>
      <c r="BR24">
        <f>ROUND($D9*'Allocators Calc'!BI24,0)</f>
        <v>3020866</v>
      </c>
      <c r="BS24" s="13">
        <f>ROUND($D9*'Allocators Calc'!BJ24,0)</f>
        <v>3220940</v>
      </c>
      <c r="BT24">
        <f>ROUND($D9*'Allocators Calc'!BK24,0)</f>
        <v>52488</v>
      </c>
      <c r="BU24">
        <f>ROUND($D9*'Allocators Calc'!BL24,0)</f>
        <v>122473</v>
      </c>
      <c r="BV24">
        <f>ROUND($D9*'Allocators Calc'!BM24,0)</f>
        <v>238309</v>
      </c>
      <c r="BW24">
        <f>ROUND($D9*'Allocators Calc'!BN24,0)</f>
        <v>1532894</v>
      </c>
      <c r="BX24">
        <f>ROUND($D9*'Allocators Calc'!BO24,0)</f>
        <v>0</v>
      </c>
      <c r="BY24" s="13">
        <f>ROUND($D9*'Allocators Calc'!BP24,0)</f>
        <v>0</v>
      </c>
      <c r="BZ24">
        <f>ROUND($D9*'Allocators Calc'!BQ24,0)</f>
        <v>0</v>
      </c>
      <c r="CA24">
        <f>ROUND($D9*'Allocators Calc'!BR24,0)</f>
        <v>0</v>
      </c>
      <c r="CB24">
        <f>ROUND($D9*'Allocators Calc'!BS24,0)</f>
        <v>0</v>
      </c>
      <c r="CC24">
        <f>ROUND($D9*'Allocators Calc'!BT24,0)</f>
        <v>0</v>
      </c>
      <c r="CD24">
        <f>ROUND($D9*'Allocators Calc'!BU24,0)</f>
        <v>0</v>
      </c>
      <c r="CE24" s="13">
        <f>ROUND($D9*'Allocators Calc'!BV24,0)</f>
        <v>0</v>
      </c>
      <c r="CF24" s="11"/>
      <c r="CG24">
        <f>ROUND($D9*'Allocators Calc'!BX24,0)</f>
        <v>0</v>
      </c>
      <c r="CH24">
        <f>ROUND($D9*'Allocators Calc'!BY24,0)</f>
        <v>0</v>
      </c>
      <c r="CI24">
        <f>ROUND($D9*'Allocators Calc'!BZ24,0)</f>
        <v>0</v>
      </c>
      <c r="CJ24">
        <f>ROUND($D9*'Allocators Calc'!CA24,0)</f>
        <v>0</v>
      </c>
      <c r="CK24">
        <f>ROUND($D9*'Allocators Calc'!CB24,0)</f>
        <v>0</v>
      </c>
      <c r="CL24">
        <f>ROUND($D9*'Allocators Calc'!CC24,0)</f>
        <v>0</v>
      </c>
      <c r="CM24">
        <f>ROUND($D9*'Allocators Calc'!CD24,0)</f>
        <v>0</v>
      </c>
      <c r="CN24">
        <f>ROUND($D9*'Allocators Calc'!CE24,0)</f>
        <v>0</v>
      </c>
      <c r="CO24">
        <f>ROUND($D9*'Allocators Calc'!CF24,0)</f>
        <v>0</v>
      </c>
      <c r="CP24">
        <f>ROUND($D9*'Allocators Calc'!CG24,0)</f>
        <v>0</v>
      </c>
      <c r="CQ24" s="11"/>
      <c r="CR24">
        <f>ROUND($D9*'Allocators Calc'!CI24,0)</f>
        <v>0</v>
      </c>
      <c r="CS24">
        <f>ROUND($D9*'Allocators Calc'!CJ24,0)</f>
        <v>0</v>
      </c>
      <c r="CT24">
        <f>ROUND($D9*'Allocators Calc'!CK24,0)</f>
        <v>0</v>
      </c>
      <c r="CU24">
        <f>ROUND($D9*'Allocators Calc'!CL24,0)</f>
        <v>0</v>
      </c>
      <c r="CV24">
        <f>ROUND($D9*'Allocators Calc'!CM24,0)</f>
        <v>0</v>
      </c>
      <c r="CW24">
        <f>ROUND($D9*'Allocators Calc'!CN24,0)</f>
        <v>0</v>
      </c>
      <c r="CX24" s="11"/>
      <c r="CY24">
        <f>ROUND($D9*'Allocators Calc'!CP24,0)</f>
        <v>136104</v>
      </c>
      <c r="CZ24">
        <f>ROUND($D9*'Allocators Calc'!CQ24,0)</f>
        <v>1086277</v>
      </c>
      <c r="DA24" s="22"/>
      <c r="DB24">
        <f>ROUND($D9*'Allocators Calc'!CS24,0)</f>
        <v>0</v>
      </c>
      <c r="DC24">
        <f>ROUND($D9*'Allocators Calc'!CT24,0)</f>
        <v>0</v>
      </c>
      <c r="DD24">
        <f>ROUND($D9*'Allocators Calc'!CU24,0)</f>
        <v>0</v>
      </c>
      <c r="DE24">
        <f>ROUND($D9*'Allocators Calc'!CV24,0)</f>
        <v>0</v>
      </c>
      <c r="DF24">
        <f>ROUND($D9*'Allocators Calc'!CW24,0)</f>
        <v>0</v>
      </c>
      <c r="DG24">
        <f>ROUND($D9*'Allocators Calc'!CX24,0)</f>
        <v>0</v>
      </c>
      <c r="DH24">
        <f>ROUND($D9*'Allocators Calc'!CY24,0)</f>
        <v>0</v>
      </c>
      <c r="DI24">
        <f>ROUND($D9*'Allocators Calc'!CZ24,0)</f>
        <v>0</v>
      </c>
      <c r="DJ24">
        <f>ROUND($D9*'Allocators Calc'!DA24,0)</f>
        <v>0</v>
      </c>
      <c r="DK24" s="22"/>
      <c r="DL24" s="3">
        <f t="shared" si="10"/>
        <v>548247058</v>
      </c>
      <c r="DM24" s="3">
        <f t="shared" si="11"/>
        <v>548247058.44000006</v>
      </c>
      <c r="DN24" s="3">
        <f t="shared" si="2"/>
        <v>-0.44000005722045898</v>
      </c>
    </row>
    <row r="25" spans="1:121" x14ac:dyDescent="0.2">
      <c r="K25" t="s">
        <v>239</v>
      </c>
      <c r="L25">
        <f>ROUND($D10*'Allocators Calc'!C25,0)</f>
        <v>12442322</v>
      </c>
      <c r="M25">
        <f>ROUND($D10*'Allocators Calc'!D25,0)</f>
        <v>18624434</v>
      </c>
      <c r="N25">
        <f>ROUND($D10*'Allocators Calc'!E25,0)</f>
        <v>21690764</v>
      </c>
      <c r="O25">
        <f>ROUND($D10*'Allocators Calc'!F25,0)</f>
        <v>38050759</v>
      </c>
      <c r="P25" s="15">
        <f>ROUND($D10*'Allocators Calc'!G25,0)</f>
        <v>434106</v>
      </c>
      <c r="Q25">
        <f>ROUND($D10*'Allocators Calc'!H25,0)</f>
        <v>277</v>
      </c>
      <c r="R25">
        <f>ROUND($D10*'Allocators Calc'!I25,0)</f>
        <v>0</v>
      </c>
      <c r="S25">
        <f>ROUND($D10*'Allocators Calc'!J25,0)</f>
        <v>0</v>
      </c>
      <c r="T25" s="13">
        <f>ROUND($D10*'Allocators Calc'!K25,0)</f>
        <v>0</v>
      </c>
      <c r="U25">
        <f>ROUND($D10*'Allocators Calc'!L25,0)</f>
        <v>1210887</v>
      </c>
      <c r="V25">
        <f>ROUND($D10*'Allocators Calc'!M25,0)</f>
        <v>650170</v>
      </c>
      <c r="W25">
        <f>ROUND($D10*'Allocators Calc'!N25,0)</f>
        <v>79270</v>
      </c>
      <c r="X25" s="13">
        <f>ROUND($D10*'Allocators Calc'!O25,0)</f>
        <v>63313</v>
      </c>
      <c r="Y25">
        <f>ROUND($D10*'Allocators Calc'!P25,0)</f>
        <v>0</v>
      </c>
      <c r="Z25">
        <f>ROUND($D10*'Allocators Calc'!Q25,0)</f>
        <v>0</v>
      </c>
      <c r="AA25">
        <f>ROUND($D10*'Allocators Calc'!R25,0)</f>
        <v>0</v>
      </c>
      <c r="AB25" s="13">
        <f>ROUND($D10*'Allocators Calc'!S25,0)</f>
        <v>0</v>
      </c>
      <c r="AC25">
        <f>ROUND($D10*'Allocators Calc'!T25,0)</f>
        <v>0</v>
      </c>
      <c r="AD25">
        <f>ROUND($D10*'Allocators Calc'!U25,0)</f>
        <v>0</v>
      </c>
      <c r="AE25">
        <f>ROUND($D10*'Allocators Calc'!V25,0)</f>
        <v>0</v>
      </c>
      <c r="AF25">
        <f>ROUND($D10*'Allocators Calc'!W25,0)</f>
        <v>0</v>
      </c>
      <c r="AG25" s="11"/>
      <c r="AH25">
        <f>ROUND($D10*'Allocators Calc'!Y25,0)</f>
        <v>0</v>
      </c>
      <c r="AI25">
        <f>ROUND($D10*'Allocators Calc'!Z25,0)</f>
        <v>34149</v>
      </c>
      <c r="AJ25">
        <f>ROUND($D10*'Allocators Calc'!AA25,0)</f>
        <v>0</v>
      </c>
      <c r="AK25">
        <f>ROUND($D10*'Allocators Calc'!AB25,0)</f>
        <v>74678</v>
      </c>
      <c r="AL25">
        <f>ROUND($D10*'Allocators Calc'!AC25,0)</f>
        <v>872793</v>
      </c>
      <c r="AM25">
        <f>ROUND($D10*'Allocators Calc'!AD25,0)</f>
        <v>31262225</v>
      </c>
      <c r="AN25" s="10">
        <f t="shared" si="9"/>
        <v>173282945</v>
      </c>
      <c r="AO25" s="11"/>
      <c r="AP25">
        <f>ROUND($D10*'Allocators Calc'!AG25,0)</f>
        <v>4104</v>
      </c>
      <c r="AQ25">
        <f>ROUND($D10*'Allocators Calc'!AH25,0)</f>
        <v>8563</v>
      </c>
      <c r="AR25">
        <f>ROUND($D10*'Allocators Calc'!AI25,0)</f>
        <v>17157</v>
      </c>
      <c r="AS25">
        <f>ROUND($D10*'Allocators Calc'!AJ25,0)</f>
        <v>4684363</v>
      </c>
      <c r="AT25">
        <f>ROUND($D10*'Allocators Calc'!AK25,0)</f>
        <v>1903812</v>
      </c>
      <c r="AU25" s="13">
        <f>ROUND($D10*'Allocators Calc'!AL25,0)</f>
        <v>1931884</v>
      </c>
      <c r="AV25">
        <f>ROUND($D10*'Allocators Calc'!AM25,0)</f>
        <v>785</v>
      </c>
      <c r="AW25">
        <f>ROUND($D10*'Allocators Calc'!AN25,0)</f>
        <v>1831</v>
      </c>
      <c r="AX25">
        <f>ROUND($D10*'Allocators Calc'!AO25,0)</f>
        <v>3923</v>
      </c>
      <c r="AY25">
        <f>ROUND($D10*'Allocators Calc'!AP25,0)</f>
        <v>1887150</v>
      </c>
      <c r="AZ25">
        <f>ROUND($D10*'Allocators Calc'!AQ25,0)</f>
        <v>306261</v>
      </c>
      <c r="BA25" s="13">
        <f>ROUND($D10*'Allocators Calc'!AR25,0)</f>
        <v>144149</v>
      </c>
      <c r="BB25">
        <f>ROUND($D10*'Allocators Calc'!AS25,0)</f>
        <v>4434</v>
      </c>
      <c r="BC25">
        <f>ROUND($D10*'Allocators Calc'!AT25,0)</f>
        <v>10138</v>
      </c>
      <c r="BD25">
        <f>ROUND($D10*'Allocators Calc'!AU25,0)</f>
        <v>20299</v>
      </c>
      <c r="BE25">
        <f>ROUND($D10*'Allocators Calc'!AV25,0)</f>
        <v>2282292</v>
      </c>
      <c r="BF25">
        <f>ROUND($D10*'Allocators Calc'!AW25,0)</f>
        <v>2091829</v>
      </c>
      <c r="BG25" s="13">
        <f>ROUND($D10*'Allocators Calc'!AX25,0)</f>
        <v>183557</v>
      </c>
      <c r="BH25">
        <f>ROUND($D10*'Allocators Calc'!AY25,0)</f>
        <v>5292341</v>
      </c>
      <c r="BI25">
        <f>ROUND($D10*'Allocators Calc'!AZ25,0)</f>
        <v>10448946</v>
      </c>
      <c r="BJ25">
        <f>ROUND($D10*'Allocators Calc'!BA25,0)</f>
        <v>15850538</v>
      </c>
      <c r="BK25">
        <f>ROUND($D10*'Allocators Calc'!BB25,0)</f>
        <v>99935472</v>
      </c>
      <c r="BL25">
        <f>ROUND($D10*'Allocators Calc'!BC25,0)</f>
        <v>55104760</v>
      </c>
      <c r="BM25" s="13">
        <f>ROUND($D10*'Allocators Calc'!BD25,0)</f>
        <v>40379301</v>
      </c>
      <c r="BN25">
        <f>ROUND($D10*'Allocators Calc'!BE25,0)</f>
        <v>54436</v>
      </c>
      <c r="BO25">
        <f>ROUND($D10*'Allocators Calc'!BF25,0)</f>
        <v>124627</v>
      </c>
      <c r="BP25">
        <f>ROUND($D10*'Allocators Calc'!BG25,0)</f>
        <v>260620</v>
      </c>
      <c r="BQ25">
        <f>ROUND($D10*'Allocators Calc'!BH25,0)</f>
        <v>5332964</v>
      </c>
      <c r="BR25">
        <f>ROUND($D10*'Allocators Calc'!BI25,0)</f>
        <v>3020468</v>
      </c>
      <c r="BS25" s="13">
        <f>ROUND($D10*'Allocators Calc'!BJ25,0)</f>
        <v>3220515</v>
      </c>
      <c r="BT25">
        <f>ROUND($D10*'Allocators Calc'!BK25,0)</f>
        <v>29282</v>
      </c>
      <c r="BU25">
        <f>ROUND($D10*'Allocators Calc'!BL25,0)</f>
        <v>68293</v>
      </c>
      <c r="BV25">
        <f>ROUND($D10*'Allocators Calc'!BM25,0)</f>
        <v>142557</v>
      </c>
      <c r="BW25">
        <f>ROUND($D10*'Allocators Calc'!BN25,0)</f>
        <v>1144330</v>
      </c>
      <c r="BX25">
        <f>ROUND($D10*'Allocators Calc'!BO25,0)</f>
        <v>0</v>
      </c>
      <c r="BY25" s="13">
        <f>ROUND($D10*'Allocators Calc'!BP25,0)</f>
        <v>0</v>
      </c>
      <c r="BZ25">
        <f>ROUND($D10*'Allocators Calc'!BQ25,0)</f>
        <v>0</v>
      </c>
      <c r="CA25">
        <f>ROUND($D10*'Allocators Calc'!BR25,0)</f>
        <v>0</v>
      </c>
      <c r="CB25">
        <f>ROUND($D10*'Allocators Calc'!BS25,0)</f>
        <v>0</v>
      </c>
      <c r="CC25">
        <f>ROUND($D10*'Allocators Calc'!BT25,0)</f>
        <v>0</v>
      </c>
      <c r="CD25">
        <f>ROUND($D10*'Allocators Calc'!BU25,0)</f>
        <v>0</v>
      </c>
      <c r="CE25" s="13">
        <f>ROUND($D10*'Allocators Calc'!BV25,0)</f>
        <v>0</v>
      </c>
      <c r="CF25" s="11"/>
      <c r="CG25">
        <f>ROUND($D10*'Allocators Calc'!BX25,0)</f>
        <v>0</v>
      </c>
      <c r="CH25">
        <f>ROUND($D10*'Allocators Calc'!BY25,0)</f>
        <v>0</v>
      </c>
      <c r="CI25">
        <f>ROUND($D10*'Allocators Calc'!BZ25,0)</f>
        <v>0</v>
      </c>
      <c r="CJ25">
        <f>ROUND($D10*'Allocators Calc'!CA25,0)</f>
        <v>0</v>
      </c>
      <c r="CK25">
        <f>ROUND($D10*'Allocators Calc'!CB25,0)</f>
        <v>0</v>
      </c>
      <c r="CL25">
        <f>ROUND($D10*'Allocators Calc'!CC25,0)</f>
        <v>0</v>
      </c>
      <c r="CM25">
        <f>ROUND($D10*'Allocators Calc'!CD25,0)</f>
        <v>0</v>
      </c>
      <c r="CN25">
        <f>ROUND($D10*'Allocators Calc'!CE25,0)</f>
        <v>0</v>
      </c>
      <c r="CO25">
        <f>ROUND($D10*'Allocators Calc'!CF25,0)</f>
        <v>0</v>
      </c>
      <c r="CP25">
        <f>ROUND($D10*'Allocators Calc'!CG25,0)</f>
        <v>0</v>
      </c>
      <c r="CQ25" s="11"/>
      <c r="CR25">
        <f>ROUND($D10*'Allocators Calc'!CI25,0)</f>
        <v>0</v>
      </c>
      <c r="CS25">
        <f>ROUND($D10*'Allocators Calc'!CJ25,0)</f>
        <v>0</v>
      </c>
      <c r="CT25">
        <f>ROUND($D10*'Allocators Calc'!CK25,0)</f>
        <v>0</v>
      </c>
      <c r="CU25">
        <f>ROUND($D10*'Allocators Calc'!CL25,0)</f>
        <v>0</v>
      </c>
      <c r="CV25">
        <f>ROUND($D10*'Allocators Calc'!CM25,0)</f>
        <v>0</v>
      </c>
      <c r="CW25">
        <f>ROUND($D10*'Allocators Calc'!CN25,0)</f>
        <v>0</v>
      </c>
      <c r="CX25" s="11"/>
      <c r="CY25">
        <f>ROUND($D10*'Allocators Calc'!CP25,0)</f>
        <v>135740</v>
      </c>
      <c r="CZ25">
        <f>ROUND($D10*'Allocators Calc'!CQ25,0)</f>
        <v>1083368</v>
      </c>
      <c r="DA25" s="22"/>
      <c r="DB25">
        <f>ROUND($D10*'Allocators Calc'!CS25,0)</f>
        <v>0</v>
      </c>
      <c r="DC25">
        <f>ROUND($D10*'Allocators Calc'!CT25,0)</f>
        <v>0</v>
      </c>
      <c r="DD25">
        <f>ROUND($D10*'Allocators Calc'!CU25,0)</f>
        <v>0</v>
      </c>
      <c r="DE25">
        <f>ROUND($D10*'Allocators Calc'!CV25,0)</f>
        <v>0</v>
      </c>
      <c r="DF25">
        <f>ROUND($D10*'Allocators Calc'!CW25,0)</f>
        <v>0</v>
      </c>
      <c r="DG25">
        <f>ROUND($D10*'Allocators Calc'!CX25,0)</f>
        <v>0</v>
      </c>
      <c r="DH25">
        <f>ROUND($D10*'Allocators Calc'!CY25,0)</f>
        <v>0</v>
      </c>
      <c r="DI25">
        <f>ROUND($D10*'Allocators Calc'!CZ25,0)</f>
        <v>0</v>
      </c>
      <c r="DJ25">
        <f>ROUND($D10*'Allocators Calc'!DA25,0)</f>
        <v>0</v>
      </c>
      <c r="DK25" s="22"/>
      <c r="DL25" s="3">
        <f t="shared" si="10"/>
        <v>555888181</v>
      </c>
      <c r="DM25" s="3">
        <f t="shared" si="11"/>
        <v>555888180.699</v>
      </c>
      <c r="DN25" s="3">
        <f t="shared" si="2"/>
        <v>0.30099999904632568</v>
      </c>
    </row>
    <row r="26" spans="1:121" x14ac:dyDescent="0.2">
      <c r="K26" t="s">
        <v>240</v>
      </c>
      <c r="L26">
        <f>ROUND($D11*'Allocators Calc'!C26,0)</f>
        <v>13239842</v>
      </c>
      <c r="M26">
        <f>ROUND($D11*'Allocators Calc'!D26,0)</f>
        <v>19208719</v>
      </c>
      <c r="N26">
        <f>ROUND($D11*'Allocators Calc'!E26,0)</f>
        <v>21458725</v>
      </c>
      <c r="O26">
        <f>ROUND($D11*'Allocators Calc'!F26,0)</f>
        <v>34343579</v>
      </c>
      <c r="P26" s="15">
        <f>ROUND($D11*'Allocators Calc'!G26,0)</f>
        <v>462010</v>
      </c>
      <c r="Q26">
        <f>ROUND($D11*'Allocators Calc'!H26,0)</f>
        <v>293</v>
      </c>
      <c r="R26">
        <f>ROUND($D11*'Allocators Calc'!I26,0)</f>
        <v>0</v>
      </c>
      <c r="S26">
        <f>ROUND($D11*'Allocators Calc'!J26,0)</f>
        <v>0</v>
      </c>
      <c r="T26" s="13">
        <f>ROUND($D11*'Allocators Calc'!K26,0)</f>
        <v>0</v>
      </c>
      <c r="U26">
        <f>ROUND($D11*'Allocators Calc'!L26,0)</f>
        <v>1325828</v>
      </c>
      <c r="V26">
        <f>ROUND($D11*'Allocators Calc'!M26,0)</f>
        <v>711886</v>
      </c>
      <c r="W26">
        <f>ROUND($D11*'Allocators Calc'!N26,0)</f>
        <v>86794</v>
      </c>
      <c r="X26" s="13">
        <f>ROUND($D11*'Allocators Calc'!O26,0)</f>
        <v>69323</v>
      </c>
      <c r="Y26">
        <f>ROUND($D11*'Allocators Calc'!P26,0)</f>
        <v>0</v>
      </c>
      <c r="Z26">
        <f>ROUND($D11*'Allocators Calc'!Q26,0)</f>
        <v>0</v>
      </c>
      <c r="AA26">
        <f>ROUND($D11*'Allocators Calc'!R26,0)</f>
        <v>0</v>
      </c>
      <c r="AB26" s="13">
        <f>ROUND($D11*'Allocators Calc'!S26,0)</f>
        <v>0</v>
      </c>
      <c r="AC26">
        <f>ROUND($D11*'Allocators Calc'!T26,0)</f>
        <v>0</v>
      </c>
      <c r="AD26">
        <f>ROUND($D11*'Allocators Calc'!U26,0)</f>
        <v>0</v>
      </c>
      <c r="AE26">
        <f>ROUND($D11*'Allocators Calc'!V26,0)</f>
        <v>0</v>
      </c>
      <c r="AF26">
        <f>ROUND($D11*'Allocators Calc'!W26,0)</f>
        <v>0</v>
      </c>
      <c r="AG26" s="11"/>
      <c r="AH26">
        <f>ROUND($D11*'Allocators Calc'!Y26,0)</f>
        <v>0</v>
      </c>
      <c r="AI26">
        <f>ROUND($D11*'Allocators Calc'!Z26,0)</f>
        <v>6223</v>
      </c>
      <c r="AJ26">
        <f>ROUND($D11*'Allocators Calc'!AA26,0)</f>
        <v>0</v>
      </c>
      <c r="AK26">
        <f>ROUND($D11*'Allocators Calc'!AB26,0)</f>
        <v>37385</v>
      </c>
      <c r="AL26">
        <f>ROUND($D11*'Allocators Calc'!AC26,0)</f>
        <v>893584</v>
      </c>
      <c r="AM26">
        <f>ROUND($D11*'Allocators Calc'!AD26,0)</f>
        <v>32530006</v>
      </c>
      <c r="AN26" s="10">
        <f t="shared" si="9"/>
        <v>183774438</v>
      </c>
      <c r="AO26" s="11"/>
      <c r="AP26">
        <f>ROUND($D11*'Allocators Calc'!AG26,0)</f>
        <v>1880</v>
      </c>
      <c r="AQ26">
        <f>ROUND($D11*'Allocators Calc'!AH26,0)</f>
        <v>3517</v>
      </c>
      <c r="AR26">
        <f>ROUND($D11*'Allocators Calc'!AI26,0)</f>
        <v>4889</v>
      </c>
      <c r="AS26">
        <f>ROUND($D11*'Allocators Calc'!AJ26,0)</f>
        <v>3466</v>
      </c>
      <c r="AT26">
        <f>ROUND($D11*'Allocators Calc'!AK26,0)</f>
        <v>0</v>
      </c>
      <c r="AU26" s="13">
        <f>ROUND($D11*'Allocators Calc'!AL26,0)</f>
        <v>0</v>
      </c>
      <c r="AV26">
        <f>ROUND($D11*'Allocators Calc'!AM26,0)</f>
        <v>905</v>
      </c>
      <c r="AW26">
        <f>ROUND($D11*'Allocators Calc'!AN26,0)</f>
        <v>2111</v>
      </c>
      <c r="AX26">
        <f>ROUND($D11*'Allocators Calc'!AO26,0)</f>
        <v>4524</v>
      </c>
      <c r="AY26">
        <f>ROUND($D11*'Allocators Calc'!AP26,0)</f>
        <v>2176242</v>
      </c>
      <c r="AZ26">
        <f>ROUND($D11*'Allocators Calc'!AQ26,0)</f>
        <v>353177</v>
      </c>
      <c r="BA26" s="13">
        <f>ROUND($D11*'Allocators Calc'!AR26,0)</f>
        <v>166231</v>
      </c>
      <c r="BB26">
        <f>ROUND($D11*'Allocators Calc'!AS26,0)</f>
        <v>4631</v>
      </c>
      <c r="BC26">
        <f>ROUND($D11*'Allocators Calc'!AT26,0)</f>
        <v>10588</v>
      </c>
      <c r="BD26">
        <f>ROUND($D11*'Allocators Calc'!AU26,0)</f>
        <v>21200</v>
      </c>
      <c r="BE26">
        <f>ROUND($D11*'Allocators Calc'!AV26,0)</f>
        <v>2383614</v>
      </c>
      <c r="BF26">
        <f>ROUND($D11*'Allocators Calc'!AW26,0)</f>
        <v>2184696</v>
      </c>
      <c r="BG26" s="13">
        <f>ROUND($D11*'Allocators Calc'!AX26,0)</f>
        <v>191706</v>
      </c>
      <c r="BH26">
        <f>ROUND($D11*'Allocators Calc'!AY26,0)</f>
        <v>5546808</v>
      </c>
      <c r="BI26">
        <f>ROUND($D11*'Allocators Calc'!AZ26,0)</f>
        <v>10951354</v>
      </c>
      <c r="BJ26">
        <f>ROUND($D11*'Allocators Calc'!BA26,0)</f>
        <v>16612666</v>
      </c>
      <c r="BK26">
        <f>ROUND($D11*'Allocators Calc'!BB26,0)</f>
        <v>104740583</v>
      </c>
      <c r="BL26">
        <f>ROUND($D11*'Allocators Calc'!BC26,0)</f>
        <v>57754314</v>
      </c>
      <c r="BM26" s="13">
        <f>ROUND($D11*'Allocators Calc'!BD26,0)</f>
        <v>42320824</v>
      </c>
      <c r="BN26">
        <f>ROUND($D11*'Allocators Calc'!BE26,0)</f>
        <v>55476</v>
      </c>
      <c r="BO26">
        <f>ROUND($D11*'Allocators Calc'!BF26,0)</f>
        <v>127007</v>
      </c>
      <c r="BP26">
        <f>ROUND($D11*'Allocators Calc'!BG26,0)</f>
        <v>265597</v>
      </c>
      <c r="BQ26">
        <f>ROUND($D11*'Allocators Calc'!BH26,0)</f>
        <v>5434803</v>
      </c>
      <c r="BR26">
        <f>ROUND($D11*'Allocators Calc'!BI26,0)</f>
        <v>3078147</v>
      </c>
      <c r="BS26" s="13">
        <f>ROUND($D11*'Allocators Calc'!BJ26,0)</f>
        <v>3282014</v>
      </c>
      <c r="BT26">
        <f>ROUND($D11*'Allocators Calc'!BK26,0)</f>
        <v>0</v>
      </c>
      <c r="BU26">
        <f>ROUND($D11*'Allocators Calc'!BL26,0)</f>
        <v>0</v>
      </c>
      <c r="BV26">
        <f>ROUND($D11*'Allocators Calc'!BM26,0)</f>
        <v>0</v>
      </c>
      <c r="BW26">
        <f>ROUND($D11*'Allocators Calc'!BN26,0)</f>
        <v>0</v>
      </c>
      <c r="BX26">
        <f>ROUND($D11*'Allocators Calc'!BO26,0)</f>
        <v>0</v>
      </c>
      <c r="BY26" s="13">
        <f>ROUND($D11*'Allocators Calc'!BP26,0)</f>
        <v>0</v>
      </c>
      <c r="BZ26">
        <f>ROUND($D11*'Allocators Calc'!BQ26,0)</f>
        <v>0</v>
      </c>
      <c r="CA26">
        <f>ROUND($D11*'Allocators Calc'!BR26,0)</f>
        <v>0</v>
      </c>
      <c r="CB26">
        <f>ROUND($D11*'Allocators Calc'!BS26,0)</f>
        <v>0</v>
      </c>
      <c r="CC26">
        <f>ROUND($D11*'Allocators Calc'!BT26,0)</f>
        <v>0</v>
      </c>
      <c r="CD26">
        <f>ROUND($D11*'Allocators Calc'!BU26,0)</f>
        <v>0</v>
      </c>
      <c r="CE26" s="13">
        <f>ROUND($D11*'Allocators Calc'!BV26,0)</f>
        <v>0</v>
      </c>
      <c r="CF26" s="11"/>
      <c r="CG26">
        <f>ROUND($D11*'Allocators Calc'!BX26,0)</f>
        <v>0</v>
      </c>
      <c r="CH26">
        <f>ROUND($D11*'Allocators Calc'!BY26,0)</f>
        <v>0</v>
      </c>
      <c r="CI26">
        <f>ROUND($D11*'Allocators Calc'!BZ26,0)</f>
        <v>0</v>
      </c>
      <c r="CJ26">
        <f>ROUND($D11*'Allocators Calc'!CA26,0)</f>
        <v>0</v>
      </c>
      <c r="CK26">
        <f>ROUND($D11*'Allocators Calc'!CB26,0)</f>
        <v>0</v>
      </c>
      <c r="CL26">
        <f>ROUND($D11*'Allocators Calc'!CC26,0)</f>
        <v>0</v>
      </c>
      <c r="CM26">
        <f>ROUND($D11*'Allocators Calc'!CD26,0)</f>
        <v>0</v>
      </c>
      <c r="CN26">
        <f>ROUND($D11*'Allocators Calc'!CE26,0)</f>
        <v>0</v>
      </c>
      <c r="CO26">
        <f>ROUND($D11*'Allocators Calc'!CF26,0)</f>
        <v>0</v>
      </c>
      <c r="CP26">
        <f>ROUND($D11*'Allocators Calc'!CG26,0)</f>
        <v>0</v>
      </c>
      <c r="CQ26" s="11"/>
      <c r="CR26">
        <f>ROUND($D11*'Allocators Calc'!CI26,0)</f>
        <v>0</v>
      </c>
      <c r="CS26">
        <f>ROUND($D11*'Allocators Calc'!CJ26,0)</f>
        <v>0</v>
      </c>
      <c r="CT26">
        <f>ROUND($D11*'Allocators Calc'!CK26,0)</f>
        <v>0</v>
      </c>
      <c r="CU26">
        <f>ROUND($D11*'Allocators Calc'!CL26,0)</f>
        <v>0</v>
      </c>
      <c r="CV26">
        <f>ROUND($D11*'Allocators Calc'!CM26,0)</f>
        <v>0</v>
      </c>
      <c r="CW26">
        <f>ROUND($D11*'Allocators Calc'!CN26,0)</f>
        <v>0</v>
      </c>
      <c r="CX26" s="11"/>
      <c r="CY26">
        <f>ROUND($D11*'Allocators Calc'!CP26,0)</f>
        <v>129589</v>
      </c>
      <c r="CZ26">
        <f>ROUND($D11*'Allocators Calc'!CQ26,0)</f>
        <v>1034275</v>
      </c>
      <c r="DA26" s="22"/>
      <c r="DB26">
        <f>ROUND($D11*'Allocators Calc'!CS26,0)</f>
        <v>0</v>
      </c>
      <c r="DC26">
        <f>ROUND($D11*'Allocators Calc'!CT26,0)</f>
        <v>0</v>
      </c>
      <c r="DD26">
        <f>ROUND($D11*'Allocators Calc'!CU26,0)</f>
        <v>0</v>
      </c>
      <c r="DE26">
        <f>ROUND($D11*'Allocators Calc'!CV26,0)</f>
        <v>0</v>
      </c>
      <c r="DF26">
        <f>ROUND($D11*'Allocators Calc'!CW26,0)</f>
        <v>0</v>
      </c>
      <c r="DG26">
        <f>ROUND($D11*'Allocators Calc'!CX26,0)</f>
        <v>0</v>
      </c>
      <c r="DH26">
        <f>ROUND($D11*'Allocators Calc'!CY26,0)</f>
        <v>0</v>
      </c>
      <c r="DI26">
        <f>ROUND($D11*'Allocators Calc'!CZ26,0)</f>
        <v>0</v>
      </c>
      <c r="DJ26">
        <f>ROUND($D11*'Allocators Calc'!DA26,0)</f>
        <v>0</v>
      </c>
      <c r="DK26" s="22"/>
      <c r="DL26" s="3">
        <f t="shared" si="10"/>
        <v>566995469</v>
      </c>
      <c r="DM26" s="3">
        <f t="shared" si="11"/>
        <v>566995468.81899989</v>
      </c>
      <c r="DN26" s="3">
        <f t="shared" si="2"/>
        <v>0.18100011348724365</v>
      </c>
    </row>
    <row r="27" spans="1:121" x14ac:dyDescent="0.2">
      <c r="K27" t="s">
        <v>241</v>
      </c>
      <c r="L27">
        <f>ROUND($D12*'Allocators Calc'!C27,0)</f>
        <v>12546987</v>
      </c>
      <c r="M27">
        <f>ROUND($D12*'Allocators Calc'!D27,0)</f>
        <v>16044557</v>
      </c>
      <c r="N27">
        <f>ROUND($D12*'Allocators Calc'!E27,0)</f>
        <v>15559541</v>
      </c>
      <c r="O27" s="13">
        <f>ROUND($D12*'Allocators Calc'!F27,0)</f>
        <v>21602061</v>
      </c>
      <c r="P27" s="15">
        <f>ROUND($D12*'Allocators Calc'!G27,0)</f>
        <v>355847</v>
      </c>
      <c r="Q27">
        <f>ROUND($D12*'Allocators Calc'!H27,0)</f>
        <v>285</v>
      </c>
      <c r="R27">
        <f>ROUND($D12*'Allocators Calc'!I27,0)</f>
        <v>0</v>
      </c>
      <c r="S27">
        <f>ROUND($D12*'Allocators Calc'!J27,0)</f>
        <v>0</v>
      </c>
      <c r="T27" s="13">
        <f>ROUND($D12*'Allocators Calc'!K27,0)</f>
        <v>0</v>
      </c>
      <c r="U27">
        <f>ROUND($D12*'Allocators Calc'!L27,0)</f>
        <v>1202552</v>
      </c>
      <c r="V27">
        <f>ROUND($D12*'Allocators Calc'!M27,0)</f>
        <v>645695</v>
      </c>
      <c r="W27">
        <f>ROUND($D12*'Allocators Calc'!N27,0)</f>
        <v>78724</v>
      </c>
      <c r="X27" s="13">
        <f>ROUND($D12*'Allocators Calc'!O27,0)</f>
        <v>62878</v>
      </c>
      <c r="Y27">
        <f>ROUND($D12*'Allocators Calc'!P27,0)</f>
        <v>0</v>
      </c>
      <c r="Z27">
        <f>ROUND($D12*'Allocators Calc'!Q27,0)</f>
        <v>0</v>
      </c>
      <c r="AA27">
        <f>ROUND($D12*'Allocators Calc'!R27,0)</f>
        <v>0</v>
      </c>
      <c r="AB27" s="13">
        <f>ROUND($D12*'Allocators Calc'!S27,0)</f>
        <v>0</v>
      </c>
      <c r="AC27">
        <f>ROUND($D12*'Allocators Calc'!T27,0)</f>
        <v>0</v>
      </c>
      <c r="AD27">
        <f>ROUND($D12*'Allocators Calc'!U27,0)</f>
        <v>0</v>
      </c>
      <c r="AE27">
        <f>ROUND($D12*'Allocators Calc'!V27,0)</f>
        <v>0</v>
      </c>
      <c r="AF27">
        <f>ROUND($D12*'Allocators Calc'!W27,0)</f>
        <v>0</v>
      </c>
      <c r="AG27" s="11"/>
      <c r="AH27">
        <f>ROUND($D12*'Allocators Calc'!Y27,0)</f>
        <v>0</v>
      </c>
      <c r="AI27">
        <f>ROUND($D12*'Allocators Calc'!Z27,0)</f>
        <v>14491</v>
      </c>
      <c r="AJ27">
        <f>ROUND($D12*'Allocators Calc'!AA27,0)</f>
        <v>0</v>
      </c>
      <c r="AK27">
        <f>ROUND($D12*'Allocators Calc'!AB27,0)</f>
        <v>38857</v>
      </c>
      <c r="AL27">
        <f>ROUND($D12*'Allocators Calc'!AC27,0)</f>
        <v>740668</v>
      </c>
      <c r="AM27">
        <f>ROUND($D12*'Allocators Calc'!AD27,0)</f>
        <v>26974726</v>
      </c>
      <c r="AN27" s="10">
        <f t="shared" si="9"/>
        <v>146106433</v>
      </c>
      <c r="AO27" s="11"/>
      <c r="AP27">
        <f>ROUND($D12*'Allocators Calc'!AG27,0)</f>
        <v>2226</v>
      </c>
      <c r="AQ27">
        <f>ROUND($D12*'Allocators Calc'!AH27,0)</f>
        <v>3203</v>
      </c>
      <c r="AR27">
        <f>ROUND($D12*'Allocators Calc'!AI27,0)</f>
        <v>2601</v>
      </c>
      <c r="AS27">
        <f>ROUND($D12*'Allocators Calc'!AJ27,0)</f>
        <v>2075</v>
      </c>
      <c r="AT27">
        <f>ROUND($D12*'Allocators Calc'!AK27,0)</f>
        <v>0</v>
      </c>
      <c r="AU27" s="13">
        <f>ROUND($D12*'Allocators Calc'!AL27,0)</f>
        <v>0</v>
      </c>
      <c r="AV27">
        <f>ROUND($D12*'Allocators Calc'!AM27,0)</f>
        <v>760</v>
      </c>
      <c r="AW27">
        <f>ROUND($D12*'Allocators Calc'!AN27,0)</f>
        <v>1774</v>
      </c>
      <c r="AX27">
        <f>ROUND($D12*'Allocators Calc'!AO27,0)</f>
        <v>3801</v>
      </c>
      <c r="AY27">
        <f>ROUND($D12*'Allocators Calc'!AP27,0)</f>
        <v>1828576</v>
      </c>
      <c r="AZ27">
        <f>ROUND($D12*'Allocators Calc'!AQ27,0)</f>
        <v>296755</v>
      </c>
      <c r="BA27" s="13">
        <f>ROUND($D12*'Allocators Calc'!AR27,0)</f>
        <v>139674</v>
      </c>
      <c r="BB27">
        <f>ROUND($D12*'Allocators Calc'!AS27,0)</f>
        <v>4140</v>
      </c>
      <c r="BC27">
        <f>ROUND($D12*'Allocators Calc'!AT27,0)</f>
        <v>9465</v>
      </c>
      <c r="BD27">
        <f>ROUND($D12*'Allocators Calc'!AU27,0)</f>
        <v>18951</v>
      </c>
      <c r="BE27">
        <f>ROUND($D12*'Allocators Calc'!AV27,0)</f>
        <v>2130782</v>
      </c>
      <c r="BF27">
        <f>ROUND($D12*'Allocators Calc'!AW27,0)</f>
        <v>1952963</v>
      </c>
      <c r="BG27" s="13">
        <f>ROUND($D12*'Allocators Calc'!AX27,0)</f>
        <v>171372</v>
      </c>
      <c r="BH27">
        <f>ROUND($D12*'Allocators Calc'!AY27,0)</f>
        <v>4411440</v>
      </c>
      <c r="BI27">
        <f>ROUND($D12*'Allocators Calc'!AZ27,0)</f>
        <v>8709736</v>
      </c>
      <c r="BJ27">
        <f>ROUND($D12*'Allocators Calc'!BA27,0)</f>
        <v>13212242</v>
      </c>
      <c r="BK27">
        <f>ROUND($D12*'Allocators Calc'!BB27,0)</f>
        <v>83301376</v>
      </c>
      <c r="BL27">
        <f>ROUND($D12*'Allocators Calc'!BC27,0)</f>
        <v>45932663</v>
      </c>
      <c r="BM27" s="13">
        <f>ROUND($D12*'Allocators Calc'!BD27,0)</f>
        <v>33658232</v>
      </c>
      <c r="BN27">
        <f>ROUND($D12*'Allocators Calc'!BE27,0)</f>
        <v>47024</v>
      </c>
      <c r="BO27">
        <f>ROUND($D12*'Allocators Calc'!BF27,0)</f>
        <v>107657</v>
      </c>
      <c r="BP27">
        <f>ROUND($D12*'Allocators Calc'!BG27,0)</f>
        <v>225131</v>
      </c>
      <c r="BQ27">
        <f>ROUND($D12*'Allocators Calc'!BH27,0)</f>
        <v>4606774</v>
      </c>
      <c r="BR27">
        <f>ROUND($D12*'Allocators Calc'!BI27,0)</f>
        <v>2609170</v>
      </c>
      <c r="BS27" s="13">
        <f>ROUND($D12*'Allocators Calc'!BJ27,0)</f>
        <v>2781977</v>
      </c>
      <c r="BT27">
        <f>ROUND($D12*'Allocators Calc'!BK27,0)</f>
        <v>0</v>
      </c>
      <c r="BU27">
        <f>ROUND($D12*'Allocators Calc'!BL27,0)</f>
        <v>0</v>
      </c>
      <c r="BV27">
        <f>ROUND($D12*'Allocators Calc'!BM27,0)</f>
        <v>0</v>
      </c>
      <c r="BW27">
        <f>ROUND($D12*'Allocators Calc'!BN27,0)</f>
        <v>0</v>
      </c>
      <c r="BX27">
        <f>ROUND($D12*'Allocators Calc'!BO27,0)</f>
        <v>0</v>
      </c>
      <c r="BY27" s="13">
        <f>ROUND($D12*'Allocators Calc'!BP27,0)</f>
        <v>0</v>
      </c>
      <c r="BZ27">
        <f>ROUND($D12*'Allocators Calc'!BQ27,0)</f>
        <v>0</v>
      </c>
      <c r="CA27">
        <f>ROUND($D12*'Allocators Calc'!BR27,0)</f>
        <v>0</v>
      </c>
      <c r="CB27">
        <f>ROUND($D12*'Allocators Calc'!BS27,0)</f>
        <v>0</v>
      </c>
      <c r="CC27">
        <f>ROUND($D12*'Allocators Calc'!BT27,0)</f>
        <v>0</v>
      </c>
      <c r="CD27">
        <f>ROUND($D12*'Allocators Calc'!BU27,0)</f>
        <v>0</v>
      </c>
      <c r="CE27" s="13">
        <f>ROUND($D12*'Allocators Calc'!BV27,0)</f>
        <v>0</v>
      </c>
      <c r="CF27" s="11"/>
      <c r="CG27">
        <f>ROUND($D12*'Allocators Calc'!BX27,0)</f>
        <v>0</v>
      </c>
      <c r="CH27">
        <f>ROUND($D12*'Allocators Calc'!BY27,0)</f>
        <v>0</v>
      </c>
      <c r="CI27">
        <f>ROUND($D12*'Allocators Calc'!BZ27,0)</f>
        <v>0</v>
      </c>
      <c r="CJ27">
        <f>ROUND($D12*'Allocators Calc'!CA27,0)</f>
        <v>0</v>
      </c>
      <c r="CK27">
        <f>ROUND($D12*'Allocators Calc'!CB27,0)</f>
        <v>0</v>
      </c>
      <c r="CL27">
        <f>ROUND($D12*'Allocators Calc'!CC27,0)</f>
        <v>0</v>
      </c>
      <c r="CM27">
        <f>ROUND($D12*'Allocators Calc'!CD27,0)</f>
        <v>0</v>
      </c>
      <c r="CN27">
        <f>ROUND($D12*'Allocators Calc'!CE27,0)</f>
        <v>0</v>
      </c>
      <c r="CO27">
        <f>ROUND($D12*'Allocators Calc'!CF27,0)</f>
        <v>0</v>
      </c>
      <c r="CP27">
        <f>ROUND($D12*'Allocators Calc'!CG27,0)</f>
        <v>0</v>
      </c>
      <c r="CQ27" s="11"/>
      <c r="CR27">
        <f>ROUND($D12*'Allocators Calc'!CI27,0)</f>
        <v>0</v>
      </c>
      <c r="CS27">
        <f>ROUND($D12*'Allocators Calc'!CJ27,0)</f>
        <v>0</v>
      </c>
      <c r="CT27">
        <f>ROUND($D12*'Allocators Calc'!CK27,0)</f>
        <v>0</v>
      </c>
      <c r="CU27">
        <f>ROUND($D12*'Allocators Calc'!CL27,0)</f>
        <v>0</v>
      </c>
      <c r="CV27">
        <f>ROUND($D12*'Allocators Calc'!CM27,0)</f>
        <v>0</v>
      </c>
      <c r="CW27">
        <f>ROUND($D12*'Allocators Calc'!CN27,0)</f>
        <v>0</v>
      </c>
      <c r="CX27" s="11"/>
      <c r="CY27">
        <f>ROUND($D12*'Allocators Calc'!CP27,0)</f>
        <v>104984</v>
      </c>
      <c r="CZ27">
        <f>ROUND($D12*'Allocators Calc'!CQ27,0)</f>
        <v>837898</v>
      </c>
      <c r="DA27" s="11"/>
      <c r="DB27">
        <f>ROUND($D12*'Allocators Calc'!CS27,0)</f>
        <v>0</v>
      </c>
      <c r="DC27">
        <f>ROUND($D12*'Allocators Calc'!CT27,0)</f>
        <v>0</v>
      </c>
      <c r="DD27">
        <f>ROUND($D12*'Allocators Calc'!CU27,0)</f>
        <v>0</v>
      </c>
      <c r="DE27">
        <f>ROUND($D12*'Allocators Calc'!CV27,0)</f>
        <v>0</v>
      </c>
      <c r="DF27">
        <f>ROUND($D12*'Allocators Calc'!CW27,0)</f>
        <v>0</v>
      </c>
      <c r="DG27">
        <f>ROUND($D12*'Allocators Calc'!CX27,0)</f>
        <v>0</v>
      </c>
      <c r="DH27">
        <f>ROUND($D12*'Allocators Calc'!CY27,0)</f>
        <v>0</v>
      </c>
      <c r="DI27">
        <f>ROUND($D12*'Allocators Calc'!CZ27,0)</f>
        <v>0</v>
      </c>
      <c r="DJ27">
        <f>ROUND($D12*'Allocators Calc'!DA27,0)</f>
        <v>0</v>
      </c>
      <c r="DK27" s="11"/>
      <c r="DL27" s="3">
        <f t="shared" si="10"/>
        <v>449089724</v>
      </c>
      <c r="DM27" s="3">
        <f t="shared" si="11"/>
        <v>449089723.85500002</v>
      </c>
      <c r="DN27" s="3">
        <f t="shared" si="2"/>
        <v>0.14499998092651367</v>
      </c>
    </row>
    <row r="28" spans="1:121" x14ac:dyDescent="0.2">
      <c r="K28" t="s">
        <v>242</v>
      </c>
      <c r="L28">
        <f>ROUND($D13*'Allocators Calc'!C28,0)</f>
        <v>10165442</v>
      </c>
      <c r="M28">
        <f>ROUND($D13*'Allocators Calc'!D28,0)</f>
        <v>14271826</v>
      </c>
      <c r="N28">
        <f>ROUND($D13*'Allocators Calc'!E28,0)</f>
        <v>14918188</v>
      </c>
      <c r="O28" s="13">
        <f>ROUND($D13*'Allocators Calc'!F28,0)</f>
        <v>21255543</v>
      </c>
      <c r="P28" s="15">
        <f>ROUND($D13*'Allocators Calc'!G28,0)</f>
        <v>327723</v>
      </c>
      <c r="Q28">
        <f>ROUND($D13*'Allocators Calc'!H28,0)</f>
        <v>271</v>
      </c>
      <c r="R28">
        <f>ROUND($D13*'Allocators Calc'!I28,0)</f>
        <v>0</v>
      </c>
      <c r="S28">
        <f>ROUND($D13*'Allocators Calc'!J28,0)</f>
        <v>0</v>
      </c>
      <c r="T28" s="13">
        <f>ROUND($D13*'Allocators Calc'!K28,0)</f>
        <v>0</v>
      </c>
      <c r="U28">
        <f>ROUND($D13*'Allocators Calc'!L28,0)</f>
        <v>1143715</v>
      </c>
      <c r="V28">
        <f>ROUND($D13*'Allocators Calc'!M28,0)</f>
        <v>614103</v>
      </c>
      <c r="W28">
        <f>ROUND($D13*'Allocators Calc'!N28,0)</f>
        <v>74872</v>
      </c>
      <c r="X28" s="13">
        <f>ROUND($D13*'Allocators Calc'!O28,0)</f>
        <v>59801</v>
      </c>
      <c r="Y28">
        <f>ROUND($D13*'Allocators Calc'!P28,0)</f>
        <v>0</v>
      </c>
      <c r="Z28">
        <f>ROUND($D13*'Allocators Calc'!Q28,0)</f>
        <v>0</v>
      </c>
      <c r="AA28">
        <f>ROUND($D13*'Allocators Calc'!R28,0)</f>
        <v>0</v>
      </c>
      <c r="AB28" s="13">
        <f>ROUND($D13*'Allocators Calc'!S28,0)</f>
        <v>0</v>
      </c>
      <c r="AC28">
        <f>ROUND($D13*'Allocators Calc'!T28,0)</f>
        <v>0</v>
      </c>
      <c r="AD28">
        <f>ROUND($D13*'Allocators Calc'!U28,0)</f>
        <v>0</v>
      </c>
      <c r="AE28">
        <f>ROUND($D13*'Allocators Calc'!V28,0)</f>
        <v>0</v>
      </c>
      <c r="AF28">
        <f>ROUND($D13*'Allocators Calc'!W28,0)</f>
        <v>0</v>
      </c>
      <c r="AG28" s="11"/>
      <c r="AH28">
        <f>ROUND($D13*'Allocators Calc'!Y28,0)</f>
        <v>0</v>
      </c>
      <c r="AI28">
        <f>ROUND($D13*'Allocators Calc'!Z28,0)</f>
        <v>11481</v>
      </c>
      <c r="AJ28">
        <f>ROUND($D13*'Allocators Calc'!AA28,0)</f>
        <v>0</v>
      </c>
      <c r="AK28">
        <f>ROUND($D13*'Allocators Calc'!AB28,0)</f>
        <v>33637</v>
      </c>
      <c r="AL28">
        <f>ROUND($D13*'Allocators Calc'!AC28,0)</f>
        <v>780182</v>
      </c>
      <c r="AM28">
        <f>ROUND($D13*'Allocators Calc'!AD28,0)</f>
        <v>22731228</v>
      </c>
      <c r="AN28" s="10">
        <f t="shared" si="9"/>
        <v>133693559</v>
      </c>
      <c r="AO28" s="11"/>
      <c r="AP28">
        <f>ROUND($D13*'Allocators Calc'!AG28,0)</f>
        <v>1965</v>
      </c>
      <c r="AQ28">
        <f>ROUND($D13*'Allocators Calc'!AH28,0)</f>
        <v>5113</v>
      </c>
      <c r="AR28">
        <f>ROUND($D13*'Allocators Calc'!AI28,0)</f>
        <v>5871</v>
      </c>
      <c r="AS28">
        <f>ROUND($D13*'Allocators Calc'!AJ28,0)</f>
        <v>4737</v>
      </c>
      <c r="AT28">
        <f>ROUND($D13*'Allocators Calc'!AK28,0)</f>
        <v>0</v>
      </c>
      <c r="AU28" s="13">
        <f>ROUND($D13*'Allocators Calc'!AL28,0)</f>
        <v>0</v>
      </c>
      <c r="AV28">
        <f>ROUND($D13*'Allocators Calc'!AM28,0)</f>
        <v>647</v>
      </c>
      <c r="AW28">
        <f>ROUND($D13*'Allocators Calc'!AN28,0)</f>
        <v>1510</v>
      </c>
      <c r="AX28">
        <f>ROUND($D13*'Allocators Calc'!AO28,0)</f>
        <v>3237</v>
      </c>
      <c r="AY28">
        <f>ROUND($D13*'Allocators Calc'!AP28,0)</f>
        <v>1557060</v>
      </c>
      <c r="AZ28">
        <f>ROUND($D13*'Allocators Calc'!AQ28,0)</f>
        <v>252692</v>
      </c>
      <c r="BA28" s="13">
        <f>ROUND($D13*'Allocators Calc'!AR28,0)</f>
        <v>118935</v>
      </c>
      <c r="BB28">
        <f>ROUND($D13*'Allocators Calc'!AS28,0)</f>
        <v>3199</v>
      </c>
      <c r="BC28">
        <f>ROUND($D13*'Allocators Calc'!AT28,0)</f>
        <v>7315</v>
      </c>
      <c r="BD28">
        <f>ROUND($D13*'Allocators Calc'!AU28,0)</f>
        <v>14646</v>
      </c>
      <c r="BE28">
        <f>ROUND($D13*'Allocators Calc'!AV28,0)</f>
        <v>1646741</v>
      </c>
      <c r="BF28">
        <f>ROUND($D13*'Allocators Calc'!AW28,0)</f>
        <v>1509317</v>
      </c>
      <c r="BG28" s="13">
        <f>ROUND($D13*'Allocators Calc'!AX28,0)</f>
        <v>132442</v>
      </c>
      <c r="BH28">
        <f>ROUND($D13*'Allocators Calc'!AY28,0)</f>
        <v>4115069</v>
      </c>
      <c r="BI28">
        <f>ROUND($D13*'Allocators Calc'!AZ28,0)</f>
        <v>8124596</v>
      </c>
      <c r="BJ28">
        <f>ROUND($D13*'Allocators Calc'!BA28,0)</f>
        <v>12324613</v>
      </c>
      <c r="BK28">
        <f>ROUND($D13*'Allocators Calc'!BB28,0)</f>
        <v>77704996</v>
      </c>
      <c r="BL28">
        <f>ROUND($D13*'Allocators Calc'!BC28,0)</f>
        <v>42846800</v>
      </c>
      <c r="BM28" s="13">
        <f>ROUND($D13*'Allocators Calc'!BD28,0)</f>
        <v>31396994</v>
      </c>
      <c r="BN28">
        <f>ROUND($D13*'Allocators Calc'!BE28,0)</f>
        <v>49205</v>
      </c>
      <c r="BO28">
        <f>ROUND($D13*'Allocators Calc'!BF28,0)</f>
        <v>112651</v>
      </c>
      <c r="BP28">
        <f>ROUND($D13*'Allocators Calc'!BG28,0)</f>
        <v>235576</v>
      </c>
      <c r="BQ28">
        <f>ROUND($D13*'Allocators Calc'!BH28,0)</f>
        <v>4820498</v>
      </c>
      <c r="BR28">
        <f>ROUND($D13*'Allocators Calc'!BI28,0)</f>
        <v>2730219</v>
      </c>
      <c r="BS28" s="13">
        <f>ROUND($D13*'Allocators Calc'!BJ28,0)</f>
        <v>2911043</v>
      </c>
      <c r="BT28">
        <f>ROUND($D13*'Allocators Calc'!BK28,0)</f>
        <v>0</v>
      </c>
      <c r="BU28">
        <f>ROUND($D13*'Allocators Calc'!BL28,0)</f>
        <v>0</v>
      </c>
      <c r="BV28">
        <f>ROUND($D13*'Allocators Calc'!BM28,0)</f>
        <v>0</v>
      </c>
      <c r="BW28">
        <f>ROUND($D13*'Allocators Calc'!BN28,0)</f>
        <v>0</v>
      </c>
      <c r="BX28">
        <f>ROUND($D13*'Allocators Calc'!BO28,0)</f>
        <v>0</v>
      </c>
      <c r="BY28" s="13">
        <f>ROUND($D13*'Allocators Calc'!BP28,0)</f>
        <v>0</v>
      </c>
      <c r="BZ28">
        <f>ROUND($D13*'Allocators Calc'!BQ28,0)</f>
        <v>0</v>
      </c>
      <c r="CA28">
        <f>ROUND($D13*'Allocators Calc'!BR28,0)</f>
        <v>0</v>
      </c>
      <c r="CB28">
        <f>ROUND($D13*'Allocators Calc'!BS28,0)</f>
        <v>0</v>
      </c>
      <c r="CC28">
        <f>ROUND($D13*'Allocators Calc'!BT28,0)</f>
        <v>0</v>
      </c>
      <c r="CD28">
        <f>ROUND($D13*'Allocators Calc'!BU28,0)</f>
        <v>0</v>
      </c>
      <c r="CE28" s="13">
        <f>ROUND($D13*'Allocators Calc'!BV28,0)</f>
        <v>0</v>
      </c>
      <c r="CF28" s="11"/>
      <c r="CG28">
        <f>ROUND($D13*'Allocators Calc'!BX28,0)</f>
        <v>0</v>
      </c>
      <c r="CH28">
        <f>ROUND($D13*'Allocators Calc'!BY28,0)</f>
        <v>0</v>
      </c>
      <c r="CI28">
        <f>ROUND($D13*'Allocators Calc'!BZ28,0)</f>
        <v>0</v>
      </c>
      <c r="CJ28">
        <f>ROUND($D13*'Allocators Calc'!CA28,0)</f>
        <v>0</v>
      </c>
      <c r="CK28">
        <f>ROUND($D13*'Allocators Calc'!CB28,0)</f>
        <v>0</v>
      </c>
      <c r="CL28">
        <f>ROUND($D13*'Allocators Calc'!CC28,0)</f>
        <v>0</v>
      </c>
      <c r="CM28">
        <f>ROUND($D13*'Allocators Calc'!CD28,0)</f>
        <v>0</v>
      </c>
      <c r="CN28">
        <f>ROUND($D13*'Allocators Calc'!CE28,0)</f>
        <v>0</v>
      </c>
      <c r="CO28">
        <f>ROUND($D13*'Allocators Calc'!CF28,0)</f>
        <v>0</v>
      </c>
      <c r="CP28">
        <f>ROUND($D13*'Allocators Calc'!CG28,0)</f>
        <v>0</v>
      </c>
      <c r="CQ28" s="11"/>
      <c r="CR28">
        <f>ROUND($D13*'Allocators Calc'!CI28,0)</f>
        <v>0</v>
      </c>
      <c r="CS28">
        <f>ROUND($D13*'Allocators Calc'!CJ28,0)</f>
        <v>0</v>
      </c>
      <c r="CT28">
        <f>ROUND($D13*'Allocators Calc'!CK28,0)</f>
        <v>0</v>
      </c>
      <c r="CU28">
        <f>ROUND($D13*'Allocators Calc'!CL28,0)</f>
        <v>0</v>
      </c>
      <c r="CV28">
        <f>ROUND($D13*'Allocators Calc'!CM28,0)</f>
        <v>0</v>
      </c>
      <c r="CW28">
        <f>ROUND($D13*'Allocators Calc'!CN28,0)</f>
        <v>0</v>
      </c>
      <c r="CX28" s="11"/>
      <c r="CY28">
        <f>ROUND($D13*'Allocators Calc'!CP28,0)</f>
        <v>110172</v>
      </c>
      <c r="CZ28">
        <f>ROUND($D13*'Allocators Calc'!CQ28,0)</f>
        <v>879308</v>
      </c>
      <c r="DA28" s="11"/>
      <c r="DB28">
        <f>ROUND($D13*'Allocators Calc'!CS28,0)</f>
        <v>0</v>
      </c>
      <c r="DC28">
        <f>ROUND($D13*'Allocators Calc'!CT28,0)</f>
        <v>0</v>
      </c>
      <c r="DD28">
        <f>ROUND($D13*'Allocators Calc'!CU28,0)</f>
        <v>0</v>
      </c>
      <c r="DE28">
        <f>ROUND($D13*'Allocators Calc'!CV28,0)</f>
        <v>0</v>
      </c>
      <c r="DF28">
        <f>ROUND($D13*'Allocators Calc'!CW28,0)</f>
        <v>0</v>
      </c>
      <c r="DG28">
        <f>ROUND($D13*'Allocators Calc'!CX28,0)</f>
        <v>0</v>
      </c>
      <c r="DH28">
        <f>ROUND($D13*'Allocators Calc'!CY28,0)</f>
        <v>0</v>
      </c>
      <c r="DI28">
        <f>ROUND($D13*'Allocators Calc'!CZ28,0)</f>
        <v>0</v>
      </c>
      <c r="DJ28">
        <f>ROUND($D13*'Allocators Calc'!DA28,0)</f>
        <v>0</v>
      </c>
      <c r="DK28" s="11"/>
      <c r="DL28" s="3">
        <f t="shared" si="10"/>
        <v>413708738</v>
      </c>
      <c r="DM28" s="3">
        <f t="shared" si="11"/>
        <v>413708738.48604</v>
      </c>
      <c r="DN28" s="3">
        <f t="shared" si="2"/>
        <v>-0.48603999614715576</v>
      </c>
    </row>
    <row r="29" spans="1:121" x14ac:dyDescent="0.2">
      <c r="K29" t="s">
        <v>243</v>
      </c>
      <c r="L29">
        <f>ROUND($D14*'Allocators Calc'!C29,0)</f>
        <v>13767349</v>
      </c>
      <c r="M29">
        <f>ROUND($D14*'Allocators Calc'!D29,0)</f>
        <v>18435193</v>
      </c>
      <c r="N29">
        <f>ROUND($D14*'Allocators Calc'!E29,0)</f>
        <v>20157724</v>
      </c>
      <c r="O29" s="13">
        <f>ROUND($D14*'Allocators Calc'!F29,0)</f>
        <v>29726945</v>
      </c>
      <c r="P29" s="15">
        <f>ROUND($D14*'Allocators Calc'!G29,0)</f>
        <v>438791</v>
      </c>
      <c r="Q29">
        <f>ROUND($D14*'Allocators Calc'!H29,0)</f>
        <v>306</v>
      </c>
      <c r="R29">
        <f>ROUND($D14*'Allocators Calc'!I29,0)</f>
        <v>0</v>
      </c>
      <c r="S29">
        <f>ROUND($D14*'Allocators Calc'!J29,0)</f>
        <v>0</v>
      </c>
      <c r="T29" s="13">
        <f>ROUND($D14*'Allocators Calc'!K29,0)</f>
        <v>0</v>
      </c>
      <c r="U29">
        <f>ROUND($D14*'Allocators Calc'!L29,0)</f>
        <v>1326625</v>
      </c>
      <c r="V29">
        <f>ROUND($D14*'Allocators Calc'!M29,0)</f>
        <v>712314</v>
      </c>
      <c r="W29">
        <f>ROUND($D14*'Allocators Calc'!N29,0)</f>
        <v>86846</v>
      </c>
      <c r="X29" s="13">
        <f>ROUND($D14*'Allocators Calc'!O29,0)</f>
        <v>69365</v>
      </c>
      <c r="Y29">
        <f>ROUND($D14*'Allocators Calc'!P29,0)</f>
        <v>0</v>
      </c>
      <c r="Z29">
        <f>ROUND($D14*'Allocators Calc'!Q29,0)</f>
        <v>0</v>
      </c>
      <c r="AA29">
        <f>ROUND($D14*'Allocators Calc'!R29,0)</f>
        <v>0</v>
      </c>
      <c r="AB29" s="13">
        <f>ROUND($D14*'Allocators Calc'!S29,0)</f>
        <v>0</v>
      </c>
      <c r="AC29">
        <f>ROUND($D14*'Allocators Calc'!T29,0)</f>
        <v>0</v>
      </c>
      <c r="AD29">
        <f>ROUND($D14*'Allocators Calc'!U29,0)</f>
        <v>0</v>
      </c>
      <c r="AE29">
        <f>ROUND($D14*'Allocators Calc'!V29,0)</f>
        <v>0</v>
      </c>
      <c r="AF29">
        <f>ROUND($D14*'Allocators Calc'!W29,0)</f>
        <v>0</v>
      </c>
      <c r="AG29" s="11"/>
      <c r="AH29">
        <f>ROUND($D14*'Allocators Calc'!Y29,0)</f>
        <v>0</v>
      </c>
      <c r="AI29">
        <f>ROUND($D14*'Allocators Calc'!Z29,0)</f>
        <v>15656</v>
      </c>
      <c r="AJ29">
        <f>ROUND($D14*'Allocators Calc'!AA29,0)</f>
        <v>0</v>
      </c>
      <c r="AK29">
        <f>ROUND($D14*'Allocators Calc'!AB29,0)</f>
        <v>45095</v>
      </c>
      <c r="AL29">
        <f>ROUND($D14*'Allocators Calc'!AC29,0)</f>
        <v>741880</v>
      </c>
      <c r="AM29">
        <f>ROUND($D14*'Allocators Calc'!AD29,0)</f>
        <v>25640218</v>
      </c>
      <c r="AN29" s="10">
        <f t="shared" si="9"/>
        <v>154678367</v>
      </c>
      <c r="AO29" s="11"/>
      <c r="AP29">
        <f>ROUND($D14*'Allocators Calc'!AG29,0)</f>
        <v>1705</v>
      </c>
      <c r="AQ29">
        <f>ROUND($D14*'Allocators Calc'!AH29,0)</f>
        <v>2944</v>
      </c>
      <c r="AR29">
        <f>ROUND($D14*'Allocators Calc'!AI29,0)</f>
        <v>6283</v>
      </c>
      <c r="AS29">
        <f>ROUND($D14*'Allocators Calc'!AJ29,0)</f>
        <v>15493</v>
      </c>
      <c r="AT29">
        <f>ROUND($D14*'Allocators Calc'!AK29,0)</f>
        <v>0</v>
      </c>
      <c r="AU29" s="13">
        <f>ROUND($D14*'Allocators Calc'!AL29,0)</f>
        <v>0</v>
      </c>
      <c r="AV29">
        <f>ROUND($D14*'Allocators Calc'!AM29,0)</f>
        <v>732</v>
      </c>
      <c r="AW29">
        <f>ROUND($D14*'Allocators Calc'!AN29,0)</f>
        <v>1709</v>
      </c>
      <c r="AX29">
        <f>ROUND($D14*'Allocators Calc'!AO29,0)</f>
        <v>3661</v>
      </c>
      <c r="AY29">
        <f>ROUND($D14*'Allocators Calc'!AP29,0)</f>
        <v>1761360</v>
      </c>
      <c r="AZ29">
        <f>ROUND($D14*'Allocators Calc'!AQ29,0)</f>
        <v>285847</v>
      </c>
      <c r="BA29" s="13">
        <f>ROUND($D14*'Allocators Calc'!AR29,0)</f>
        <v>134540</v>
      </c>
      <c r="BB29">
        <f>ROUND($D14*'Allocators Calc'!AS29,0)</f>
        <v>3508</v>
      </c>
      <c r="BC29">
        <f>ROUND($D14*'Allocators Calc'!AT29,0)</f>
        <v>8019</v>
      </c>
      <c r="BD29">
        <f>ROUND($D14*'Allocators Calc'!AU29,0)</f>
        <v>16057</v>
      </c>
      <c r="BE29">
        <f>ROUND($D14*'Allocators Calc'!AV29,0)</f>
        <v>1805379</v>
      </c>
      <c r="BF29">
        <f>ROUND($D14*'Allocators Calc'!AW29,0)</f>
        <v>1654716</v>
      </c>
      <c r="BG29" s="13">
        <f>ROUND($D14*'Allocators Calc'!AX29,0)</f>
        <v>145200</v>
      </c>
      <c r="BH29">
        <f>ROUND($D14*'Allocators Calc'!AY29,0)</f>
        <v>4894033</v>
      </c>
      <c r="BI29">
        <f>ROUND($D14*'Allocators Calc'!AZ29,0)</f>
        <v>9662546</v>
      </c>
      <c r="BJ29">
        <f>ROUND($D14*'Allocators Calc'!BA29,0)</f>
        <v>14657608</v>
      </c>
      <c r="BK29">
        <f>ROUND($D14*'Allocators Calc'!BB29,0)</f>
        <v>92414209</v>
      </c>
      <c r="BL29">
        <f>ROUND($D14*'Allocators Calc'!BC29,0)</f>
        <v>50957509</v>
      </c>
      <c r="BM29" s="13">
        <f>ROUND($D14*'Allocators Calc'!BD29,0)</f>
        <v>37340306</v>
      </c>
      <c r="BN29">
        <f>ROUND($D14*'Allocators Calc'!BE29,0)</f>
        <v>65529</v>
      </c>
      <c r="BO29">
        <f>ROUND($D14*'Allocators Calc'!BF29,0)</f>
        <v>150022</v>
      </c>
      <c r="BP29">
        <f>ROUND($D14*'Allocators Calc'!BG29,0)</f>
        <v>313726</v>
      </c>
      <c r="BQ29">
        <f>ROUND($D14*'Allocators Calc'!BH29,0)</f>
        <v>6419653</v>
      </c>
      <c r="BR29">
        <f>ROUND($D14*'Allocators Calc'!BI29,0)</f>
        <v>3635943</v>
      </c>
      <c r="BS29" s="13">
        <f>ROUND($D14*'Allocators Calc'!BJ29,0)</f>
        <v>3876753</v>
      </c>
      <c r="BT29">
        <f>ROUND($D14*'Allocators Calc'!BK29,0)</f>
        <v>943</v>
      </c>
      <c r="BU29">
        <f>ROUND($D14*'Allocators Calc'!BL29,0)</f>
        <v>2199</v>
      </c>
      <c r="BV29">
        <f>ROUND($D14*'Allocators Calc'!BM29,0)</f>
        <v>4713</v>
      </c>
      <c r="BW29">
        <f>ROUND($D14*'Allocators Calc'!BN29,0)</f>
        <v>11425</v>
      </c>
      <c r="BX29">
        <f>ROUND($D14*'Allocators Calc'!BO29,0)</f>
        <v>0</v>
      </c>
      <c r="BY29" s="13">
        <f>ROUND($D14*'Allocators Calc'!BP29,0)</f>
        <v>0</v>
      </c>
      <c r="BZ29">
        <f>ROUND($D14*'Allocators Calc'!BQ29,0)</f>
        <v>0</v>
      </c>
      <c r="CA29">
        <f>ROUND($D14*'Allocators Calc'!BR29,0)</f>
        <v>0</v>
      </c>
      <c r="CB29">
        <f>ROUND($D14*'Allocators Calc'!BS29,0)</f>
        <v>0</v>
      </c>
      <c r="CC29">
        <f>ROUND($D14*'Allocators Calc'!BT29,0)</f>
        <v>0</v>
      </c>
      <c r="CD29">
        <f>ROUND($D14*'Allocators Calc'!BU29,0)</f>
        <v>0</v>
      </c>
      <c r="CE29" s="13">
        <f>ROUND($D14*'Allocators Calc'!BV29,0)</f>
        <v>0</v>
      </c>
      <c r="CF29" s="11"/>
      <c r="CG29">
        <f>ROUND($D14*'Allocators Calc'!BX29,0)</f>
        <v>0</v>
      </c>
      <c r="CH29">
        <f>ROUND($D14*'Allocators Calc'!BY29,0)</f>
        <v>0</v>
      </c>
      <c r="CI29">
        <f>ROUND($D14*'Allocators Calc'!BZ29,0)</f>
        <v>0</v>
      </c>
      <c r="CJ29">
        <f>ROUND($D14*'Allocators Calc'!CA29,0)</f>
        <v>0</v>
      </c>
      <c r="CK29">
        <f>ROUND($D14*'Allocators Calc'!CB29,0)</f>
        <v>0</v>
      </c>
      <c r="CL29">
        <f>ROUND($D14*'Allocators Calc'!CC29,0)</f>
        <v>0</v>
      </c>
      <c r="CM29">
        <f>ROUND($D14*'Allocators Calc'!CD29,0)</f>
        <v>0</v>
      </c>
      <c r="CN29">
        <f>ROUND($D14*'Allocators Calc'!CE29,0)</f>
        <v>0</v>
      </c>
      <c r="CO29">
        <f>ROUND($D14*'Allocators Calc'!CF29,0)</f>
        <v>0</v>
      </c>
      <c r="CP29">
        <f>ROUND($D14*'Allocators Calc'!CG29,0)</f>
        <v>0</v>
      </c>
      <c r="CQ29" s="11"/>
      <c r="CR29">
        <f>ROUND($D14*'Allocators Calc'!CI29,0)</f>
        <v>0</v>
      </c>
      <c r="CS29">
        <f>ROUND($D14*'Allocators Calc'!CJ29,0)</f>
        <v>0</v>
      </c>
      <c r="CT29">
        <f>ROUND($D14*'Allocators Calc'!CK29,0)</f>
        <v>0</v>
      </c>
      <c r="CU29">
        <f>ROUND($D14*'Allocators Calc'!CL29,0)</f>
        <v>0</v>
      </c>
      <c r="CV29">
        <f>ROUND($D14*'Allocators Calc'!CM29,0)</f>
        <v>0</v>
      </c>
      <c r="CW29">
        <f>ROUND($D14*'Allocators Calc'!CN29,0)</f>
        <v>0</v>
      </c>
      <c r="CX29" s="11"/>
      <c r="CY29">
        <f>ROUND($D14*'Allocators Calc'!CP29,0)</f>
        <v>151805</v>
      </c>
      <c r="CZ29">
        <f>ROUND($D14*'Allocators Calc'!CQ29,0)</f>
        <v>1211584</v>
      </c>
      <c r="DA29" s="11"/>
      <c r="DB29">
        <f>ROUND($D14*'Allocators Calc'!CS29,0)</f>
        <v>0</v>
      </c>
      <c r="DC29">
        <f>ROUND($D14*'Allocators Calc'!CT29,0)</f>
        <v>0</v>
      </c>
      <c r="DD29">
        <f>ROUND($D14*'Allocators Calc'!CU29,0)</f>
        <v>0</v>
      </c>
      <c r="DE29">
        <f>ROUND($D14*'Allocators Calc'!CV29,0)</f>
        <v>0</v>
      </c>
      <c r="DF29">
        <f>ROUND($D14*'Allocators Calc'!CW29,0)</f>
        <v>0</v>
      </c>
      <c r="DG29">
        <f>ROUND($D14*'Allocators Calc'!CX29,0)</f>
        <v>0</v>
      </c>
      <c r="DH29">
        <f>ROUND($D14*'Allocators Calc'!CY29,0)</f>
        <v>0</v>
      </c>
      <c r="DI29">
        <f>ROUND($D14*'Allocators Calc'!CZ29,0)</f>
        <v>0</v>
      </c>
      <c r="DJ29">
        <f>ROUND($D14*'Allocators Calc'!DA29,0)</f>
        <v>0</v>
      </c>
      <c r="DK29" s="11"/>
      <c r="DL29" s="3">
        <f t="shared" si="10"/>
        <v>497460333</v>
      </c>
      <c r="DM29" s="3">
        <f t="shared" si="11"/>
        <v>497460332.65595984</v>
      </c>
      <c r="DN29" s="3">
        <f t="shared" si="2"/>
        <v>0.3440401554107666</v>
      </c>
      <c r="DO29" s="3">
        <f>SUM(DM18:DM29)</f>
        <v>5860812710.4110012</v>
      </c>
    </row>
    <row r="30" spans="1:121" x14ac:dyDescent="0.2">
      <c r="K30" s="11"/>
      <c r="L30" s="11"/>
      <c r="M30" s="11"/>
      <c r="N30" s="11"/>
      <c r="O30" s="14"/>
      <c r="P30" s="16"/>
      <c r="Q30" s="11"/>
      <c r="R30" s="11"/>
      <c r="S30" s="11"/>
      <c r="T30" s="14"/>
      <c r="U30" s="11"/>
      <c r="V30" s="11"/>
      <c r="W30" s="11"/>
      <c r="X30" s="14"/>
      <c r="Y30" s="11"/>
      <c r="Z30" s="11"/>
      <c r="AA30" s="11"/>
      <c r="AB30" s="14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4"/>
      <c r="AV30" s="11"/>
      <c r="AW30" s="11"/>
      <c r="AX30" s="11"/>
      <c r="AY30" s="11"/>
      <c r="AZ30" s="11"/>
      <c r="BA30" s="14"/>
      <c r="BB30" s="11"/>
      <c r="BC30" s="11"/>
      <c r="BD30" s="11"/>
      <c r="BE30" s="11"/>
      <c r="BF30" s="11"/>
      <c r="BG30" s="14"/>
      <c r="BH30" s="11"/>
      <c r="BI30" s="11"/>
      <c r="BJ30" s="11"/>
      <c r="BK30" s="11"/>
      <c r="BL30" s="11"/>
      <c r="BM30" s="14"/>
      <c r="BN30" s="11"/>
      <c r="BO30" s="11"/>
      <c r="BP30" s="11"/>
      <c r="BQ30" s="11"/>
      <c r="BR30" s="11"/>
      <c r="BS30" s="14"/>
      <c r="BT30" s="11"/>
      <c r="BU30" s="11"/>
      <c r="BV30" s="11"/>
      <c r="BW30" s="11"/>
      <c r="BX30" s="11"/>
      <c r="BY30" s="14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4"/>
      <c r="CU30" s="11"/>
      <c r="CV30" s="11"/>
      <c r="CW30" s="14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N30" s="3"/>
    </row>
    <row r="31" spans="1:121" x14ac:dyDescent="0.2">
      <c r="K31" t="s">
        <v>47</v>
      </c>
      <c r="L31" s="344" t="str">
        <f>L16</f>
        <v>CSN0</v>
      </c>
      <c r="M31" s="344"/>
      <c r="N31" s="344"/>
      <c r="O31" s="345"/>
      <c r="P31" s="15" t="str">
        <f>P16</f>
        <v>CSN2</v>
      </c>
      <c r="Q31" s="343" t="str">
        <f>Q16</f>
        <v>CSN7</v>
      </c>
      <c r="R31" s="344"/>
      <c r="S31" s="344"/>
      <c r="T31" s="345"/>
      <c r="U31" s="343" t="str">
        <f>U16</f>
        <v>CSN8</v>
      </c>
      <c r="V31" s="344"/>
      <c r="W31" s="344"/>
      <c r="X31" s="345"/>
      <c r="Y31" s="343" t="str">
        <f>Y16</f>
        <v>CSN9</v>
      </c>
      <c r="Z31" s="344"/>
      <c r="AA31" s="344"/>
      <c r="AB31" s="345"/>
      <c r="AC31" s="343" t="str">
        <f>AC16</f>
        <v>SFOC</v>
      </c>
      <c r="AD31" s="344"/>
      <c r="AE31" s="344"/>
      <c r="AF31" s="344"/>
      <c r="AG31" s="11"/>
      <c r="AH31" t="str">
        <f t="shared" ref="AH31:AN31" si="12">AH16</f>
        <v>HBN0</v>
      </c>
      <c r="AI31" t="str">
        <f t="shared" si="12"/>
        <v>HCN0</v>
      </c>
      <c r="AJ31" t="str">
        <f t="shared" si="12"/>
        <v>HCN3</v>
      </c>
      <c r="AK31" t="str">
        <f t="shared" si="12"/>
        <v>HSN3</v>
      </c>
      <c r="AL31" t="str">
        <f t="shared" si="12"/>
        <v>HDN0</v>
      </c>
      <c r="AM31" t="str">
        <f t="shared" si="12"/>
        <v>HPN0</v>
      </c>
      <c r="AN31" t="str">
        <f t="shared" si="12"/>
        <v>HSN0</v>
      </c>
      <c r="AO31" s="11"/>
      <c r="AP31" s="343" t="str">
        <f>AP16</f>
        <v>LBN0</v>
      </c>
      <c r="AQ31" s="344"/>
      <c r="AR31" s="344"/>
      <c r="AS31" s="344"/>
      <c r="AT31" s="344"/>
      <c r="AU31" s="345"/>
      <c r="AV31" s="343" t="str">
        <f>AV16</f>
        <v>LDN0</v>
      </c>
      <c r="AW31" s="344"/>
      <c r="AX31" s="344"/>
      <c r="AY31" s="344"/>
      <c r="AZ31" s="344"/>
      <c r="BA31" s="345"/>
      <c r="BB31" s="343" t="str">
        <f>BB16</f>
        <v>LPN0</v>
      </c>
      <c r="BC31" s="344"/>
      <c r="BD31" s="344"/>
      <c r="BE31" s="344"/>
      <c r="BF31" s="344"/>
      <c r="BG31" s="345"/>
      <c r="BH31" s="343" t="str">
        <f>BH16</f>
        <v>LSN0</v>
      </c>
      <c r="BI31" s="344"/>
      <c r="BJ31" s="344"/>
      <c r="BK31" s="344"/>
      <c r="BL31" s="344"/>
      <c r="BM31" s="345"/>
      <c r="BN31" s="343" t="str">
        <f>BN16</f>
        <v>LSN2</v>
      </c>
      <c r="BO31" s="344"/>
      <c r="BP31" s="344"/>
      <c r="BQ31" s="344"/>
      <c r="BR31" s="344"/>
      <c r="BS31" s="345"/>
      <c r="BT31" s="343" t="str">
        <f>BT16</f>
        <v>LSN3 - Peak</v>
      </c>
      <c r="BU31" s="344"/>
      <c r="BV31" s="344"/>
      <c r="BW31" s="344"/>
      <c r="BX31" s="344"/>
      <c r="BY31" s="344"/>
      <c r="BZ31" s="343" t="str">
        <f>BZ16</f>
        <v>LSN3 - Grandfathered</v>
      </c>
      <c r="CA31" s="344"/>
      <c r="CB31" s="344"/>
      <c r="CC31" s="344"/>
      <c r="CD31" s="344"/>
      <c r="CE31" s="344"/>
      <c r="CF31" s="11"/>
      <c r="CG31" t="str">
        <f t="shared" ref="CG31:CP31" si="13">CG16</f>
        <v>NUCF</v>
      </c>
      <c r="CH31" t="str">
        <f t="shared" si="13"/>
        <v>NUIF</v>
      </c>
      <c r="CI31" t="str">
        <f t="shared" si="13"/>
        <v>NUID</v>
      </c>
      <c r="CJ31" t="str">
        <f t="shared" si="13"/>
        <v>NUCS</v>
      </c>
      <c r="CK31" t="str">
        <f t="shared" si="13"/>
        <v>SAES</v>
      </c>
      <c r="CL31" t="str">
        <f t="shared" si="13"/>
        <v>SASN</v>
      </c>
      <c r="CM31" t="str">
        <f t="shared" si="13"/>
        <v>SPUF</v>
      </c>
      <c r="CN31" t="str">
        <f t="shared" si="13"/>
        <v>SPUR</v>
      </c>
      <c r="CO31" t="str">
        <f t="shared" si="13"/>
        <v>SDEH</v>
      </c>
      <c r="CP31" t="str">
        <f t="shared" si="13"/>
        <v>SDED</v>
      </c>
      <c r="CQ31" s="11"/>
      <c r="CR31" s="344" t="str">
        <f>CR16</f>
        <v>RSN0</v>
      </c>
      <c r="CS31" s="344"/>
      <c r="CT31" s="345"/>
      <c r="CU31" s="343" t="str">
        <f>CU16</f>
        <v>RSN2</v>
      </c>
      <c r="CV31" s="344"/>
      <c r="CW31" s="345"/>
      <c r="CX31" s="11"/>
      <c r="CY31" s="344" t="str">
        <f t="shared" ref="CY31:CZ32" si="14">CY16</f>
        <v xml:space="preserve">SWP </v>
      </c>
      <c r="CZ31" s="344"/>
      <c r="DA31" s="11"/>
      <c r="DB31" t="str">
        <f>DB16</f>
        <v>MHLS</v>
      </c>
      <c r="DC31" t="str">
        <f>DC16</f>
        <v>FS</v>
      </c>
      <c r="DD31" t="str">
        <f t="shared" ref="DD31:DJ31" si="15">DD16</f>
        <v>MOLS</v>
      </c>
      <c r="DE31" t="str">
        <f t="shared" si="15"/>
        <v>MS</v>
      </c>
      <c r="DF31" t="str">
        <f>DF16</f>
        <v>SL</v>
      </c>
      <c r="DG31" t="str">
        <f t="shared" si="15"/>
        <v>TS</v>
      </c>
      <c r="DH31" t="str">
        <f t="shared" si="15"/>
        <v>UOLS</v>
      </c>
      <c r="DI31" t="str">
        <f t="shared" si="15"/>
        <v>WHTL</v>
      </c>
      <c r="DJ31" t="str">
        <f t="shared" si="15"/>
        <v>XLED</v>
      </c>
      <c r="DK31" s="11"/>
      <c r="DN31" s="3"/>
    </row>
    <row r="32" spans="1:121" x14ac:dyDescent="0.2">
      <c r="L32" t="str">
        <f t="shared" ref="L32:AF32" si="16">L17</f>
        <v>First 300</v>
      </c>
      <c r="M32" t="str">
        <f t="shared" si="16"/>
        <v>Next 700</v>
      </c>
      <c r="N32" t="str">
        <f t="shared" si="16"/>
        <v>Next 1500</v>
      </c>
      <c r="O32" s="13" t="str">
        <f t="shared" si="16"/>
        <v>Over 2500</v>
      </c>
      <c r="P32" s="15"/>
      <c r="Q32" t="str">
        <f t="shared" si="16"/>
        <v>First 300</v>
      </c>
      <c r="R32" t="str">
        <f t="shared" si="16"/>
        <v>Next 700</v>
      </c>
      <c r="S32" t="str">
        <f t="shared" si="16"/>
        <v>Next 1500</v>
      </c>
      <c r="T32" s="13" t="str">
        <f t="shared" si="16"/>
        <v>Over 2500</v>
      </c>
      <c r="U32" t="str">
        <f t="shared" si="16"/>
        <v>First 300</v>
      </c>
      <c r="V32" t="str">
        <f t="shared" si="16"/>
        <v>Next 700</v>
      </c>
      <c r="W32" t="str">
        <f t="shared" si="16"/>
        <v>Next 1500</v>
      </c>
      <c r="X32" s="13" t="str">
        <f t="shared" si="16"/>
        <v>Over 2500</v>
      </c>
      <c r="Y32" t="str">
        <f t="shared" si="16"/>
        <v>First 300</v>
      </c>
      <c r="Z32" t="str">
        <f t="shared" si="16"/>
        <v>Next 700</v>
      </c>
      <c r="AA32" t="str">
        <f t="shared" si="16"/>
        <v>Next 1500</v>
      </c>
      <c r="AB32" s="13" t="str">
        <f t="shared" si="16"/>
        <v>Over 2500</v>
      </c>
      <c r="AC32" t="str">
        <f t="shared" si="16"/>
        <v>First 300</v>
      </c>
      <c r="AD32" t="str">
        <f t="shared" si="16"/>
        <v>Next 700</v>
      </c>
      <c r="AE32" t="str">
        <f t="shared" si="16"/>
        <v>Next 1500</v>
      </c>
      <c r="AF32" t="str">
        <f t="shared" si="16"/>
        <v>Over 2500</v>
      </c>
      <c r="AG32" s="11"/>
      <c r="AJ32" t="str">
        <f>AJ17</f>
        <v xml:space="preserve"> </v>
      </c>
      <c r="AK32" t="str">
        <f>AK17</f>
        <v xml:space="preserve"> </v>
      </c>
      <c r="AO32" s="11"/>
      <c r="AP32" t="str">
        <f>AP17</f>
        <v>First 300 kWh</v>
      </c>
      <c r="AQ32" t="str">
        <f>AQ17</f>
        <v>Next 700 kWh</v>
      </c>
      <c r="AR32" t="str">
        <f>AR17</f>
        <v>Next 1500 kWh</v>
      </c>
      <c r="AS32" t="str">
        <f>AS17</f>
        <v>Over 2500 kWh</v>
      </c>
      <c r="AT32" t="str">
        <f>AT17</f>
        <v>KWH_NEXT110</v>
      </c>
      <c r="AU32" s="13" t="str">
        <f>AU17</f>
        <v>KWH_300+</v>
      </c>
      <c r="AV32" t="str">
        <f>AV17</f>
        <v>First 300 kWh</v>
      </c>
      <c r="AW32" t="str">
        <f>AW17</f>
        <v>Next 700 kWh</v>
      </c>
      <c r="AX32" t="str">
        <f>AX17</f>
        <v>Next 1500 kWh</v>
      </c>
      <c r="AY32" t="str">
        <f>AY17</f>
        <v>Over 2500 kWh</v>
      </c>
      <c r="AZ32" t="str">
        <f>AZ17</f>
        <v>KWH_NEXT110</v>
      </c>
      <c r="BA32" s="13" t="str">
        <f>BA17</f>
        <v>KWH_300+</v>
      </c>
      <c r="BB32" t="str">
        <f>BB17</f>
        <v>First 300 kWh</v>
      </c>
      <c r="BC32" t="str">
        <f>BC17</f>
        <v>Next 700 kWh</v>
      </c>
      <c r="BD32" t="str">
        <f>BD17</f>
        <v>Next 1500 kWh</v>
      </c>
      <c r="BE32" t="str">
        <f>BE17</f>
        <v>Over 2500 kWh</v>
      </c>
      <c r="BF32" t="str">
        <f>BF17</f>
        <v>KWH_NEXT110</v>
      </c>
      <c r="BG32" s="13" t="str">
        <f>BG17</f>
        <v>KWH_300+</v>
      </c>
      <c r="BH32" t="str">
        <f>BH17</f>
        <v>First 300 kWh</v>
      </c>
      <c r="BI32" t="str">
        <f>BI17</f>
        <v>Next 700 kWh</v>
      </c>
      <c r="BJ32" t="str">
        <f>BJ17</f>
        <v>Next 1500 kWh</v>
      </c>
      <c r="BK32" t="str">
        <f>BK17</f>
        <v>Over 2500 kWh</v>
      </c>
      <c r="BL32" t="str">
        <f>BL17</f>
        <v>KWH_NEXT110</v>
      </c>
      <c r="BM32" s="13" t="str">
        <f>BM17</f>
        <v>KWH_300+</v>
      </c>
      <c r="BN32" t="str">
        <f>BN17</f>
        <v>First 300 kWh</v>
      </c>
      <c r="BO32" t="str">
        <f>BO17</f>
        <v>Next 700 kWh</v>
      </c>
      <c r="BP32" t="str">
        <f>BP17</f>
        <v>Next 1500 kWh</v>
      </c>
      <c r="BQ32" t="str">
        <f>BQ17</f>
        <v>Over 2500 kWh</v>
      </c>
      <c r="BR32" t="str">
        <f>BR17</f>
        <v>KWH_NEXT110</v>
      </c>
      <c r="BS32" s="13" t="str">
        <f>BS17</f>
        <v>KWH_300+</v>
      </c>
      <c r="BT32" t="str">
        <f>BT17</f>
        <v>First 300 kWh</v>
      </c>
      <c r="BU32" t="str">
        <f>BU17</f>
        <v>Next 700 kWh</v>
      </c>
      <c r="BV32" t="str">
        <f>BV17</f>
        <v>Next 1500 kWh</v>
      </c>
      <c r="BW32" t="str">
        <f>BW17</f>
        <v>Over 2500 kWh</v>
      </c>
      <c r="BX32" t="str">
        <f>BX17</f>
        <v>KWH_NEXT110</v>
      </c>
      <c r="BY32" s="13" t="str">
        <f>BY17</f>
        <v>KWH_300+</v>
      </c>
      <c r="BZ32" t="str">
        <f t="shared" ref="BZ32:CE32" si="17">BZ17</f>
        <v>First 300 kWh</v>
      </c>
      <c r="CA32" t="str">
        <f t="shared" si="17"/>
        <v>Next 700 kWh</v>
      </c>
      <c r="CB32" t="str">
        <f t="shared" si="17"/>
        <v>Next 1500 kWh</v>
      </c>
      <c r="CC32" t="str">
        <f t="shared" si="17"/>
        <v>Over 2500 kWh</v>
      </c>
      <c r="CD32" t="str">
        <f t="shared" si="17"/>
        <v>KWH_NEXT110</v>
      </c>
      <c r="CE32" t="str">
        <f t="shared" si="17"/>
        <v>KWH_300+</v>
      </c>
      <c r="CF32" s="11"/>
      <c r="CH32" s="68"/>
      <c r="CQ32" s="11"/>
      <c r="CR32" t="str">
        <f>CR17</f>
        <v>First 300 kWh</v>
      </c>
      <c r="CS32" t="str">
        <f>CS17</f>
        <v>Next 700 kWh</v>
      </c>
      <c r="CT32" s="13" t="str">
        <f>CT17</f>
        <v>Over 1000 kWh</v>
      </c>
      <c r="CU32" t="str">
        <f>CU17</f>
        <v>First 300 kWh</v>
      </c>
      <c r="CV32" t="str">
        <f>CV17</f>
        <v>Next 700 kWh</v>
      </c>
      <c r="CW32" s="13" t="str">
        <f>CW17</f>
        <v>Over 1000 kWh</v>
      </c>
      <c r="CX32" s="11"/>
      <c r="CY32" t="str">
        <f t="shared" si="14"/>
        <v>First 2000</v>
      </c>
      <c r="CZ32" t="str">
        <f t="shared" si="14"/>
        <v>Over 2000</v>
      </c>
      <c r="DA32" s="11"/>
      <c r="DK32" s="11"/>
      <c r="DN32" s="3"/>
    </row>
    <row r="33" spans="11:119" x14ac:dyDescent="0.2">
      <c r="K33" t="s">
        <v>232</v>
      </c>
      <c r="L33">
        <f>ROUND($E3*'Allocators Calc'!C33,0)</f>
        <v>42005</v>
      </c>
      <c r="M33">
        <f>ROUND($E3*'Allocators Calc'!D33,0)</f>
        <v>61036</v>
      </c>
      <c r="N33">
        <f>ROUND($E3*'Allocators Calc'!E33,0)</f>
        <v>66739</v>
      </c>
      <c r="O33">
        <f>ROUND($E3*'Allocators Calc'!F33,0)</f>
        <v>101997</v>
      </c>
      <c r="P33" s="15">
        <f>ROUND($E3*'Allocators Calc'!G33,0)</f>
        <v>3900</v>
      </c>
      <c r="Q33">
        <f>ROUND($E3*'Allocators Calc'!H33,0)</f>
        <v>0</v>
      </c>
      <c r="R33">
        <f>ROUND($E3*'Allocators Calc'!I33,0)</f>
        <v>0</v>
      </c>
      <c r="S33">
        <f>ROUND($E3*'Allocators Calc'!J33,0)</f>
        <v>0</v>
      </c>
      <c r="T33" s="13">
        <f>ROUND($E3*'Allocators Calc'!K33,0)</f>
        <v>0</v>
      </c>
      <c r="U33">
        <f>ROUND($E3*'Allocators Calc'!L33,0)</f>
        <v>0</v>
      </c>
      <c r="V33">
        <f>ROUND($E3*'Allocators Calc'!M33,0)</f>
        <v>0</v>
      </c>
      <c r="W33">
        <f>ROUND($E3*'Allocators Calc'!N33,0)</f>
        <v>0</v>
      </c>
      <c r="X33" s="13">
        <f>ROUND($E3*'Allocators Calc'!O33,0)</f>
        <v>0</v>
      </c>
      <c r="Y33">
        <f>ROUND($E3*'Allocators Calc'!P33,0)</f>
        <v>0</v>
      </c>
      <c r="Z33">
        <f>ROUND($E3*'Allocators Calc'!Q33,0)</f>
        <v>0</v>
      </c>
      <c r="AA33">
        <f>ROUND($E3*'Allocators Calc'!R33,0)</f>
        <v>0</v>
      </c>
      <c r="AB33" s="13">
        <f>ROUND($E3*'Allocators Calc'!S33,0)</f>
        <v>0</v>
      </c>
      <c r="AC33">
        <f>ROUND($E3*'Allocators Calc'!T33,0)</f>
        <v>0</v>
      </c>
      <c r="AD33">
        <f>ROUND($E3*'Allocators Calc'!U33,0)</f>
        <v>0</v>
      </c>
      <c r="AE33">
        <f>ROUND($E3*'Allocators Calc'!V33,0)</f>
        <v>0</v>
      </c>
      <c r="AF33">
        <f>ROUND($E3*'Allocators Calc'!W33,0)</f>
        <v>0</v>
      </c>
      <c r="AG33" s="11"/>
      <c r="AH33">
        <f>ROUND($E3*'Allocators Calc'!Y33,0)</f>
        <v>129659621</v>
      </c>
      <c r="AI33">
        <f>ROUND($E3*'Allocators Calc'!Z33,0)</f>
        <v>93400076</v>
      </c>
      <c r="AJ33">
        <f>ROUND($E3*'Allocators Calc'!AA33,0)</f>
        <v>10790217</v>
      </c>
      <c r="AK33">
        <f>ROUND($E3*'Allocators Calc'!AB33,0)</f>
        <v>0</v>
      </c>
      <c r="AL33" s="12">
        <f t="shared" ref="AL33:AL44" si="18">ROUND($E3-SUM(L33:AK33)-SUM(AM33:DJ33),0)</f>
        <v>154520501</v>
      </c>
      <c r="AM33">
        <f>ROUND($E3*'Allocators Calc'!AD33,0)</f>
        <v>95115097</v>
      </c>
      <c r="AN33">
        <f>ROUND($E3*'Allocators Calc'!AE33,0)</f>
        <v>123777255</v>
      </c>
      <c r="AO33" s="11"/>
      <c r="AP33">
        <f>ROUND($E3*'Allocators Calc'!AG33,0)</f>
        <v>3827</v>
      </c>
      <c r="AQ33">
        <f>ROUND($E3*'Allocators Calc'!AH33,0)</f>
        <v>8930</v>
      </c>
      <c r="AR33">
        <f>ROUND($E3*'Allocators Calc'!AI33,0)</f>
        <v>19137</v>
      </c>
      <c r="AS33">
        <f>ROUND($E3*'Allocators Calc'!AJ33,0)</f>
        <v>7928768</v>
      </c>
      <c r="AT33">
        <f>ROUND($E3*'Allocators Calc'!AK33,0)</f>
        <v>3222399</v>
      </c>
      <c r="AU33" s="13">
        <f>ROUND($E3*'Allocators Calc'!AL33,0)</f>
        <v>3288499</v>
      </c>
      <c r="AV33">
        <f>ROUND($E3*'Allocators Calc'!AM33,0)</f>
        <v>7576</v>
      </c>
      <c r="AW33">
        <f>ROUND($E3*'Allocators Calc'!AN33,0)</f>
        <v>17677</v>
      </c>
      <c r="AX33">
        <f>ROUND($E3*'Allocators Calc'!AO33,0)</f>
        <v>37880</v>
      </c>
      <c r="AY33">
        <f>ROUND($E3*'Allocators Calc'!AP33,0)</f>
        <v>18222799</v>
      </c>
      <c r="AZ33">
        <f>ROUND($E3*'Allocators Calc'!AQ33,0)</f>
        <v>2957334</v>
      </c>
      <c r="BA33" s="13">
        <f>ROUND($E3*'Allocators Calc'!AR33,0)</f>
        <v>1391936</v>
      </c>
      <c r="BB33">
        <f>ROUND($E3*'Allocators Calc'!AS33,0)</f>
        <v>46591</v>
      </c>
      <c r="BC33">
        <f>ROUND($E3*'Allocators Calc'!AT33,0)</f>
        <v>106519</v>
      </c>
      <c r="BD33">
        <f>ROUND($E3*'Allocators Calc'!AU33,0)</f>
        <v>213282</v>
      </c>
      <c r="BE33">
        <f>ROUND($E3*'Allocators Calc'!AV33,0)</f>
        <v>23980321</v>
      </c>
      <c r="BF33">
        <f>ROUND($E3*'Allocators Calc'!AW33,0)</f>
        <v>21979107</v>
      </c>
      <c r="BG33" s="13">
        <f>ROUND($E3*'Allocators Calc'!AX33,0)</f>
        <v>1928656</v>
      </c>
      <c r="BH33">
        <f>ROUND($E3*'Allocators Calc'!AY33,0)</f>
        <v>2047354</v>
      </c>
      <c r="BI33">
        <f>ROUND($E3*'Allocators Calc'!AZ33,0)</f>
        <v>4042198</v>
      </c>
      <c r="BJ33">
        <f>ROUND($E3*'Allocators Calc'!BA33,0)</f>
        <v>6131815</v>
      </c>
      <c r="BK33">
        <f>ROUND($E3*'Allocators Calc'!BB33,0)</f>
        <v>38660256</v>
      </c>
      <c r="BL33">
        <f>ROUND($E3*'Allocators Calc'!BC33,0)</f>
        <v>21317397</v>
      </c>
      <c r="BM33" s="13">
        <f>ROUND($E3*'Allocators Calc'!BD33,0)</f>
        <v>15620821</v>
      </c>
      <c r="BN33">
        <f>ROUND($E3*'Allocators Calc'!BE33,0)</f>
        <v>0</v>
      </c>
      <c r="BO33">
        <f>ROUND($E3*'Allocators Calc'!BF33,0)</f>
        <v>0</v>
      </c>
      <c r="BP33">
        <f>ROUND($E3*'Allocators Calc'!BG33,0)</f>
        <v>0</v>
      </c>
      <c r="BQ33">
        <f>ROUND($E3*'Allocators Calc'!BH33,0)</f>
        <v>0</v>
      </c>
      <c r="BR33">
        <f>ROUND($E3*'Allocators Calc'!BI33,0)</f>
        <v>0</v>
      </c>
      <c r="BS33" s="13">
        <f>ROUND($E3*'Allocators Calc'!BJ33,0)</f>
        <v>0</v>
      </c>
      <c r="BT33">
        <f>ROUND($E3*'Allocators Calc'!BK33,0)</f>
        <v>0</v>
      </c>
      <c r="BU33">
        <f>ROUND($E3*'Allocators Calc'!BL33,0)</f>
        <v>0</v>
      </c>
      <c r="BV33">
        <f>ROUND($E3*'Allocators Calc'!BM33,0)</f>
        <v>0</v>
      </c>
      <c r="BW33">
        <f>ROUND($E3*'Allocators Calc'!BN33,0)</f>
        <v>0</v>
      </c>
      <c r="BX33">
        <f>ROUND($E3*'Allocators Calc'!BO33,0)</f>
        <v>0</v>
      </c>
      <c r="BY33" s="13">
        <f>ROUND($E3*'Allocators Calc'!BP33,0)</f>
        <v>0</v>
      </c>
      <c r="BZ33">
        <f>ROUND($E3*'Allocators Calc'!BQ33,0)</f>
        <v>765</v>
      </c>
      <c r="CA33">
        <f>ROUND($E3*'Allocators Calc'!BR33,0)</f>
        <v>1786</v>
      </c>
      <c r="CB33">
        <f>ROUND($E3*'Allocators Calc'!BS33,0)</f>
        <v>3827</v>
      </c>
      <c r="CC33">
        <f>ROUND($E3*'Allocators Calc'!BT33,0)</f>
        <v>479190</v>
      </c>
      <c r="CD33">
        <f>ROUND($E3*'Allocators Calc'!BU33,0)</f>
        <v>0</v>
      </c>
      <c r="CE33" s="13">
        <f>ROUND($E3*'Allocators Calc'!BV33,0)</f>
        <v>0</v>
      </c>
      <c r="CF33" s="11"/>
      <c r="CG33" s="67">
        <f>ROUND('Allocators Data'!CA33,0)</f>
        <v>0</v>
      </c>
      <c r="CH33">
        <f>ROUND($E3*'Allocators Calc'!BY33,0)+ROUND($E3*'Allocators Calc'!BX33,0)-ROUND('Allocators Data'!CA33,0)</f>
        <v>0</v>
      </c>
      <c r="CI33">
        <f>ROUND($E3*'Allocators Calc'!BZ33,0)</f>
        <v>0</v>
      </c>
      <c r="CJ33">
        <f>ROUND($E3*'Allocators Calc'!CA33,0)</f>
        <v>0</v>
      </c>
      <c r="CK33">
        <f>ROUND($E3*'Allocators Calc'!CB33,0)</f>
        <v>0</v>
      </c>
      <c r="CL33">
        <f>ROUND($E3*'Allocators Calc'!CC33,0)</f>
        <v>0</v>
      </c>
      <c r="CM33">
        <f>ROUND($E3*'Allocators Calc'!CD33,0)</f>
        <v>0</v>
      </c>
      <c r="CN33">
        <f>ROUND($E3*'Allocators Calc'!CE33,0)</f>
        <v>0</v>
      </c>
      <c r="CO33" s="67">
        <f>ROUND('Allocators Data'!CI33,0)</f>
        <v>0</v>
      </c>
      <c r="CP33">
        <f>ROUND($E3*'Allocators Calc'!CG33,0)+ROUND($E3*'Allocators Calc'!CF33,0)-ROUND('Allocators Data'!CI33,0)</f>
        <v>0</v>
      </c>
      <c r="CQ33" s="11"/>
      <c r="CR33">
        <f>ROUND($E3*'Allocators Calc'!CI33,0)</f>
        <v>0</v>
      </c>
      <c r="CS33">
        <f>ROUND($E3*'Allocators Calc'!CJ33,0)</f>
        <v>0</v>
      </c>
      <c r="CT33" s="13">
        <f>ROUND($E3*'Allocators Calc'!CK33,0)</f>
        <v>0</v>
      </c>
      <c r="CU33">
        <f>ROUND($E3*'Allocators Calc'!CL33,0)</f>
        <v>0</v>
      </c>
      <c r="CV33">
        <f>ROUND($E3*'Allocators Calc'!CM33,0)</f>
        <v>0</v>
      </c>
      <c r="CW33" s="13">
        <f>ROUND($E3*'Allocators Calc'!CN33,0)</f>
        <v>0</v>
      </c>
      <c r="CX33" s="11"/>
      <c r="CY33">
        <f>ROUND($E3*'Allocators Calc'!CP33,0)</f>
        <v>241930</v>
      </c>
      <c r="CZ33">
        <f>ROUND($E3*'Allocators Calc'!CQ33,0)</f>
        <v>1930891</v>
      </c>
      <c r="DA33" s="22"/>
      <c r="DB33">
        <f>ROUND($E3*'Allocators Calc'!CS33,0)</f>
        <v>0</v>
      </c>
      <c r="DC33">
        <f>ROUND($E3*'Allocators Calc'!CT33,0)</f>
        <v>0</v>
      </c>
      <c r="DD33">
        <f>ROUND($E3*'Allocators Calc'!CU33,0)</f>
        <v>0</v>
      </c>
      <c r="DE33">
        <f>ROUND($E3*'Allocators Calc'!CV33,0)</f>
        <v>0</v>
      </c>
      <c r="DF33">
        <f>ROUND($E3*'Allocators Calc'!CW33,0)</f>
        <v>0</v>
      </c>
      <c r="DG33">
        <f>ROUND($E3*'Allocators Calc'!CX33,0)</f>
        <v>0</v>
      </c>
      <c r="DH33">
        <f>ROUND($E3*'Allocators Calc'!CY33,0)</f>
        <v>0</v>
      </c>
      <c r="DI33">
        <f>ROUND($E3*'Allocators Calc'!CZ33,0)</f>
        <v>0</v>
      </c>
      <c r="DJ33">
        <f>ROUND($E3*'Allocators Calc'!DA33,0)</f>
        <v>0</v>
      </c>
      <c r="DK33" s="22"/>
      <c r="DL33" s="3">
        <f t="shared" ref="DL33:DL44" si="19">SUM(L33:DJ33)</f>
        <v>783377912</v>
      </c>
      <c r="DM33" s="3">
        <f t="shared" ref="DM33:DM44" si="20">E3</f>
        <v>783377912.09499991</v>
      </c>
      <c r="DN33" s="3">
        <f t="shared" si="2"/>
        <v>-9.4999909400939941E-2</v>
      </c>
    </row>
    <row r="34" spans="11:119" x14ac:dyDescent="0.2">
      <c r="K34" t="s">
        <v>233</v>
      </c>
      <c r="L34">
        <f>ROUND($E4*'Allocators Calc'!C34,0)</f>
        <v>107758</v>
      </c>
      <c r="M34">
        <f>ROUND($E4*'Allocators Calc'!D34,0)</f>
        <v>153708</v>
      </c>
      <c r="N34">
        <f>ROUND($E4*'Allocators Calc'!E34,0)</f>
        <v>163657</v>
      </c>
      <c r="O34">
        <f>ROUND($E4*'Allocators Calc'!F34,0)</f>
        <v>240629</v>
      </c>
      <c r="P34" s="15">
        <f>ROUND($E4*'Allocators Calc'!G34,0)</f>
        <v>4012</v>
      </c>
      <c r="Q34">
        <f>ROUND($E4*'Allocators Calc'!H34,0)</f>
        <v>0</v>
      </c>
      <c r="R34">
        <f>ROUND($E4*'Allocators Calc'!I34,0)</f>
        <v>0</v>
      </c>
      <c r="S34">
        <f>ROUND($E4*'Allocators Calc'!J34,0)</f>
        <v>0</v>
      </c>
      <c r="T34" s="13">
        <f>ROUND($E4*'Allocators Calc'!K34,0)</f>
        <v>0</v>
      </c>
      <c r="U34">
        <f>ROUND($E4*'Allocators Calc'!L34,0)</f>
        <v>0</v>
      </c>
      <c r="V34">
        <f>ROUND($E4*'Allocators Calc'!M34,0)</f>
        <v>0</v>
      </c>
      <c r="W34">
        <f>ROUND($E4*'Allocators Calc'!N34,0)</f>
        <v>0</v>
      </c>
      <c r="X34" s="13">
        <f>ROUND($E4*'Allocators Calc'!O34,0)</f>
        <v>0</v>
      </c>
      <c r="Y34">
        <f>ROUND($E4*'Allocators Calc'!P34,0)</f>
        <v>0</v>
      </c>
      <c r="Z34">
        <f>ROUND($E4*'Allocators Calc'!Q34,0)</f>
        <v>0</v>
      </c>
      <c r="AA34">
        <f>ROUND($E4*'Allocators Calc'!R34,0)</f>
        <v>0</v>
      </c>
      <c r="AB34" s="13">
        <f>ROUND($E4*'Allocators Calc'!S34,0)</f>
        <v>0</v>
      </c>
      <c r="AC34">
        <f>ROUND($E4*'Allocators Calc'!T34,0)</f>
        <v>0</v>
      </c>
      <c r="AD34">
        <f>ROUND($E4*'Allocators Calc'!U34,0)</f>
        <v>0</v>
      </c>
      <c r="AE34">
        <f>ROUND($E4*'Allocators Calc'!V34,0)</f>
        <v>0</v>
      </c>
      <c r="AF34">
        <f>ROUND($E4*'Allocators Calc'!W34,0)</f>
        <v>0</v>
      </c>
      <c r="AG34" s="11"/>
      <c r="AH34">
        <f>ROUND($E4*'Allocators Calc'!Y34,0)</f>
        <v>121433318</v>
      </c>
      <c r="AI34">
        <f>ROUND($E4*'Allocators Calc'!Z34,0)</f>
        <v>89467407</v>
      </c>
      <c r="AJ34">
        <f>ROUND($E4*'Allocators Calc'!AA34,0)</f>
        <v>9654442</v>
      </c>
      <c r="AK34">
        <f>ROUND($E4*'Allocators Calc'!AB34,0)</f>
        <v>0</v>
      </c>
      <c r="AL34" s="12">
        <f t="shared" si="18"/>
        <v>151756632</v>
      </c>
      <c r="AM34">
        <f>ROUND($E4*'Allocators Calc'!AD34,0)</f>
        <v>96052857</v>
      </c>
      <c r="AN34">
        <f>ROUND($E4*'Allocators Calc'!AE34,0)</f>
        <v>122630318</v>
      </c>
      <c r="AO34" s="11"/>
      <c r="AP34">
        <f>ROUND($E4*'Allocators Calc'!AG34,0)</f>
        <v>1870</v>
      </c>
      <c r="AQ34">
        <f>ROUND($E4*'Allocators Calc'!AH34,0)</f>
        <v>4363</v>
      </c>
      <c r="AR34">
        <f>ROUND($E4*'Allocators Calc'!AI34,0)</f>
        <v>9349</v>
      </c>
      <c r="AS34">
        <f>ROUND($E4*'Allocators Calc'!AJ34,0)</f>
        <v>7369518</v>
      </c>
      <c r="AT34">
        <f>ROUND($E4*'Allocators Calc'!AK34,0)</f>
        <v>2995110</v>
      </c>
      <c r="AU34" s="13">
        <f>ROUND($E4*'Allocators Calc'!AL34,0)</f>
        <v>3760412</v>
      </c>
      <c r="AV34">
        <f>ROUND($E4*'Allocators Calc'!AM34,0)</f>
        <v>8278</v>
      </c>
      <c r="AW34">
        <f>ROUND($E4*'Allocators Calc'!AN34,0)</f>
        <v>19316</v>
      </c>
      <c r="AX34">
        <f>ROUND($E4*'Allocators Calc'!AO34,0)</f>
        <v>41391</v>
      </c>
      <c r="AY34">
        <f>ROUND($E4*'Allocators Calc'!AP34,0)</f>
        <v>19911631</v>
      </c>
      <c r="AZ34">
        <f>ROUND($E4*'Allocators Calc'!AQ34,0)</f>
        <v>3231411</v>
      </c>
      <c r="BA34" s="13">
        <f>ROUND($E4*'Allocators Calc'!AR34,0)</f>
        <v>1520936</v>
      </c>
      <c r="BB34">
        <f>ROUND($E4*'Allocators Calc'!AS34,0)</f>
        <v>47875</v>
      </c>
      <c r="BC34">
        <f>ROUND($E4*'Allocators Calc'!AT34,0)</f>
        <v>109456</v>
      </c>
      <c r="BD34">
        <f>ROUND($E4*'Allocators Calc'!AU34,0)</f>
        <v>219162</v>
      </c>
      <c r="BE34">
        <f>ROUND($E4*'Allocators Calc'!AV34,0)</f>
        <v>24641465</v>
      </c>
      <c r="BF34">
        <f>ROUND($E4*'Allocators Calc'!AW34,0)</f>
        <v>22585076</v>
      </c>
      <c r="BG34" s="13">
        <f>ROUND($E4*'Allocators Calc'!AX34,0)</f>
        <v>1981829</v>
      </c>
      <c r="BH34">
        <f>ROUND($E4*'Allocators Calc'!AY34,0)</f>
        <v>2054516</v>
      </c>
      <c r="BI34">
        <f>ROUND($E4*'Allocators Calc'!AZ34,0)</f>
        <v>4056338</v>
      </c>
      <c r="BJ34">
        <f>ROUND($E4*'Allocators Calc'!BA34,0)</f>
        <v>6153266</v>
      </c>
      <c r="BK34">
        <f>ROUND($E4*'Allocators Calc'!BB34,0)</f>
        <v>38795497</v>
      </c>
      <c r="BL34">
        <f>ROUND($E4*'Allocators Calc'!BC34,0)</f>
        <v>21391969</v>
      </c>
      <c r="BM34" s="13">
        <f>ROUND($E4*'Allocators Calc'!BD34,0)</f>
        <v>15675465</v>
      </c>
      <c r="BN34">
        <f>ROUND($E4*'Allocators Calc'!BE34,0)</f>
        <v>0</v>
      </c>
      <c r="BO34">
        <f>ROUND($E4*'Allocators Calc'!BF34,0)</f>
        <v>0</v>
      </c>
      <c r="BP34">
        <f>ROUND($E4*'Allocators Calc'!BG34,0)</f>
        <v>0</v>
      </c>
      <c r="BQ34">
        <f>ROUND($E4*'Allocators Calc'!BH34,0)</f>
        <v>0</v>
      </c>
      <c r="BR34">
        <f>ROUND($E4*'Allocators Calc'!BI34,0)</f>
        <v>0</v>
      </c>
      <c r="BS34" s="13">
        <f>ROUND($E4*'Allocators Calc'!BJ34,0)</f>
        <v>0</v>
      </c>
      <c r="BT34">
        <f>ROUND($E4*'Allocators Calc'!BK34,0)</f>
        <v>0</v>
      </c>
      <c r="BU34">
        <f>ROUND($E4*'Allocators Calc'!BL34,0)</f>
        <v>0</v>
      </c>
      <c r="BV34">
        <f>ROUND($E4*'Allocators Calc'!BM34,0)</f>
        <v>0</v>
      </c>
      <c r="BW34">
        <f>ROUND($E4*'Allocators Calc'!BN34,0)</f>
        <v>0</v>
      </c>
      <c r="BX34">
        <f>ROUND($E4*'Allocators Calc'!BO34,0)</f>
        <v>0</v>
      </c>
      <c r="BY34" s="13">
        <f>ROUND($E4*'Allocators Calc'!BP34,0)</f>
        <v>0</v>
      </c>
      <c r="BZ34">
        <f>ROUND($E4*'Allocators Calc'!BQ34,0)</f>
        <v>1122</v>
      </c>
      <c r="CA34">
        <f>ROUND($E4*'Allocators Calc'!BR34,0)</f>
        <v>1910</v>
      </c>
      <c r="CB34">
        <f>ROUND($E4*'Allocators Calc'!BS34,0)</f>
        <v>3740</v>
      </c>
      <c r="CC34">
        <f>ROUND($E4*'Allocators Calc'!BT34,0)</f>
        <v>435045</v>
      </c>
      <c r="CD34">
        <f>ROUND($E4*'Allocators Calc'!BU34,0)</f>
        <v>0</v>
      </c>
      <c r="CE34" s="13">
        <f>ROUND($E4*'Allocators Calc'!BV34,0)</f>
        <v>0</v>
      </c>
      <c r="CF34" s="11"/>
      <c r="CG34" s="67">
        <f>ROUND('Allocators Data'!CA34,0)</f>
        <v>0</v>
      </c>
      <c r="CH34">
        <f>ROUND($E4*'Allocators Calc'!BY34,0)+ROUND($E4*'Allocators Calc'!BX34,0)-ROUND('Allocators Data'!CA34,0)</f>
        <v>0</v>
      </c>
      <c r="CI34">
        <f>ROUND($E4*'Allocators Calc'!BZ34,0)</f>
        <v>0</v>
      </c>
      <c r="CJ34">
        <f>ROUND($E4*'Allocators Calc'!CA34,0)</f>
        <v>0</v>
      </c>
      <c r="CK34">
        <f>ROUND($E4*'Allocators Calc'!CB34,0)</f>
        <v>0</v>
      </c>
      <c r="CL34">
        <f>ROUND($E4*'Allocators Calc'!CC34,0)</f>
        <v>0</v>
      </c>
      <c r="CM34">
        <f>ROUND($E4*'Allocators Calc'!CD34,0)</f>
        <v>0</v>
      </c>
      <c r="CN34">
        <f>ROUND($E4*'Allocators Calc'!CE34,0)</f>
        <v>0</v>
      </c>
      <c r="CO34" s="67">
        <f>ROUND('Allocators Data'!CI34,0)</f>
        <v>0</v>
      </c>
      <c r="CP34">
        <f>ROUND($E4*'Allocators Calc'!CG34,0)+ROUND($E4*'Allocators Calc'!CF34,0)-ROUND('Allocators Data'!CI34,0)</f>
        <v>0</v>
      </c>
      <c r="CQ34" s="11"/>
      <c r="CR34">
        <f>ROUND($E4*'Allocators Calc'!CI34,0)</f>
        <v>0</v>
      </c>
      <c r="CS34">
        <f>ROUND($E4*'Allocators Calc'!CJ34,0)</f>
        <v>0</v>
      </c>
      <c r="CT34" s="13">
        <f>ROUND($E4*'Allocators Calc'!CK34,0)</f>
        <v>0</v>
      </c>
      <c r="CU34">
        <f>ROUND($E4*'Allocators Calc'!CL34,0)</f>
        <v>0</v>
      </c>
      <c r="CV34">
        <f>ROUND($E4*'Allocators Calc'!CM34,0)</f>
        <v>0</v>
      </c>
      <c r="CW34" s="13">
        <f>ROUND($E4*'Allocators Calc'!CN34,0)</f>
        <v>0</v>
      </c>
      <c r="CX34" s="11"/>
      <c r="CY34">
        <f>ROUND($E4*'Allocators Calc'!CP34,0)</f>
        <v>215654</v>
      </c>
      <c r="CZ34">
        <f>ROUND($E4*'Allocators Calc'!CQ34,0)</f>
        <v>1721181</v>
      </c>
      <c r="DA34" s="22"/>
      <c r="DB34">
        <f>ROUND($E4*'Allocators Calc'!CS34,0)</f>
        <v>0</v>
      </c>
      <c r="DC34">
        <f>ROUND($E4*'Allocators Calc'!CT34,0)</f>
        <v>0</v>
      </c>
      <c r="DD34">
        <f>ROUND($E4*'Allocators Calc'!CU34,0)</f>
        <v>0</v>
      </c>
      <c r="DE34">
        <f>ROUND($E4*'Allocators Calc'!CV34,0)</f>
        <v>0</v>
      </c>
      <c r="DF34">
        <f>ROUND($E4*'Allocators Calc'!CW34,0)</f>
        <v>0</v>
      </c>
      <c r="DG34">
        <f>ROUND($E4*'Allocators Calc'!CX34,0)</f>
        <v>0</v>
      </c>
      <c r="DH34">
        <f>ROUND($E4*'Allocators Calc'!CY34,0)</f>
        <v>0</v>
      </c>
      <c r="DI34">
        <f>ROUND($E4*'Allocators Calc'!CZ34,0)</f>
        <v>0</v>
      </c>
      <c r="DJ34">
        <f>ROUND($E4*'Allocators Calc'!DA34,0)</f>
        <v>0</v>
      </c>
      <c r="DK34" s="22"/>
      <c r="DL34" s="3">
        <f t="shared" si="19"/>
        <v>770628889</v>
      </c>
      <c r="DM34" s="3">
        <f t="shared" si="20"/>
        <v>770628889.31299996</v>
      </c>
      <c r="DN34" s="3">
        <f t="shared" si="2"/>
        <v>-0.31299996376037598</v>
      </c>
    </row>
    <row r="35" spans="11:119" x14ac:dyDescent="0.2">
      <c r="K35" t="s">
        <v>234</v>
      </c>
      <c r="L35">
        <f>ROUND($E5*'Allocators Calc'!C35,0)</f>
        <v>147673</v>
      </c>
      <c r="M35">
        <f>ROUND($E5*'Allocators Calc'!D35,0)</f>
        <v>202750</v>
      </c>
      <c r="N35">
        <f>ROUND($E5*'Allocators Calc'!E35,0)</f>
        <v>204636</v>
      </c>
      <c r="O35">
        <f>ROUND($E5*'Allocators Calc'!F35,0)</f>
        <v>289371</v>
      </c>
      <c r="P35" s="15">
        <f>ROUND($E5*'Allocators Calc'!G35,0)</f>
        <v>3230</v>
      </c>
      <c r="Q35">
        <f>ROUND($E5*'Allocators Calc'!H35,0)</f>
        <v>0</v>
      </c>
      <c r="R35">
        <f>ROUND($E5*'Allocators Calc'!I35,0)</f>
        <v>0</v>
      </c>
      <c r="S35">
        <f>ROUND($E5*'Allocators Calc'!J35,0)</f>
        <v>0</v>
      </c>
      <c r="T35" s="13">
        <f>ROUND($E5*'Allocators Calc'!K35,0)</f>
        <v>0</v>
      </c>
      <c r="U35">
        <f>ROUND($E5*'Allocators Calc'!L35,0)</f>
        <v>0</v>
      </c>
      <c r="V35">
        <f>ROUND($E5*'Allocators Calc'!M35,0)</f>
        <v>0</v>
      </c>
      <c r="W35">
        <f>ROUND($E5*'Allocators Calc'!N35,0)</f>
        <v>0</v>
      </c>
      <c r="X35" s="13">
        <f>ROUND($E5*'Allocators Calc'!O35,0)</f>
        <v>0</v>
      </c>
      <c r="Y35">
        <f>ROUND($E5*'Allocators Calc'!P35,0)</f>
        <v>0</v>
      </c>
      <c r="Z35">
        <f>ROUND($E5*'Allocators Calc'!Q35,0)</f>
        <v>0</v>
      </c>
      <c r="AA35">
        <f>ROUND($E5*'Allocators Calc'!R35,0)</f>
        <v>0</v>
      </c>
      <c r="AB35" s="13">
        <f>ROUND($E5*'Allocators Calc'!S35,0)</f>
        <v>0</v>
      </c>
      <c r="AC35">
        <f>ROUND($E5*'Allocators Calc'!T35,0)</f>
        <v>0</v>
      </c>
      <c r="AD35">
        <f>ROUND($E5*'Allocators Calc'!U35,0)</f>
        <v>0</v>
      </c>
      <c r="AE35">
        <f>ROUND($E5*'Allocators Calc'!V35,0)</f>
        <v>0</v>
      </c>
      <c r="AF35">
        <f>ROUND($E5*'Allocators Calc'!W35,0)</f>
        <v>0</v>
      </c>
      <c r="AG35" s="11"/>
      <c r="AH35">
        <f>ROUND($E5*'Allocators Calc'!Y35,0)</f>
        <v>112066592</v>
      </c>
      <c r="AI35">
        <f>ROUND($E5*'Allocators Calc'!Z35,0)</f>
        <v>88378686</v>
      </c>
      <c r="AJ35">
        <f>ROUND($E5*'Allocators Calc'!AA35,0)</f>
        <v>10205738</v>
      </c>
      <c r="AK35">
        <f>ROUND($E5*'Allocators Calc'!AB35,0)</f>
        <v>0</v>
      </c>
      <c r="AL35" s="12">
        <f t="shared" si="18"/>
        <v>145410008</v>
      </c>
      <c r="AM35">
        <f>ROUND($E5*'Allocators Calc'!AD35,0)</f>
        <v>91403661</v>
      </c>
      <c r="AN35">
        <f>ROUND($E5*'Allocators Calc'!AE35,0)</f>
        <v>118392063</v>
      </c>
      <c r="AO35" s="11"/>
      <c r="AP35">
        <f>ROUND($E5*'Allocators Calc'!AG35,0)</f>
        <v>4601</v>
      </c>
      <c r="AQ35">
        <f>ROUND($E5*'Allocators Calc'!AH35,0)</f>
        <v>10735</v>
      </c>
      <c r="AR35">
        <f>ROUND($E5*'Allocators Calc'!AI35,0)</f>
        <v>23003</v>
      </c>
      <c r="AS35">
        <f>ROUND($E5*'Allocators Calc'!AJ35,0)</f>
        <v>6612724</v>
      </c>
      <c r="AT35">
        <f>ROUND($E5*'Allocators Calc'!AK35,0)</f>
        <v>2687534</v>
      </c>
      <c r="AU35" s="13">
        <f>ROUND($E5*'Allocators Calc'!AL35,0)</f>
        <v>2730925</v>
      </c>
      <c r="AV35">
        <f>ROUND($E5*'Allocators Calc'!AM35,0)</f>
        <v>7930</v>
      </c>
      <c r="AW35">
        <f>ROUND($E5*'Allocators Calc'!AN35,0)</f>
        <v>18503</v>
      </c>
      <c r="AX35">
        <f>ROUND($E5*'Allocators Calc'!AO35,0)</f>
        <v>39649</v>
      </c>
      <c r="AY35">
        <f>ROUND($E5*'Allocators Calc'!AP35,0)</f>
        <v>19073591</v>
      </c>
      <c r="AZ35">
        <f>ROUND($E5*'Allocators Calc'!AQ35,0)</f>
        <v>3095407</v>
      </c>
      <c r="BA35" s="13">
        <f>ROUND($E5*'Allocators Calc'!AR35,0)</f>
        <v>1456923</v>
      </c>
      <c r="BB35">
        <f>ROUND($E5*'Allocators Calc'!AS35,0)</f>
        <v>46900</v>
      </c>
      <c r="BC35">
        <f>ROUND($E5*'Allocators Calc'!AT35,0)</f>
        <v>107228</v>
      </c>
      <c r="BD35">
        <f>ROUND($E5*'Allocators Calc'!AU35,0)</f>
        <v>214700</v>
      </c>
      <c r="BE35">
        <f>ROUND($E5*'Allocators Calc'!AV35,0)</f>
        <v>24139754</v>
      </c>
      <c r="BF35">
        <f>ROUND($E5*'Allocators Calc'!AW35,0)</f>
        <v>22125235</v>
      </c>
      <c r="BG35" s="13">
        <f>ROUND($E5*'Allocators Calc'!AX35,0)</f>
        <v>1941478</v>
      </c>
      <c r="BH35">
        <f>ROUND($E5*'Allocators Calc'!AY35,0)</f>
        <v>1929669</v>
      </c>
      <c r="BI35">
        <f>ROUND($E5*'Allocators Calc'!AZ35,0)</f>
        <v>3809847</v>
      </c>
      <c r="BJ35">
        <f>ROUND($E5*'Allocators Calc'!BA35,0)</f>
        <v>5779351</v>
      </c>
      <c r="BK35">
        <f>ROUND($E5*'Allocators Calc'!BB35,0)</f>
        <v>36438015</v>
      </c>
      <c r="BL35">
        <f>ROUND($E5*'Allocators Calc'!BC35,0)</f>
        <v>20092046</v>
      </c>
      <c r="BM35" s="13">
        <f>ROUND($E5*'Allocators Calc'!BD35,0)</f>
        <v>14722916</v>
      </c>
      <c r="BN35">
        <f>ROUND($E5*'Allocators Calc'!BE35,0)</f>
        <v>0</v>
      </c>
      <c r="BO35">
        <f>ROUND($E5*'Allocators Calc'!BF35,0)</f>
        <v>0</v>
      </c>
      <c r="BP35">
        <f>ROUND($E5*'Allocators Calc'!BG35,0)</f>
        <v>0</v>
      </c>
      <c r="BQ35">
        <f>ROUND($E5*'Allocators Calc'!BH35,0)</f>
        <v>0</v>
      </c>
      <c r="BR35">
        <f>ROUND($E5*'Allocators Calc'!BI35,0)</f>
        <v>0</v>
      </c>
      <c r="BS35" s="13">
        <f>ROUND($E5*'Allocators Calc'!BJ35,0)</f>
        <v>0</v>
      </c>
      <c r="BT35">
        <f>ROUND($E5*'Allocators Calc'!BK35,0)</f>
        <v>0</v>
      </c>
      <c r="BU35">
        <f>ROUND($E5*'Allocators Calc'!BL35,0)</f>
        <v>0</v>
      </c>
      <c r="BV35">
        <f>ROUND($E5*'Allocators Calc'!BM35,0)</f>
        <v>0</v>
      </c>
      <c r="BW35">
        <f>ROUND($E5*'Allocators Calc'!BN35,0)</f>
        <v>0</v>
      </c>
      <c r="BX35">
        <f>ROUND($E5*'Allocators Calc'!BO35,0)</f>
        <v>0</v>
      </c>
      <c r="BY35" s="13">
        <f>ROUND($E5*'Allocators Calc'!BP35,0)</f>
        <v>0</v>
      </c>
      <c r="BZ35">
        <f>ROUND($E5*'Allocators Calc'!BQ35,0)</f>
        <v>1062</v>
      </c>
      <c r="CA35">
        <f>ROUND($E5*'Allocators Calc'!BR35,0)</f>
        <v>1835</v>
      </c>
      <c r="CB35">
        <f>ROUND($E5*'Allocators Calc'!BS35,0)</f>
        <v>3539</v>
      </c>
      <c r="CC35">
        <f>ROUND($E5*'Allocators Calc'!BT35,0)</f>
        <v>607682</v>
      </c>
      <c r="CD35">
        <f>ROUND($E5*'Allocators Calc'!BU35,0)</f>
        <v>0</v>
      </c>
      <c r="CE35" s="13">
        <f>ROUND($E5*'Allocators Calc'!BV35,0)</f>
        <v>0</v>
      </c>
      <c r="CF35" s="11"/>
      <c r="CG35" s="67">
        <f>ROUND('Allocators Data'!CA35,0)</f>
        <v>0</v>
      </c>
      <c r="CH35">
        <f>ROUND($E5*'Allocators Calc'!BY35,0)+ROUND($E5*'Allocators Calc'!BX35,0)-ROUND('Allocators Data'!CA35,0)</f>
        <v>0</v>
      </c>
      <c r="CI35">
        <f>ROUND($E5*'Allocators Calc'!BZ35,0)</f>
        <v>0</v>
      </c>
      <c r="CJ35">
        <f>ROUND($E5*'Allocators Calc'!CA35,0)</f>
        <v>0</v>
      </c>
      <c r="CK35">
        <f>ROUND($E5*'Allocators Calc'!CB35,0)</f>
        <v>0</v>
      </c>
      <c r="CL35">
        <f>ROUND($E5*'Allocators Calc'!CC35,0)</f>
        <v>0</v>
      </c>
      <c r="CM35">
        <f>ROUND($E5*'Allocators Calc'!CD35,0)</f>
        <v>0</v>
      </c>
      <c r="CN35">
        <f>ROUND($E5*'Allocators Calc'!CE35,0)</f>
        <v>0</v>
      </c>
      <c r="CO35" s="67">
        <f>ROUND('Allocators Data'!CI35,0)</f>
        <v>0</v>
      </c>
      <c r="CP35">
        <f>ROUND($E5*'Allocators Calc'!CG35,0)+ROUND($E5*'Allocators Calc'!CF35,0)-ROUND('Allocators Data'!CI35,0)</f>
        <v>0</v>
      </c>
      <c r="CQ35" s="11"/>
      <c r="CR35">
        <f>ROUND($E5*'Allocators Calc'!CI35,0)</f>
        <v>0</v>
      </c>
      <c r="CS35">
        <f>ROUND($E5*'Allocators Calc'!CJ35,0)</f>
        <v>0</v>
      </c>
      <c r="CT35" s="13">
        <f>ROUND($E5*'Allocators Calc'!CK35,0)</f>
        <v>0</v>
      </c>
      <c r="CU35">
        <f>ROUND($E5*'Allocators Calc'!CL35,0)</f>
        <v>0</v>
      </c>
      <c r="CV35">
        <f>ROUND($E5*'Allocators Calc'!CM35,0)</f>
        <v>0</v>
      </c>
      <c r="CW35" s="13">
        <f>ROUND($E5*'Allocators Calc'!CN35,0)</f>
        <v>0</v>
      </c>
      <c r="CX35" s="11"/>
      <c r="CY35">
        <f>ROUND($E5*'Allocators Calc'!CP35,0)</f>
        <v>197370</v>
      </c>
      <c r="CZ35">
        <f>ROUND($E5*'Allocators Calc'!CQ35,0)</f>
        <v>1575248</v>
      </c>
      <c r="DA35" s="22"/>
      <c r="DB35">
        <f>ROUND($E5*'Allocators Calc'!CS35,0)</f>
        <v>0</v>
      </c>
      <c r="DC35">
        <f>ROUND($E5*'Allocators Calc'!CT35,0)</f>
        <v>0</v>
      </c>
      <c r="DD35">
        <f>ROUND($E5*'Allocators Calc'!CU35,0)</f>
        <v>0</v>
      </c>
      <c r="DE35">
        <f>ROUND($E5*'Allocators Calc'!CV35,0)</f>
        <v>0</v>
      </c>
      <c r="DF35">
        <f>ROUND($E5*'Allocators Calc'!CW35,0)</f>
        <v>0</v>
      </c>
      <c r="DG35">
        <f>ROUND($E5*'Allocators Calc'!CX35,0)</f>
        <v>0</v>
      </c>
      <c r="DH35">
        <f>ROUND($E5*'Allocators Calc'!CY35,0)</f>
        <v>0</v>
      </c>
      <c r="DI35">
        <f>ROUND($E5*'Allocators Calc'!CZ35,0)</f>
        <v>0</v>
      </c>
      <c r="DJ35">
        <f>ROUND($E5*'Allocators Calc'!DA35,0)</f>
        <v>0</v>
      </c>
      <c r="DK35" s="22"/>
      <c r="DL35" s="3">
        <f t="shared" si="19"/>
        <v>736199808</v>
      </c>
      <c r="DM35" s="3">
        <f t="shared" si="20"/>
        <v>736199808.04700017</v>
      </c>
      <c r="DN35" s="3">
        <f t="shared" si="2"/>
        <v>-4.700016975402832E-2</v>
      </c>
    </row>
    <row r="36" spans="11:119" x14ac:dyDescent="0.2">
      <c r="K36" t="s">
        <v>235</v>
      </c>
      <c r="L36">
        <f>ROUND($E6*'Allocators Calc'!C36,0)</f>
        <v>140577</v>
      </c>
      <c r="M36">
        <f>ROUND($E6*'Allocators Calc'!D36,0)</f>
        <v>187693</v>
      </c>
      <c r="N36">
        <f>ROUND($E6*'Allocators Calc'!E36,0)</f>
        <v>183142</v>
      </c>
      <c r="O36">
        <f>ROUND($E6*'Allocators Calc'!F36,0)</f>
        <v>258937</v>
      </c>
      <c r="P36" s="15">
        <f>ROUND($E6*'Allocators Calc'!G36,0)</f>
        <v>2476</v>
      </c>
      <c r="Q36">
        <f>ROUND($E6*'Allocators Calc'!H36,0)</f>
        <v>0</v>
      </c>
      <c r="R36">
        <f>ROUND($E6*'Allocators Calc'!I36,0)</f>
        <v>0</v>
      </c>
      <c r="S36">
        <f>ROUND($E6*'Allocators Calc'!J36,0)</f>
        <v>0</v>
      </c>
      <c r="T36" s="13">
        <f>ROUND($E6*'Allocators Calc'!K36,0)</f>
        <v>0</v>
      </c>
      <c r="U36">
        <f>ROUND($E6*'Allocators Calc'!L36,0)</f>
        <v>0</v>
      </c>
      <c r="V36">
        <f>ROUND($E6*'Allocators Calc'!M36,0)</f>
        <v>0</v>
      </c>
      <c r="W36">
        <f>ROUND($E6*'Allocators Calc'!N36,0)</f>
        <v>0</v>
      </c>
      <c r="X36" s="13">
        <f>ROUND($E6*'Allocators Calc'!O36,0)</f>
        <v>0</v>
      </c>
      <c r="Y36">
        <f>ROUND($E6*'Allocators Calc'!P36,0)</f>
        <v>0</v>
      </c>
      <c r="Z36">
        <f>ROUND($E6*'Allocators Calc'!Q36,0)</f>
        <v>0</v>
      </c>
      <c r="AA36">
        <f>ROUND($E6*'Allocators Calc'!R36,0)</f>
        <v>0</v>
      </c>
      <c r="AB36" s="13">
        <f>ROUND($E6*'Allocators Calc'!S36,0)</f>
        <v>0</v>
      </c>
      <c r="AC36">
        <f>ROUND($E6*'Allocators Calc'!T36,0)</f>
        <v>0</v>
      </c>
      <c r="AD36">
        <f>ROUND($E6*'Allocators Calc'!U36,0)</f>
        <v>0</v>
      </c>
      <c r="AE36">
        <f>ROUND($E6*'Allocators Calc'!V36,0)</f>
        <v>0</v>
      </c>
      <c r="AF36">
        <f>ROUND($E6*'Allocators Calc'!W36,0)</f>
        <v>0</v>
      </c>
      <c r="AG36" s="11"/>
      <c r="AH36">
        <f>ROUND($E6*'Allocators Calc'!Y36,0)</f>
        <v>92373400</v>
      </c>
      <c r="AI36">
        <f>ROUND($E6*'Allocators Calc'!Z36,0)</f>
        <v>73436786</v>
      </c>
      <c r="AJ36">
        <f>ROUND($E6*'Allocators Calc'!AA36,0)</f>
        <v>7676661</v>
      </c>
      <c r="AK36">
        <f>ROUND($E6*'Allocators Calc'!AB36,0)</f>
        <v>0</v>
      </c>
      <c r="AL36" s="12">
        <f t="shared" si="18"/>
        <v>135617323</v>
      </c>
      <c r="AM36">
        <f>ROUND($E6*'Allocators Calc'!AD36,0)</f>
        <v>78485652</v>
      </c>
      <c r="AN36">
        <f>ROUND($E6*'Allocators Calc'!AE36,0)</f>
        <v>103252879</v>
      </c>
      <c r="AO36" s="11"/>
      <c r="AP36">
        <f>ROUND($E6*'Allocators Calc'!AG36,0)</f>
        <v>9512</v>
      </c>
      <c r="AQ36">
        <f>ROUND($E6*'Allocators Calc'!AH36,0)</f>
        <v>18690</v>
      </c>
      <c r="AR36">
        <f>ROUND($E6*'Allocators Calc'!AI36,0)</f>
        <v>37233</v>
      </c>
      <c r="AS36">
        <f>ROUND($E6*'Allocators Calc'!AJ36,0)</f>
        <v>5510182</v>
      </c>
      <c r="AT36">
        <f>ROUND($E6*'Allocators Calc'!AK36,0)</f>
        <v>2239441</v>
      </c>
      <c r="AU36" s="13">
        <f>ROUND($E6*'Allocators Calc'!AL36,0)</f>
        <v>2242108</v>
      </c>
      <c r="AV36">
        <f>ROUND($E6*'Allocators Calc'!AM36,0)</f>
        <v>6634</v>
      </c>
      <c r="AW36">
        <f>ROUND($E6*'Allocators Calc'!AN36,0)</f>
        <v>15479</v>
      </c>
      <c r="AX36">
        <f>ROUND($E6*'Allocators Calc'!AO36,0)</f>
        <v>33170</v>
      </c>
      <c r="AY36">
        <f>ROUND($E6*'Allocators Calc'!AP36,0)</f>
        <v>15957100</v>
      </c>
      <c r="AZ36">
        <f>ROUND($E6*'Allocators Calc'!AQ36,0)</f>
        <v>2589639</v>
      </c>
      <c r="BA36" s="13">
        <f>ROUND($E6*'Allocators Calc'!AR36,0)</f>
        <v>1218872</v>
      </c>
      <c r="BB36">
        <f>ROUND($E6*'Allocators Calc'!AS36,0)</f>
        <v>38278</v>
      </c>
      <c r="BC36">
        <f>ROUND($E6*'Allocators Calc'!AT36,0)</f>
        <v>87514</v>
      </c>
      <c r="BD36">
        <f>ROUND($E6*'Allocators Calc'!AU36,0)</f>
        <v>175228</v>
      </c>
      <c r="BE36">
        <f>ROUND($E6*'Allocators Calc'!AV36,0)</f>
        <v>19701775</v>
      </c>
      <c r="BF36">
        <f>ROUND($E6*'Allocators Calc'!AW36,0)</f>
        <v>18057615</v>
      </c>
      <c r="BG36" s="13">
        <f>ROUND($E6*'Allocators Calc'!AX36,0)</f>
        <v>1584547</v>
      </c>
      <c r="BH36">
        <f>ROUND($E6*'Allocators Calc'!AY36,0)</f>
        <v>1695126</v>
      </c>
      <c r="BI36">
        <f>ROUND($E6*'Allocators Calc'!AZ36,0)</f>
        <v>3346776</v>
      </c>
      <c r="BJ36">
        <f>ROUND($E6*'Allocators Calc'!BA36,0)</f>
        <v>5076895</v>
      </c>
      <c r="BK36">
        <f>ROUND($E6*'Allocators Calc'!BB36,0)</f>
        <v>32009125</v>
      </c>
      <c r="BL36">
        <f>ROUND($E6*'Allocators Calc'!BC36,0)</f>
        <v>17649941</v>
      </c>
      <c r="BM36" s="13">
        <f>ROUND($E6*'Allocators Calc'!BD36,0)</f>
        <v>12933407</v>
      </c>
      <c r="BN36">
        <f>ROUND($E6*'Allocators Calc'!BE36,0)</f>
        <v>0</v>
      </c>
      <c r="BO36">
        <f>ROUND($E6*'Allocators Calc'!BF36,0)</f>
        <v>0</v>
      </c>
      <c r="BP36">
        <f>ROUND($E6*'Allocators Calc'!BG36,0)</f>
        <v>0</v>
      </c>
      <c r="BQ36">
        <f>ROUND($E6*'Allocators Calc'!BH36,0)</f>
        <v>0</v>
      </c>
      <c r="BR36">
        <f>ROUND($E6*'Allocators Calc'!BI36,0)</f>
        <v>0</v>
      </c>
      <c r="BS36" s="13">
        <f>ROUND($E6*'Allocators Calc'!BJ36,0)</f>
        <v>0</v>
      </c>
      <c r="BT36">
        <f>ROUND($E6*'Allocators Calc'!BK36,0)</f>
        <v>0</v>
      </c>
      <c r="BU36">
        <f>ROUND($E6*'Allocators Calc'!BL36,0)</f>
        <v>0</v>
      </c>
      <c r="BV36">
        <f>ROUND($E6*'Allocators Calc'!BM36,0)</f>
        <v>0</v>
      </c>
      <c r="BW36">
        <f>ROUND($E6*'Allocators Calc'!BN36,0)</f>
        <v>0</v>
      </c>
      <c r="BX36">
        <f>ROUND($E6*'Allocators Calc'!BO36,0)</f>
        <v>0</v>
      </c>
      <c r="BY36" s="13">
        <f>ROUND($E6*'Allocators Calc'!BP36,0)</f>
        <v>0</v>
      </c>
      <c r="BZ36">
        <f>ROUND($E6*'Allocators Calc'!BQ36,0)</f>
        <v>933</v>
      </c>
      <c r="CA36">
        <f>ROUND($E6*'Allocators Calc'!BR36,0)</f>
        <v>1571</v>
      </c>
      <c r="CB36">
        <f>ROUND($E6*'Allocators Calc'!BS36,0)</f>
        <v>3111</v>
      </c>
      <c r="CC36">
        <f>ROUND($E6*'Allocators Calc'!BT36,0)</f>
        <v>507312</v>
      </c>
      <c r="CD36">
        <f>ROUND($E6*'Allocators Calc'!BU36,0)</f>
        <v>0</v>
      </c>
      <c r="CE36" s="13">
        <f>ROUND($E6*'Allocators Calc'!BV36,0)</f>
        <v>0</v>
      </c>
      <c r="CF36" s="11"/>
      <c r="CG36" s="67">
        <f>ROUND('Allocators Data'!CA36,0)</f>
        <v>0</v>
      </c>
      <c r="CH36">
        <f>ROUND($E6*'Allocators Calc'!BY36,0)+ROUND($E6*'Allocators Calc'!BX36,0)-ROUND('Allocators Data'!CA36,0)</f>
        <v>0</v>
      </c>
      <c r="CI36">
        <f>ROUND($E6*'Allocators Calc'!BZ36,0)</f>
        <v>0</v>
      </c>
      <c r="CJ36">
        <f>ROUND($E6*'Allocators Calc'!CA36,0)</f>
        <v>0</v>
      </c>
      <c r="CK36">
        <f>ROUND($E6*'Allocators Calc'!CB36,0)</f>
        <v>0</v>
      </c>
      <c r="CL36">
        <f>ROUND($E6*'Allocators Calc'!CC36,0)</f>
        <v>0</v>
      </c>
      <c r="CM36">
        <f>ROUND($E6*'Allocators Calc'!CD36,0)</f>
        <v>0</v>
      </c>
      <c r="CN36">
        <f>ROUND($E6*'Allocators Calc'!CE36,0)</f>
        <v>0</v>
      </c>
      <c r="CO36" s="67">
        <f>ROUND('Allocators Data'!CI36,0)</f>
        <v>0</v>
      </c>
      <c r="CP36">
        <f>ROUND($E6*'Allocators Calc'!CG36,0)+ROUND($E6*'Allocators Calc'!CF36,0)-ROUND('Allocators Data'!CI36,0)</f>
        <v>0</v>
      </c>
      <c r="CQ36" s="11"/>
      <c r="CR36">
        <f>ROUND($E6*'Allocators Calc'!CI36,0)</f>
        <v>0</v>
      </c>
      <c r="CS36">
        <f>ROUND($E6*'Allocators Calc'!CJ36,0)</f>
        <v>0</v>
      </c>
      <c r="CT36" s="13">
        <f>ROUND($E6*'Allocators Calc'!CK36,0)</f>
        <v>0</v>
      </c>
      <c r="CU36">
        <f>ROUND($E6*'Allocators Calc'!CL36,0)</f>
        <v>0</v>
      </c>
      <c r="CV36">
        <f>ROUND($E6*'Allocators Calc'!CM36,0)</f>
        <v>0</v>
      </c>
      <c r="CW36" s="13">
        <f>ROUND($E6*'Allocators Calc'!CN36,0)</f>
        <v>0</v>
      </c>
      <c r="CX36" s="11"/>
      <c r="CY36">
        <f>ROUND($E6*'Allocators Calc'!CP36,0)</f>
        <v>183278</v>
      </c>
      <c r="CZ36">
        <f>ROUND($E6*'Allocators Calc'!CQ36,0)</f>
        <v>1462775</v>
      </c>
      <c r="DA36" s="22"/>
      <c r="DB36">
        <f>ROUND($E6*'Allocators Calc'!CS36,0)</f>
        <v>0</v>
      </c>
      <c r="DC36">
        <f>ROUND($E6*'Allocators Calc'!CT36,0)</f>
        <v>0</v>
      </c>
      <c r="DD36">
        <f>ROUND($E6*'Allocators Calc'!CU36,0)</f>
        <v>0</v>
      </c>
      <c r="DE36">
        <f>ROUND($E6*'Allocators Calc'!CV36,0)</f>
        <v>0</v>
      </c>
      <c r="DF36">
        <f>ROUND($E6*'Allocators Calc'!CW36,0)</f>
        <v>0</v>
      </c>
      <c r="DG36">
        <f>ROUND($E6*'Allocators Calc'!CX36,0)</f>
        <v>0</v>
      </c>
      <c r="DH36">
        <f>ROUND($E6*'Allocators Calc'!CY36,0)</f>
        <v>0</v>
      </c>
      <c r="DI36">
        <f>ROUND($E6*'Allocators Calc'!CZ36,0)</f>
        <v>0</v>
      </c>
      <c r="DJ36">
        <f>ROUND($E6*'Allocators Calc'!DA36,0)</f>
        <v>0</v>
      </c>
      <c r="DK36" s="22"/>
      <c r="DL36" s="3">
        <f t="shared" si="19"/>
        <v>636008793</v>
      </c>
      <c r="DM36" s="3">
        <f t="shared" si="20"/>
        <v>636008793.27999997</v>
      </c>
      <c r="DN36" s="3">
        <f t="shared" si="2"/>
        <v>-0.27999997138977051</v>
      </c>
    </row>
    <row r="37" spans="11:119" x14ac:dyDescent="0.2">
      <c r="K37" t="s">
        <v>236</v>
      </c>
      <c r="L37">
        <f>ROUND($E7*'Allocators Calc'!C37,0)</f>
        <v>170511</v>
      </c>
      <c r="M37">
        <f>ROUND($E7*'Allocators Calc'!D37,0)</f>
        <v>215004</v>
      </c>
      <c r="N37">
        <f>ROUND($E7*'Allocators Calc'!E37,0)</f>
        <v>203792</v>
      </c>
      <c r="O37">
        <f>ROUND($E7*'Allocators Calc'!F37,0)</f>
        <v>287447</v>
      </c>
      <c r="P37" s="15">
        <f>ROUND($E7*'Allocators Calc'!G37,0)</f>
        <v>2379</v>
      </c>
      <c r="Q37">
        <f>ROUND($E7*'Allocators Calc'!H37,0)</f>
        <v>0</v>
      </c>
      <c r="R37">
        <f>ROUND($E7*'Allocators Calc'!I37,0)</f>
        <v>0</v>
      </c>
      <c r="S37">
        <f>ROUND($E7*'Allocators Calc'!J37,0)</f>
        <v>0</v>
      </c>
      <c r="T37" s="13">
        <f>ROUND($E7*'Allocators Calc'!K37,0)</f>
        <v>0</v>
      </c>
      <c r="U37">
        <f>ROUND($E7*'Allocators Calc'!L37,0)</f>
        <v>0</v>
      </c>
      <c r="V37">
        <f>ROUND($E7*'Allocators Calc'!M37,0)</f>
        <v>0</v>
      </c>
      <c r="W37">
        <f>ROUND($E7*'Allocators Calc'!N37,0)</f>
        <v>0</v>
      </c>
      <c r="X37" s="13">
        <f>ROUND($E7*'Allocators Calc'!O37,0)</f>
        <v>0</v>
      </c>
      <c r="Y37">
        <f>ROUND($E7*'Allocators Calc'!P37,0)</f>
        <v>0</v>
      </c>
      <c r="Z37">
        <f>ROUND($E7*'Allocators Calc'!Q37,0)</f>
        <v>0</v>
      </c>
      <c r="AA37">
        <f>ROUND($E7*'Allocators Calc'!R37,0)</f>
        <v>0</v>
      </c>
      <c r="AB37" s="13">
        <f>ROUND($E7*'Allocators Calc'!S37,0)</f>
        <v>0</v>
      </c>
      <c r="AC37">
        <f>ROUND($E7*'Allocators Calc'!T37,0)</f>
        <v>0</v>
      </c>
      <c r="AD37">
        <f>ROUND($E7*'Allocators Calc'!U37,0)</f>
        <v>0</v>
      </c>
      <c r="AE37">
        <f>ROUND($E7*'Allocators Calc'!V37,0)</f>
        <v>0</v>
      </c>
      <c r="AF37">
        <f>ROUND($E7*'Allocators Calc'!W37,0)</f>
        <v>0</v>
      </c>
      <c r="AG37" s="11"/>
      <c r="AH37">
        <f>ROUND($E7*'Allocators Calc'!Y37,0)</f>
        <v>120968407</v>
      </c>
      <c r="AI37">
        <f>ROUND($E7*'Allocators Calc'!Z37,0)</f>
        <v>87676594</v>
      </c>
      <c r="AJ37">
        <f>ROUND($E7*'Allocators Calc'!AA37,0)</f>
        <v>10484167</v>
      </c>
      <c r="AK37">
        <f>ROUND($E7*'Allocators Calc'!AB37,0)</f>
        <v>0</v>
      </c>
      <c r="AL37" s="12">
        <f t="shared" si="18"/>
        <v>150987260</v>
      </c>
      <c r="AM37">
        <f>ROUND($E7*'Allocators Calc'!AD37,0)</f>
        <v>94840546</v>
      </c>
      <c r="AN37">
        <f>ROUND($E7*'Allocators Calc'!AE37,0)</f>
        <v>125543738</v>
      </c>
      <c r="AO37" s="11"/>
      <c r="AP37">
        <f>ROUND($E7*'Allocators Calc'!AG37,0)</f>
        <v>4871</v>
      </c>
      <c r="AQ37">
        <f>ROUND($E7*'Allocators Calc'!AH37,0)</f>
        <v>11365</v>
      </c>
      <c r="AR37">
        <f>ROUND($E7*'Allocators Calc'!AI37,0)</f>
        <v>22508</v>
      </c>
      <c r="AS37">
        <f>ROUND($E7*'Allocators Calc'!AJ37,0)</f>
        <v>12811247</v>
      </c>
      <c r="AT37">
        <f>ROUND($E7*'Allocators Calc'!AK37,0)</f>
        <v>5206730</v>
      </c>
      <c r="AU37" s="13">
        <f>ROUND($E7*'Allocators Calc'!AL37,0)</f>
        <v>5326324</v>
      </c>
      <c r="AV37">
        <f>ROUND($E7*'Allocators Calc'!AM37,0)</f>
        <v>7891</v>
      </c>
      <c r="AW37">
        <f>ROUND($E7*'Allocators Calc'!AN37,0)</f>
        <v>18412</v>
      </c>
      <c r="AX37">
        <f>ROUND($E7*'Allocators Calc'!AO37,0)</f>
        <v>39455</v>
      </c>
      <c r="AY37">
        <f>ROUND($E7*'Allocators Calc'!AP37,0)</f>
        <v>18980543</v>
      </c>
      <c r="AZ37">
        <f>ROUND($E7*'Allocators Calc'!AQ37,0)</f>
        <v>3080307</v>
      </c>
      <c r="BA37" s="13">
        <f>ROUND($E7*'Allocators Calc'!AR37,0)</f>
        <v>1449815</v>
      </c>
      <c r="BB37">
        <f>ROUND($E7*'Allocators Calc'!AS37,0)</f>
        <v>49066</v>
      </c>
      <c r="BC37">
        <f>ROUND($E7*'Allocators Calc'!AT37,0)</f>
        <v>112178</v>
      </c>
      <c r="BD37">
        <f>ROUND($E7*'Allocators Calc'!AU37,0)</f>
        <v>224613</v>
      </c>
      <c r="BE37">
        <f>ROUND($E7*'Allocators Calc'!AV37,0)</f>
        <v>25254283</v>
      </c>
      <c r="BF37">
        <f>ROUND($E7*'Allocators Calc'!AW37,0)</f>
        <v>23146754</v>
      </c>
      <c r="BG37" s="13">
        <f>ROUND($E7*'Allocators Calc'!AX37,0)</f>
        <v>2031116</v>
      </c>
      <c r="BH37">
        <f>ROUND($E7*'Allocators Calc'!AY37,0)</f>
        <v>2004904</v>
      </c>
      <c r="BI37">
        <f>ROUND($E7*'Allocators Calc'!AZ37,0)</f>
        <v>3958387</v>
      </c>
      <c r="BJ37">
        <f>ROUND($E7*'Allocators Calc'!BA37,0)</f>
        <v>6004678</v>
      </c>
      <c r="BK37">
        <f>ROUND($E7*'Allocators Calc'!BB37,0)</f>
        <v>37858675</v>
      </c>
      <c r="BL37">
        <f>ROUND($E7*'Allocators Calc'!BC37,0)</f>
        <v>20875402</v>
      </c>
      <c r="BM37" s="13">
        <f>ROUND($E7*'Allocators Calc'!BD37,0)</f>
        <v>15296939</v>
      </c>
      <c r="BN37">
        <f>ROUND($E7*'Allocators Calc'!BE37,0)</f>
        <v>0</v>
      </c>
      <c r="BO37">
        <f>ROUND($E7*'Allocators Calc'!BF37,0)</f>
        <v>0</v>
      </c>
      <c r="BP37">
        <f>ROUND($E7*'Allocators Calc'!BG37,0)</f>
        <v>0</v>
      </c>
      <c r="BQ37">
        <f>ROUND($E7*'Allocators Calc'!BH37,0)</f>
        <v>0</v>
      </c>
      <c r="BR37">
        <f>ROUND($E7*'Allocators Calc'!BI37,0)</f>
        <v>0</v>
      </c>
      <c r="BS37" s="13">
        <f>ROUND($E7*'Allocators Calc'!BJ37,0)</f>
        <v>0</v>
      </c>
      <c r="BT37">
        <f>ROUND($E7*'Allocators Calc'!BK37,0)</f>
        <v>0</v>
      </c>
      <c r="BU37">
        <f>ROUND($E7*'Allocators Calc'!BL37,0)</f>
        <v>0</v>
      </c>
      <c r="BV37">
        <f>ROUND($E7*'Allocators Calc'!BM37,0)</f>
        <v>0</v>
      </c>
      <c r="BW37">
        <f>ROUND($E7*'Allocators Calc'!BN37,0)</f>
        <v>0</v>
      </c>
      <c r="BX37">
        <f>ROUND($E7*'Allocators Calc'!BO37,0)</f>
        <v>0</v>
      </c>
      <c r="BY37" s="13">
        <f>ROUND($E7*'Allocators Calc'!BP37,0)</f>
        <v>0</v>
      </c>
      <c r="BZ37">
        <f>ROUND($E7*'Allocators Calc'!BQ37,0)</f>
        <v>1124</v>
      </c>
      <c r="CA37">
        <f>ROUND($E7*'Allocators Calc'!BR37,0)</f>
        <v>1878</v>
      </c>
      <c r="CB37">
        <f>ROUND($E7*'Allocators Calc'!BS37,0)</f>
        <v>3747</v>
      </c>
      <c r="CC37">
        <f>ROUND($E7*'Allocators Calc'!BT37,0)</f>
        <v>648836</v>
      </c>
      <c r="CD37">
        <f>ROUND($E7*'Allocators Calc'!BU37,0)</f>
        <v>0</v>
      </c>
      <c r="CE37" s="13">
        <f>ROUND($E7*'Allocators Calc'!BV37,0)</f>
        <v>0</v>
      </c>
      <c r="CF37" s="11"/>
      <c r="CG37" s="67">
        <f>ROUND('Allocators Data'!CA37,0)</f>
        <v>0</v>
      </c>
      <c r="CH37">
        <f>ROUND($E7*'Allocators Calc'!BY37,0)+ROUND($E7*'Allocators Calc'!BX37,0)-ROUND('Allocators Data'!CA37,0)</f>
        <v>0</v>
      </c>
      <c r="CI37">
        <f>ROUND($E7*'Allocators Calc'!BZ37,0)</f>
        <v>0</v>
      </c>
      <c r="CJ37">
        <f>ROUND($E7*'Allocators Calc'!CA37,0)</f>
        <v>0</v>
      </c>
      <c r="CK37">
        <f>ROUND($E7*'Allocators Calc'!CB37,0)</f>
        <v>0</v>
      </c>
      <c r="CL37">
        <f>ROUND($E7*'Allocators Calc'!CC37,0)</f>
        <v>0</v>
      </c>
      <c r="CM37">
        <f>ROUND($E7*'Allocators Calc'!CD37,0)</f>
        <v>0</v>
      </c>
      <c r="CN37">
        <f>ROUND($E7*'Allocators Calc'!CE37,0)</f>
        <v>0</v>
      </c>
      <c r="CO37" s="67">
        <f>ROUND('Allocators Data'!CI37,0)</f>
        <v>0</v>
      </c>
      <c r="CP37">
        <f>ROUND($E7*'Allocators Calc'!CG37,0)+ROUND($E7*'Allocators Calc'!CF37,0)-ROUND('Allocators Data'!CI37,0)</f>
        <v>0</v>
      </c>
      <c r="CQ37" s="11"/>
      <c r="CR37">
        <f>ROUND($E7*'Allocators Calc'!CI37,0)</f>
        <v>0</v>
      </c>
      <c r="CS37">
        <f>ROUND($E7*'Allocators Calc'!CJ37,0)</f>
        <v>0</v>
      </c>
      <c r="CT37" s="13">
        <f>ROUND($E7*'Allocators Calc'!CK37,0)</f>
        <v>0</v>
      </c>
      <c r="CU37">
        <f>ROUND($E7*'Allocators Calc'!CL37,0)</f>
        <v>0</v>
      </c>
      <c r="CV37">
        <f>ROUND($E7*'Allocators Calc'!CM37,0)</f>
        <v>0</v>
      </c>
      <c r="CW37" s="13">
        <f>ROUND($E7*'Allocators Calc'!CN37,0)</f>
        <v>0</v>
      </c>
      <c r="CX37" s="11"/>
      <c r="CY37">
        <f>ROUND($E7*'Allocators Calc'!CP37,0)</f>
        <v>194205</v>
      </c>
      <c r="CZ37">
        <f>ROUND($E7*'Allocators Calc'!CQ37,0)</f>
        <v>1549989</v>
      </c>
      <c r="DA37" s="22"/>
      <c r="DB37">
        <f>ROUND($E7*'Allocators Calc'!CS37,0)</f>
        <v>0</v>
      </c>
      <c r="DC37">
        <f>ROUND($E7*'Allocators Calc'!CT37,0)</f>
        <v>0</v>
      </c>
      <c r="DD37">
        <f>ROUND($E7*'Allocators Calc'!CU37,0)</f>
        <v>0</v>
      </c>
      <c r="DE37">
        <f>ROUND($E7*'Allocators Calc'!CV37,0)</f>
        <v>0</v>
      </c>
      <c r="DF37">
        <f>ROUND($E7*'Allocators Calc'!CW37,0)</f>
        <v>0</v>
      </c>
      <c r="DG37">
        <f>ROUND($E7*'Allocators Calc'!CX37,0)</f>
        <v>0</v>
      </c>
      <c r="DH37">
        <f>ROUND($E7*'Allocators Calc'!CY37,0)</f>
        <v>0</v>
      </c>
      <c r="DI37">
        <f>ROUND($E7*'Allocators Calc'!CZ37,0)</f>
        <v>0</v>
      </c>
      <c r="DJ37">
        <f>ROUND($E7*'Allocators Calc'!DA37,0)</f>
        <v>0</v>
      </c>
      <c r="DK37" s="22"/>
      <c r="DL37" s="3">
        <f t="shared" si="19"/>
        <v>777556087</v>
      </c>
      <c r="DM37" s="3">
        <f t="shared" si="20"/>
        <v>777556086.5</v>
      </c>
      <c r="DN37" s="3">
        <f t="shared" si="2"/>
        <v>0.5</v>
      </c>
    </row>
    <row r="38" spans="11:119" x14ac:dyDescent="0.2">
      <c r="K38" t="s">
        <v>237</v>
      </c>
      <c r="L38">
        <f>ROUND($E8*'Allocators Calc'!C38,0)</f>
        <v>162696</v>
      </c>
      <c r="M38">
        <f>ROUND($E8*'Allocators Calc'!D38,0)</f>
        <v>222677</v>
      </c>
      <c r="N38">
        <f>ROUND($E8*'Allocators Calc'!E38,0)</f>
        <v>237351</v>
      </c>
      <c r="O38">
        <f>ROUND($E8*'Allocators Calc'!F38,0)</f>
        <v>387764</v>
      </c>
      <c r="P38" s="15">
        <f>ROUND($E8*'Allocators Calc'!G38,0)</f>
        <v>2524</v>
      </c>
      <c r="Q38">
        <f>ROUND($E8*'Allocators Calc'!H38,0)</f>
        <v>0</v>
      </c>
      <c r="R38">
        <f>ROUND($E8*'Allocators Calc'!I38,0)</f>
        <v>0</v>
      </c>
      <c r="S38">
        <f>ROUND($E8*'Allocators Calc'!J38,0)</f>
        <v>0</v>
      </c>
      <c r="T38" s="13">
        <f>ROUND($E8*'Allocators Calc'!K38,0)</f>
        <v>0</v>
      </c>
      <c r="U38">
        <f>ROUND($E8*'Allocators Calc'!L38,0)</f>
        <v>0</v>
      </c>
      <c r="V38">
        <f>ROUND($E8*'Allocators Calc'!M38,0)</f>
        <v>0</v>
      </c>
      <c r="W38">
        <f>ROUND($E8*'Allocators Calc'!N38,0)</f>
        <v>0</v>
      </c>
      <c r="X38" s="13">
        <f>ROUND($E8*'Allocators Calc'!O38,0)</f>
        <v>0</v>
      </c>
      <c r="Y38">
        <f>ROUND($E8*'Allocators Calc'!P38,0)</f>
        <v>0</v>
      </c>
      <c r="Z38">
        <f>ROUND($E8*'Allocators Calc'!Q38,0)</f>
        <v>0</v>
      </c>
      <c r="AA38">
        <f>ROUND($E8*'Allocators Calc'!R38,0)</f>
        <v>0</v>
      </c>
      <c r="AB38" s="13">
        <f>ROUND($E8*'Allocators Calc'!S38,0)</f>
        <v>0</v>
      </c>
      <c r="AC38">
        <f>ROUND($E8*'Allocators Calc'!T38,0)</f>
        <v>0</v>
      </c>
      <c r="AD38">
        <f>ROUND($E8*'Allocators Calc'!U38,0)</f>
        <v>0</v>
      </c>
      <c r="AE38">
        <f>ROUND($E8*'Allocators Calc'!V38,0)</f>
        <v>0</v>
      </c>
      <c r="AF38">
        <f>ROUND($E8*'Allocators Calc'!W38,0)</f>
        <v>0</v>
      </c>
      <c r="AG38" s="11"/>
      <c r="AH38">
        <f>ROUND($E8*'Allocators Calc'!Y38,0)</f>
        <v>115628807</v>
      </c>
      <c r="AI38">
        <f>ROUND($E8*'Allocators Calc'!Z38,0)</f>
        <v>94411344</v>
      </c>
      <c r="AJ38">
        <f>ROUND($E8*'Allocators Calc'!AA38,0)</f>
        <v>9870896</v>
      </c>
      <c r="AK38">
        <f>ROUND($E8*'Allocators Calc'!AB38,0)</f>
        <v>0</v>
      </c>
      <c r="AL38" s="12">
        <f t="shared" si="18"/>
        <v>161782339</v>
      </c>
      <c r="AM38">
        <f>ROUND($E8*'Allocators Calc'!AD38,0)</f>
        <v>103542301</v>
      </c>
      <c r="AN38">
        <f>ROUND($E8*'Allocators Calc'!AE38,0)</f>
        <v>138063645</v>
      </c>
      <c r="AO38" s="11"/>
      <c r="AP38">
        <f>ROUND($E8*'Allocators Calc'!AG38,0)</f>
        <v>5164</v>
      </c>
      <c r="AQ38">
        <f>ROUND($E8*'Allocators Calc'!AH38,0)</f>
        <v>10328</v>
      </c>
      <c r="AR38">
        <f>ROUND($E8*'Allocators Calc'!AI38,0)</f>
        <v>25819</v>
      </c>
      <c r="AS38">
        <f>ROUND($E8*'Allocators Calc'!AJ38,0)</f>
        <v>14412392</v>
      </c>
      <c r="AT38">
        <f>ROUND($E8*'Allocators Calc'!AK38,0)</f>
        <v>5857465</v>
      </c>
      <c r="AU38" s="13">
        <f>ROUND($E8*'Allocators Calc'!AL38,0)</f>
        <v>5994281</v>
      </c>
      <c r="AV38">
        <f>ROUND($E8*'Allocators Calc'!AM38,0)</f>
        <v>8410</v>
      </c>
      <c r="AW38">
        <f>ROUND($E8*'Allocators Calc'!AN38,0)</f>
        <v>19624</v>
      </c>
      <c r="AX38">
        <f>ROUND($E8*'Allocators Calc'!AO38,0)</f>
        <v>42051</v>
      </c>
      <c r="AY38">
        <f>ROUND($E8*'Allocators Calc'!AP38,0)</f>
        <v>20229383</v>
      </c>
      <c r="AZ38">
        <f>ROUND($E8*'Allocators Calc'!AQ38,0)</f>
        <v>3282978</v>
      </c>
      <c r="BA38" s="13">
        <f>ROUND($E8*'Allocators Calc'!AR38,0)</f>
        <v>1545207</v>
      </c>
      <c r="BB38">
        <f>ROUND($E8*'Allocators Calc'!AS38,0)</f>
        <v>52610</v>
      </c>
      <c r="BC38">
        <f>ROUND($E8*'Allocators Calc'!AT38,0)</f>
        <v>120281</v>
      </c>
      <c r="BD38">
        <f>ROUND($E8*'Allocators Calc'!AU38,0)</f>
        <v>240837</v>
      </c>
      <c r="BE38">
        <f>ROUND($E8*'Allocators Calc'!AV38,0)</f>
        <v>27078430</v>
      </c>
      <c r="BF38">
        <f>ROUND($E8*'Allocators Calc'!AW38,0)</f>
        <v>24818671</v>
      </c>
      <c r="BG38" s="13">
        <f>ROUND($E8*'Allocators Calc'!AX38,0)</f>
        <v>2177826</v>
      </c>
      <c r="BH38">
        <f>ROUND($E8*'Allocators Calc'!AY38,0)</f>
        <v>2185387</v>
      </c>
      <c r="BI38">
        <f>ROUND($E8*'Allocators Calc'!AZ38,0)</f>
        <v>4314724</v>
      </c>
      <c r="BJ38">
        <f>ROUND($E8*'Allocators Calc'!BA38,0)</f>
        <v>6545224</v>
      </c>
      <c r="BK38">
        <f>ROUND($E8*'Allocators Calc'!BB38,0)</f>
        <v>41266742</v>
      </c>
      <c r="BL38">
        <f>ROUND($E8*'Allocators Calc'!BC38,0)</f>
        <v>22754622</v>
      </c>
      <c r="BM38" s="13">
        <f>ROUND($E8*'Allocators Calc'!BD38,0)</f>
        <v>16673981</v>
      </c>
      <c r="BN38">
        <f>ROUND($E8*'Allocators Calc'!BE38,0)</f>
        <v>0</v>
      </c>
      <c r="BO38">
        <f>ROUND($E8*'Allocators Calc'!BF38,0)</f>
        <v>0</v>
      </c>
      <c r="BP38">
        <f>ROUND($E8*'Allocators Calc'!BG38,0)</f>
        <v>0</v>
      </c>
      <c r="BQ38">
        <f>ROUND($E8*'Allocators Calc'!BH38,0)</f>
        <v>0</v>
      </c>
      <c r="BR38">
        <f>ROUND($E8*'Allocators Calc'!BI38,0)</f>
        <v>0</v>
      </c>
      <c r="BS38" s="13">
        <f>ROUND($E8*'Allocators Calc'!BJ38,0)</f>
        <v>0</v>
      </c>
      <c r="BT38">
        <f>ROUND($E8*'Allocators Calc'!BK38,0)</f>
        <v>0</v>
      </c>
      <c r="BU38">
        <f>ROUND($E8*'Allocators Calc'!BL38,0)</f>
        <v>0</v>
      </c>
      <c r="BV38">
        <f>ROUND($E8*'Allocators Calc'!BM38,0)</f>
        <v>0</v>
      </c>
      <c r="BW38">
        <f>ROUND($E8*'Allocators Calc'!BN38,0)</f>
        <v>0</v>
      </c>
      <c r="BX38">
        <f>ROUND($E8*'Allocators Calc'!BO38,0)</f>
        <v>0</v>
      </c>
      <c r="BY38" s="13">
        <f>ROUND($E8*'Allocators Calc'!BP38,0)</f>
        <v>0</v>
      </c>
      <c r="BZ38">
        <f>ROUND($E8*'Allocators Calc'!BQ38,0)</f>
        <v>1107</v>
      </c>
      <c r="CA38">
        <f>ROUND($E8*'Allocators Calc'!BR38,0)</f>
        <v>1933</v>
      </c>
      <c r="CB38">
        <f>ROUND($E8*'Allocators Calc'!BS38,0)</f>
        <v>3688</v>
      </c>
      <c r="CC38">
        <f>ROUND($E8*'Allocators Calc'!BT38,0)</f>
        <v>589486</v>
      </c>
      <c r="CD38">
        <f>ROUND($E8*'Allocators Calc'!BU38,0)</f>
        <v>0</v>
      </c>
      <c r="CE38" s="13">
        <f>ROUND($E8*'Allocators Calc'!BV38,0)</f>
        <v>0</v>
      </c>
      <c r="CF38" s="11"/>
      <c r="CG38" s="67">
        <f>ROUND('Allocators Data'!CA38,0)</f>
        <v>0</v>
      </c>
      <c r="CH38">
        <f>ROUND($E8*'Allocators Calc'!BY38,0)+ROUND($E8*'Allocators Calc'!BX38,0)-ROUND('Allocators Data'!CA38,0)</f>
        <v>0</v>
      </c>
      <c r="CI38">
        <f>ROUND($E8*'Allocators Calc'!BZ38,0)</f>
        <v>0</v>
      </c>
      <c r="CJ38">
        <f>ROUND($E8*'Allocators Calc'!CA38,0)</f>
        <v>0</v>
      </c>
      <c r="CK38">
        <f>ROUND($E8*'Allocators Calc'!CB38,0)</f>
        <v>0</v>
      </c>
      <c r="CL38">
        <f>ROUND($E8*'Allocators Calc'!CC38,0)</f>
        <v>0</v>
      </c>
      <c r="CM38">
        <f>ROUND($E8*'Allocators Calc'!CD38,0)</f>
        <v>0</v>
      </c>
      <c r="CN38">
        <f>ROUND($E8*'Allocators Calc'!CE38,0)</f>
        <v>0</v>
      </c>
      <c r="CO38" s="67">
        <f>ROUND('Allocators Data'!CI38,0)</f>
        <v>0</v>
      </c>
      <c r="CP38">
        <f>ROUND($E8*'Allocators Calc'!CG38,0)+ROUND($E8*'Allocators Calc'!CF38,0)-ROUND('Allocators Data'!CI38,0)</f>
        <v>0</v>
      </c>
      <c r="CQ38" s="11"/>
      <c r="CR38">
        <f>ROUND($E8*'Allocators Calc'!CI38,0)</f>
        <v>0</v>
      </c>
      <c r="CS38">
        <f>ROUND($E8*'Allocators Calc'!CJ38,0)</f>
        <v>0</v>
      </c>
      <c r="CT38" s="13">
        <f>ROUND($E8*'Allocators Calc'!CK38,0)</f>
        <v>0</v>
      </c>
      <c r="CU38">
        <f>ROUND($E8*'Allocators Calc'!CL38,0)</f>
        <v>0</v>
      </c>
      <c r="CV38">
        <f>ROUND($E8*'Allocators Calc'!CM38,0)</f>
        <v>0</v>
      </c>
      <c r="CW38" s="13">
        <f>ROUND($E8*'Allocators Calc'!CN38,0)</f>
        <v>0</v>
      </c>
      <c r="CX38" s="11"/>
      <c r="CY38">
        <f>ROUND($E8*'Allocators Calc'!CP38,0)</f>
        <v>225079</v>
      </c>
      <c r="CZ38">
        <f>ROUND($E8*'Allocators Calc'!CQ38,0)</f>
        <v>1796398</v>
      </c>
      <c r="DA38" s="22"/>
      <c r="DB38">
        <f>ROUND($E8*'Allocators Calc'!CS38,0)</f>
        <v>0</v>
      </c>
      <c r="DC38">
        <f>ROUND($E8*'Allocators Calc'!CT38,0)</f>
        <v>0</v>
      </c>
      <c r="DD38">
        <f>ROUND($E8*'Allocators Calc'!CU38,0)</f>
        <v>0</v>
      </c>
      <c r="DE38">
        <f>ROUND($E8*'Allocators Calc'!CV38,0)</f>
        <v>0</v>
      </c>
      <c r="DF38">
        <f>ROUND($E8*'Allocators Calc'!CW38,0)</f>
        <v>0</v>
      </c>
      <c r="DG38">
        <f>ROUND($E8*'Allocators Calc'!CX38,0)</f>
        <v>0</v>
      </c>
      <c r="DH38">
        <f>ROUND($E8*'Allocators Calc'!CY38,0)</f>
        <v>0</v>
      </c>
      <c r="DI38">
        <f>ROUND($E8*'Allocators Calc'!CZ38,0)</f>
        <v>0</v>
      </c>
      <c r="DJ38">
        <f>ROUND($E8*'Allocators Calc'!DA38,0)</f>
        <v>0</v>
      </c>
      <c r="DK38" s="22"/>
      <c r="DL38" s="3">
        <f t="shared" si="19"/>
        <v>826592472</v>
      </c>
      <c r="DM38" s="3">
        <f t="shared" si="20"/>
        <v>826592471.73300004</v>
      </c>
      <c r="DN38" s="3">
        <f t="shared" si="2"/>
        <v>0.26699995994567871</v>
      </c>
    </row>
    <row r="39" spans="11:119" x14ac:dyDescent="0.2">
      <c r="K39" t="s">
        <v>238</v>
      </c>
      <c r="L39">
        <f>ROUND($E9*'Allocators Calc'!C39,0)</f>
        <v>142470</v>
      </c>
      <c r="M39">
        <f>ROUND($E9*'Allocators Calc'!D39,0)</f>
        <v>204282</v>
      </c>
      <c r="N39">
        <f>ROUND($E9*'Allocators Calc'!E39,0)</f>
        <v>226341</v>
      </c>
      <c r="O39">
        <f>ROUND($E9*'Allocators Calc'!F39,0)</f>
        <v>367351</v>
      </c>
      <c r="P39" s="15">
        <f>ROUND($E9*'Allocators Calc'!G39,0)</f>
        <v>2648</v>
      </c>
      <c r="Q39">
        <f>ROUND($E9*'Allocators Calc'!H39,0)</f>
        <v>0</v>
      </c>
      <c r="R39">
        <f>ROUND($E9*'Allocators Calc'!I39,0)</f>
        <v>0</v>
      </c>
      <c r="S39">
        <f>ROUND($E9*'Allocators Calc'!J39,0)</f>
        <v>0</v>
      </c>
      <c r="T39" s="13">
        <f>ROUND($E9*'Allocators Calc'!K39,0)</f>
        <v>0</v>
      </c>
      <c r="U39">
        <f>ROUND($E9*'Allocators Calc'!L39,0)</f>
        <v>0</v>
      </c>
      <c r="V39">
        <f>ROUND($E9*'Allocators Calc'!M39,0)</f>
        <v>0</v>
      </c>
      <c r="W39">
        <f>ROUND($E9*'Allocators Calc'!N39,0)</f>
        <v>0</v>
      </c>
      <c r="X39" s="13">
        <f>ROUND($E9*'Allocators Calc'!O39,0)</f>
        <v>0</v>
      </c>
      <c r="Y39">
        <f>ROUND($E9*'Allocators Calc'!P39,0)</f>
        <v>0</v>
      </c>
      <c r="Z39">
        <f>ROUND($E9*'Allocators Calc'!Q39,0)</f>
        <v>0</v>
      </c>
      <c r="AA39">
        <f>ROUND($E9*'Allocators Calc'!R39,0)</f>
        <v>0</v>
      </c>
      <c r="AB39" s="13">
        <f>ROUND($E9*'Allocators Calc'!S39,0)</f>
        <v>0</v>
      </c>
      <c r="AC39">
        <f>ROUND($E9*'Allocators Calc'!T39,0)</f>
        <v>0</v>
      </c>
      <c r="AD39">
        <f>ROUND($E9*'Allocators Calc'!U39,0)</f>
        <v>0</v>
      </c>
      <c r="AE39">
        <f>ROUND($E9*'Allocators Calc'!V39,0)</f>
        <v>0</v>
      </c>
      <c r="AF39">
        <f>ROUND($E9*'Allocators Calc'!W39,0)</f>
        <v>0</v>
      </c>
      <c r="AG39" s="11"/>
      <c r="AH39">
        <f>ROUND($E9*'Allocators Calc'!Y39,0)</f>
        <v>108684447</v>
      </c>
      <c r="AI39">
        <f>ROUND($E9*'Allocators Calc'!Z39,0)</f>
        <v>83555708</v>
      </c>
      <c r="AJ39">
        <f>ROUND($E9*'Allocators Calc'!AA39,0)</f>
        <v>8339553</v>
      </c>
      <c r="AK39">
        <f>ROUND($E9*'Allocators Calc'!AB39,0)</f>
        <v>0</v>
      </c>
      <c r="AL39" s="12">
        <f t="shared" si="18"/>
        <v>147589504</v>
      </c>
      <c r="AM39">
        <f>ROUND($E9*'Allocators Calc'!AD39,0)</f>
        <v>95852780</v>
      </c>
      <c r="AN39">
        <f>ROUND($E9*'Allocators Calc'!AE39,0)</f>
        <v>125940210</v>
      </c>
      <c r="AO39" s="11"/>
      <c r="AP39">
        <f>ROUND($E9*'Allocators Calc'!AG39,0)</f>
        <v>3876</v>
      </c>
      <c r="AQ39">
        <f>ROUND($E9*'Allocators Calc'!AH39,0)</f>
        <v>9045</v>
      </c>
      <c r="AR39">
        <f>ROUND($E9*'Allocators Calc'!AI39,0)</f>
        <v>19382</v>
      </c>
      <c r="AS39">
        <f>ROUND($E9*'Allocators Calc'!AJ39,0)</f>
        <v>6606929</v>
      </c>
      <c r="AT39">
        <f>ROUND($E9*'Allocators Calc'!AK39,0)</f>
        <v>2685179</v>
      </c>
      <c r="AU39" s="13">
        <f>ROUND($E9*'Allocators Calc'!AL39,0)</f>
        <v>2734532</v>
      </c>
      <c r="AV39">
        <f>ROUND($E9*'Allocators Calc'!AM39,0)</f>
        <v>6858</v>
      </c>
      <c r="AW39">
        <f>ROUND($E9*'Allocators Calc'!AN39,0)</f>
        <v>16002</v>
      </c>
      <c r="AX39">
        <f>ROUND($E9*'Allocators Calc'!AO39,0)</f>
        <v>34289</v>
      </c>
      <c r="AY39">
        <f>ROUND($E9*'Allocators Calc'!AP39,0)</f>
        <v>16495465</v>
      </c>
      <c r="AZ39">
        <f>ROUND($E9*'Allocators Calc'!AQ39,0)</f>
        <v>2677009</v>
      </c>
      <c r="BA39" s="13">
        <f>ROUND($E9*'Allocators Calc'!AR39,0)</f>
        <v>1259995</v>
      </c>
      <c r="BB39">
        <f>ROUND($E9*'Allocators Calc'!AS39,0)</f>
        <v>46032</v>
      </c>
      <c r="BC39">
        <f>ROUND($E9*'Allocators Calc'!AT39,0)</f>
        <v>105243</v>
      </c>
      <c r="BD39">
        <f>ROUND($E9*'Allocators Calc'!AU39,0)</f>
        <v>210725</v>
      </c>
      <c r="BE39">
        <f>ROUND($E9*'Allocators Calc'!AV39,0)</f>
        <v>23692870</v>
      </c>
      <c r="BF39">
        <f>ROUND($E9*'Allocators Calc'!AW39,0)</f>
        <v>21715644</v>
      </c>
      <c r="BG39" s="13">
        <f>ROUND($E9*'Allocators Calc'!AX39,0)</f>
        <v>1905537</v>
      </c>
      <c r="BH39">
        <f>ROUND($E9*'Allocators Calc'!AY39,0)</f>
        <v>2006888</v>
      </c>
      <c r="BI39">
        <f>ROUND($E9*'Allocators Calc'!AZ39,0)</f>
        <v>3962304</v>
      </c>
      <c r="BJ39">
        <f>ROUND($E9*'Allocators Calc'!BA39,0)</f>
        <v>6010621</v>
      </c>
      <c r="BK39">
        <f>ROUND($E9*'Allocators Calc'!BB39,0)</f>
        <v>37896143</v>
      </c>
      <c r="BL39">
        <f>ROUND($E9*'Allocators Calc'!BC39,0)</f>
        <v>20896062</v>
      </c>
      <c r="BM39" s="13">
        <f>ROUND($E9*'Allocators Calc'!BD39,0)</f>
        <v>15312078</v>
      </c>
      <c r="BN39">
        <f>ROUND($E9*'Allocators Calc'!BE39,0)</f>
        <v>0</v>
      </c>
      <c r="BO39">
        <f>ROUND($E9*'Allocators Calc'!BF39,0)</f>
        <v>0</v>
      </c>
      <c r="BP39">
        <f>ROUND($E9*'Allocators Calc'!BG39,0)</f>
        <v>0</v>
      </c>
      <c r="BQ39">
        <f>ROUND($E9*'Allocators Calc'!BH39,0)</f>
        <v>0</v>
      </c>
      <c r="BR39">
        <f>ROUND($E9*'Allocators Calc'!BI39,0)</f>
        <v>0</v>
      </c>
      <c r="BS39" s="13">
        <f>ROUND($E9*'Allocators Calc'!BJ39,0)</f>
        <v>0</v>
      </c>
      <c r="BT39">
        <f>ROUND($E9*'Allocators Calc'!BK39,0)</f>
        <v>0</v>
      </c>
      <c r="BU39">
        <f>ROUND($E9*'Allocators Calc'!BL39,0)</f>
        <v>0</v>
      </c>
      <c r="BV39">
        <f>ROUND($E9*'Allocators Calc'!BM39,0)</f>
        <v>0</v>
      </c>
      <c r="BW39">
        <f>ROUND($E9*'Allocators Calc'!BN39,0)</f>
        <v>0</v>
      </c>
      <c r="BX39">
        <f>ROUND($E9*'Allocators Calc'!BO39,0)</f>
        <v>0</v>
      </c>
      <c r="BY39" s="13">
        <f>ROUND($E9*'Allocators Calc'!BP39,0)</f>
        <v>0</v>
      </c>
      <c r="BZ39">
        <f>ROUND($E9*'Allocators Calc'!BQ39,0)</f>
        <v>1057</v>
      </c>
      <c r="CA39">
        <f>ROUND($E9*'Allocators Calc'!BR39,0)</f>
        <v>1784</v>
      </c>
      <c r="CB39">
        <f>ROUND($E9*'Allocators Calc'!BS39,0)</f>
        <v>5286</v>
      </c>
      <c r="CC39">
        <f>ROUND($E9*'Allocators Calc'!BT39,0)</f>
        <v>559773</v>
      </c>
      <c r="CD39">
        <f>ROUND($E9*'Allocators Calc'!BU39,0)</f>
        <v>0</v>
      </c>
      <c r="CE39" s="13">
        <f>ROUND($E9*'Allocators Calc'!BV39,0)</f>
        <v>0</v>
      </c>
      <c r="CF39" s="11"/>
      <c r="CG39" s="67">
        <f>ROUND('Allocators Data'!CA39,0)</f>
        <v>0</v>
      </c>
      <c r="CH39">
        <f>ROUND($E9*'Allocators Calc'!BY39,0)+ROUND($E9*'Allocators Calc'!BX39,0)-ROUND('Allocators Data'!CA39,0)</f>
        <v>0</v>
      </c>
      <c r="CI39">
        <f>ROUND($E9*'Allocators Calc'!BZ39,0)</f>
        <v>0</v>
      </c>
      <c r="CJ39">
        <f>ROUND($E9*'Allocators Calc'!CA39,0)</f>
        <v>0</v>
      </c>
      <c r="CK39">
        <f>ROUND($E9*'Allocators Calc'!CB39,0)</f>
        <v>0</v>
      </c>
      <c r="CL39">
        <f>ROUND($E9*'Allocators Calc'!CC39,0)</f>
        <v>0</v>
      </c>
      <c r="CM39">
        <f>ROUND($E9*'Allocators Calc'!CD39,0)</f>
        <v>0</v>
      </c>
      <c r="CN39">
        <f>ROUND($E9*'Allocators Calc'!CE39,0)</f>
        <v>0</v>
      </c>
      <c r="CO39" s="67">
        <f>ROUND('Allocators Data'!CI39,0)</f>
        <v>0</v>
      </c>
      <c r="CP39">
        <f>ROUND($E9*'Allocators Calc'!CG39,0)+ROUND($E9*'Allocators Calc'!CF39,0)-ROUND('Allocators Data'!CI39,0)</f>
        <v>0</v>
      </c>
      <c r="CQ39" s="11"/>
      <c r="CR39">
        <f>ROUND($E9*'Allocators Calc'!CI39,0)</f>
        <v>0</v>
      </c>
      <c r="CS39">
        <f>ROUND($E9*'Allocators Calc'!CJ39,0)</f>
        <v>0</v>
      </c>
      <c r="CT39" s="13">
        <f>ROUND($E9*'Allocators Calc'!CK39,0)</f>
        <v>0</v>
      </c>
      <c r="CU39">
        <f>ROUND($E9*'Allocators Calc'!CL39,0)</f>
        <v>0</v>
      </c>
      <c r="CV39">
        <f>ROUND($E9*'Allocators Calc'!CM39,0)</f>
        <v>0</v>
      </c>
      <c r="CW39" s="13">
        <f>ROUND($E9*'Allocators Calc'!CN39,0)</f>
        <v>0</v>
      </c>
      <c r="CX39" s="11"/>
      <c r="CY39">
        <f>ROUND($E9*'Allocators Calc'!CP39,0)</f>
        <v>196936</v>
      </c>
      <c r="CZ39">
        <f>ROUND($E9*'Allocators Calc'!CQ39,0)</f>
        <v>1571784</v>
      </c>
      <c r="DA39" s="22"/>
      <c r="DB39">
        <f>ROUND($E9*'Allocators Calc'!CS39,0)</f>
        <v>0</v>
      </c>
      <c r="DC39">
        <f>ROUND($E9*'Allocators Calc'!CT39,0)</f>
        <v>0</v>
      </c>
      <c r="DD39">
        <f>ROUND($E9*'Allocators Calc'!CU39,0)</f>
        <v>0</v>
      </c>
      <c r="DE39">
        <f>ROUND($E9*'Allocators Calc'!CV39,0)</f>
        <v>0</v>
      </c>
      <c r="DF39">
        <f>ROUND($E9*'Allocators Calc'!CW39,0)</f>
        <v>0</v>
      </c>
      <c r="DG39">
        <f>ROUND($E9*'Allocators Calc'!CX39,0)</f>
        <v>0</v>
      </c>
      <c r="DH39">
        <f>ROUND($E9*'Allocators Calc'!CY39,0)</f>
        <v>0</v>
      </c>
      <c r="DI39">
        <f>ROUND($E9*'Allocators Calc'!CZ39,0)</f>
        <v>0</v>
      </c>
      <c r="DJ39">
        <f>ROUND($E9*'Allocators Calc'!DA39,0)</f>
        <v>0</v>
      </c>
      <c r="DK39" s="22"/>
      <c r="DL39" s="3">
        <f t="shared" si="19"/>
        <v>739550622</v>
      </c>
      <c r="DM39" s="3">
        <f t="shared" si="20"/>
        <v>739550621.86699998</v>
      </c>
      <c r="DN39" s="3">
        <f t="shared" si="2"/>
        <v>0.13300001621246338</v>
      </c>
    </row>
    <row r="40" spans="11:119" x14ac:dyDescent="0.2">
      <c r="K40" t="s">
        <v>239</v>
      </c>
      <c r="L40">
        <f>ROUND($E10*'Allocators Calc'!C40,0)</f>
        <v>131737</v>
      </c>
      <c r="M40">
        <f>ROUND($E10*'Allocators Calc'!D40,0)</f>
        <v>197192</v>
      </c>
      <c r="N40">
        <f>ROUND($E10*'Allocators Calc'!E40,0)</f>
        <v>229658</v>
      </c>
      <c r="O40">
        <f>ROUND($E10*'Allocators Calc'!F40,0)</f>
        <v>402875</v>
      </c>
      <c r="P40" s="15">
        <f>ROUND($E10*'Allocators Calc'!G40,0)</f>
        <v>2668</v>
      </c>
      <c r="Q40">
        <f>ROUND($E10*'Allocators Calc'!H40,0)</f>
        <v>0</v>
      </c>
      <c r="R40">
        <f>ROUND($E10*'Allocators Calc'!I40,0)</f>
        <v>0</v>
      </c>
      <c r="S40">
        <f>ROUND($E10*'Allocators Calc'!J40,0)</f>
        <v>0</v>
      </c>
      <c r="T40" s="13">
        <f>ROUND($E10*'Allocators Calc'!K40,0)</f>
        <v>0</v>
      </c>
      <c r="U40">
        <f>ROUND($E10*'Allocators Calc'!L40,0)</f>
        <v>0</v>
      </c>
      <c r="V40">
        <f>ROUND($E10*'Allocators Calc'!M40,0)</f>
        <v>0</v>
      </c>
      <c r="W40">
        <f>ROUND($E10*'Allocators Calc'!N40,0)</f>
        <v>0</v>
      </c>
      <c r="X40" s="13">
        <f>ROUND($E10*'Allocators Calc'!O40,0)</f>
        <v>0</v>
      </c>
      <c r="Y40">
        <f>ROUND($E10*'Allocators Calc'!P40,0)</f>
        <v>0</v>
      </c>
      <c r="Z40">
        <f>ROUND($E10*'Allocators Calc'!Q40,0)</f>
        <v>0</v>
      </c>
      <c r="AA40">
        <f>ROUND($E10*'Allocators Calc'!R40,0)</f>
        <v>0</v>
      </c>
      <c r="AB40" s="13">
        <f>ROUND($E10*'Allocators Calc'!S40,0)</f>
        <v>0</v>
      </c>
      <c r="AC40">
        <f>ROUND($E10*'Allocators Calc'!T40,0)</f>
        <v>0</v>
      </c>
      <c r="AD40">
        <f>ROUND($E10*'Allocators Calc'!U40,0)</f>
        <v>0</v>
      </c>
      <c r="AE40">
        <f>ROUND($E10*'Allocators Calc'!V40,0)</f>
        <v>0</v>
      </c>
      <c r="AF40">
        <f>ROUND($E10*'Allocators Calc'!W40,0)</f>
        <v>0</v>
      </c>
      <c r="AG40" s="11"/>
      <c r="AH40">
        <f>ROUND($E10*'Allocators Calc'!Y40,0)</f>
        <v>116980249</v>
      </c>
      <c r="AI40">
        <f>ROUND($E10*'Allocators Calc'!Z40,0)</f>
        <v>88304541</v>
      </c>
      <c r="AJ40">
        <f>ROUND($E10*'Allocators Calc'!AA40,0)</f>
        <v>10371486</v>
      </c>
      <c r="AK40">
        <f>ROUND($E10*'Allocators Calc'!AB40,0)</f>
        <v>0</v>
      </c>
      <c r="AL40" s="12">
        <f t="shared" si="18"/>
        <v>160720294</v>
      </c>
      <c r="AM40">
        <f>ROUND($E10*'Allocators Calc'!AD40,0)</f>
        <v>103950938</v>
      </c>
      <c r="AN40">
        <f>ROUND($E10*'Allocators Calc'!AE40,0)</f>
        <v>134213031</v>
      </c>
      <c r="AO40" s="11"/>
      <c r="AP40">
        <f>ROUND($E10*'Allocators Calc'!AG40,0)</f>
        <v>649</v>
      </c>
      <c r="AQ40">
        <f>ROUND($E10*'Allocators Calc'!AH40,0)</f>
        <v>1354</v>
      </c>
      <c r="AR40">
        <f>ROUND($E10*'Allocators Calc'!AI40,0)</f>
        <v>2712</v>
      </c>
      <c r="AS40">
        <f>ROUND($E10*'Allocators Calc'!AJ40,0)</f>
        <v>740434</v>
      </c>
      <c r="AT40">
        <f>ROUND($E10*'Allocators Calc'!AK40,0)</f>
        <v>300926</v>
      </c>
      <c r="AU40" s="13">
        <f>ROUND($E10*'Allocators Calc'!AL40,0)</f>
        <v>305363</v>
      </c>
      <c r="AV40">
        <f>ROUND($E10*'Allocators Calc'!AM40,0)</f>
        <v>7053</v>
      </c>
      <c r="AW40">
        <f>ROUND($E10*'Allocators Calc'!AN40,0)</f>
        <v>16457</v>
      </c>
      <c r="AX40">
        <f>ROUND($E10*'Allocators Calc'!AO40,0)</f>
        <v>35265</v>
      </c>
      <c r="AY40">
        <f>ROUND($E10*'Allocators Calc'!AP40,0)</f>
        <v>16965009</v>
      </c>
      <c r="AZ40">
        <f>ROUND($E10*'Allocators Calc'!AQ40,0)</f>
        <v>2753210</v>
      </c>
      <c r="BA40" s="13">
        <f>ROUND($E10*'Allocators Calc'!AR40,0)</f>
        <v>1295860</v>
      </c>
      <c r="BB40">
        <f>ROUND($E10*'Allocators Calc'!AS40,0)</f>
        <v>51709</v>
      </c>
      <c r="BC40">
        <f>ROUND($E10*'Allocators Calc'!AT40,0)</f>
        <v>118222</v>
      </c>
      <c r="BD40">
        <f>ROUND($E10*'Allocators Calc'!AU40,0)</f>
        <v>236714</v>
      </c>
      <c r="BE40">
        <f>ROUND($E10*'Allocators Calc'!AV40,0)</f>
        <v>26614860</v>
      </c>
      <c r="BF40">
        <f>ROUND($E10*'Allocators Calc'!AW40,0)</f>
        <v>24393788</v>
      </c>
      <c r="BG40" s="13">
        <f>ROUND($E10*'Allocators Calc'!AX40,0)</f>
        <v>2140543</v>
      </c>
      <c r="BH40">
        <f>ROUND($E10*'Allocators Calc'!AY40,0)</f>
        <v>2354196</v>
      </c>
      <c r="BI40">
        <f>ROUND($E10*'Allocators Calc'!AZ40,0)</f>
        <v>4648011</v>
      </c>
      <c r="BJ40">
        <f>ROUND($E10*'Allocators Calc'!BA40,0)</f>
        <v>7050805</v>
      </c>
      <c r="BK40">
        <f>ROUND($E10*'Allocators Calc'!BB40,0)</f>
        <v>44454361</v>
      </c>
      <c r="BL40">
        <f>ROUND($E10*'Allocators Calc'!BC40,0)</f>
        <v>24512286</v>
      </c>
      <c r="BM40" s="13">
        <f>ROUND($E10*'Allocators Calc'!BD40,0)</f>
        <v>17961951</v>
      </c>
      <c r="BN40">
        <f>ROUND($E10*'Allocators Calc'!BE40,0)</f>
        <v>0</v>
      </c>
      <c r="BO40">
        <f>ROUND($E10*'Allocators Calc'!BF40,0)</f>
        <v>0</v>
      </c>
      <c r="BP40">
        <f>ROUND($E10*'Allocators Calc'!BG40,0)</f>
        <v>0</v>
      </c>
      <c r="BQ40">
        <f>ROUND($E10*'Allocators Calc'!BH40,0)</f>
        <v>0</v>
      </c>
      <c r="BR40">
        <f>ROUND($E10*'Allocators Calc'!BI40,0)</f>
        <v>0</v>
      </c>
      <c r="BS40" s="13">
        <f>ROUND($E10*'Allocators Calc'!BJ40,0)</f>
        <v>0</v>
      </c>
      <c r="BT40">
        <f>ROUND($E10*'Allocators Calc'!BK40,0)</f>
        <v>0</v>
      </c>
      <c r="BU40">
        <f>ROUND($E10*'Allocators Calc'!BL40,0)</f>
        <v>0</v>
      </c>
      <c r="BV40">
        <f>ROUND($E10*'Allocators Calc'!BM40,0)</f>
        <v>0</v>
      </c>
      <c r="BW40">
        <f>ROUND($E10*'Allocators Calc'!BN40,0)</f>
        <v>0</v>
      </c>
      <c r="BX40">
        <f>ROUND($E10*'Allocators Calc'!BO40,0)</f>
        <v>0</v>
      </c>
      <c r="BY40" s="13">
        <f>ROUND($E10*'Allocators Calc'!BP40,0)</f>
        <v>0</v>
      </c>
      <c r="BZ40">
        <f>ROUND($E10*'Allocators Calc'!BQ40,0)</f>
        <v>349</v>
      </c>
      <c r="CA40">
        <f>ROUND($E10*'Allocators Calc'!BR40,0)</f>
        <v>71</v>
      </c>
      <c r="CB40">
        <f>ROUND($E10*'Allocators Calc'!BS40,0)</f>
        <v>0</v>
      </c>
      <c r="CC40">
        <f>ROUND($E10*'Allocators Calc'!BT40,0)</f>
        <v>420</v>
      </c>
      <c r="CD40">
        <f>ROUND($E10*'Allocators Calc'!BU40,0)</f>
        <v>0</v>
      </c>
      <c r="CE40" s="13">
        <f>ROUND($E10*'Allocators Calc'!BV40,0)</f>
        <v>0</v>
      </c>
      <c r="CF40" s="11"/>
      <c r="CG40" s="67">
        <f>ROUND('Allocators Data'!CA40,0)</f>
        <v>0</v>
      </c>
      <c r="CH40">
        <f>ROUND($E10*'Allocators Calc'!BY40,0)+ROUND($E10*'Allocators Calc'!BX40,0)-ROUND('Allocators Data'!CA40,0)</f>
        <v>0</v>
      </c>
      <c r="CI40">
        <f>ROUND($E10*'Allocators Calc'!BZ40,0)</f>
        <v>0</v>
      </c>
      <c r="CJ40">
        <f>ROUND($E10*'Allocators Calc'!CA40,0)</f>
        <v>0</v>
      </c>
      <c r="CK40">
        <f>ROUND($E10*'Allocators Calc'!CB40,0)</f>
        <v>0</v>
      </c>
      <c r="CL40">
        <f>ROUND($E10*'Allocators Calc'!CC40,0)</f>
        <v>0</v>
      </c>
      <c r="CM40">
        <f>ROUND($E10*'Allocators Calc'!CD40,0)</f>
        <v>0</v>
      </c>
      <c r="CN40">
        <f>ROUND($E10*'Allocators Calc'!CE40,0)</f>
        <v>0</v>
      </c>
      <c r="CO40" s="67">
        <f>ROUND('Allocators Data'!CI40,0)</f>
        <v>0</v>
      </c>
      <c r="CP40">
        <f>ROUND($E10*'Allocators Calc'!CG40,0)+ROUND($E10*'Allocators Calc'!CF40,0)-ROUND('Allocators Data'!CI40,0)</f>
        <v>0</v>
      </c>
      <c r="CQ40" s="11"/>
      <c r="CR40">
        <f>ROUND($E10*'Allocators Calc'!CI40,0)</f>
        <v>0</v>
      </c>
      <c r="CS40">
        <f>ROUND($E10*'Allocators Calc'!CJ40,0)</f>
        <v>0</v>
      </c>
      <c r="CT40" s="13">
        <f>ROUND($E10*'Allocators Calc'!CK40,0)</f>
        <v>0</v>
      </c>
      <c r="CU40">
        <f>ROUND($E10*'Allocators Calc'!CL40,0)</f>
        <v>0</v>
      </c>
      <c r="CV40">
        <f>ROUND($E10*'Allocators Calc'!CM40,0)</f>
        <v>0</v>
      </c>
      <c r="CW40" s="13">
        <f>ROUND($E10*'Allocators Calc'!CN40,0)</f>
        <v>0</v>
      </c>
      <c r="CX40" s="11"/>
      <c r="CY40">
        <f>ROUND($E10*'Allocators Calc'!CP40,0)</f>
        <v>165606</v>
      </c>
      <c r="CZ40">
        <f>ROUND($E10*'Allocators Calc'!CQ40,0)</f>
        <v>1321732</v>
      </c>
      <c r="DA40" s="22"/>
      <c r="DB40">
        <f>ROUND($E10*'Allocators Calc'!CS40,0)</f>
        <v>0</v>
      </c>
      <c r="DC40">
        <f>ROUND($E10*'Allocators Calc'!CT40,0)</f>
        <v>0</v>
      </c>
      <c r="DD40">
        <f>ROUND($E10*'Allocators Calc'!CU40,0)</f>
        <v>0</v>
      </c>
      <c r="DE40">
        <f>ROUND($E10*'Allocators Calc'!CV40,0)</f>
        <v>0</v>
      </c>
      <c r="DF40">
        <f>ROUND($E10*'Allocators Calc'!CW40,0)</f>
        <v>0</v>
      </c>
      <c r="DG40">
        <f>ROUND($E10*'Allocators Calc'!CX40,0)</f>
        <v>0</v>
      </c>
      <c r="DH40">
        <f>ROUND($E10*'Allocators Calc'!CY40,0)</f>
        <v>0</v>
      </c>
      <c r="DI40">
        <f>ROUND($E10*'Allocators Calc'!CZ40,0)</f>
        <v>0</v>
      </c>
      <c r="DJ40">
        <f>ROUND($E10*'Allocators Calc'!DA40,0)</f>
        <v>0</v>
      </c>
      <c r="DK40" s="22"/>
      <c r="DL40" s="3">
        <f t="shared" si="19"/>
        <v>793954585</v>
      </c>
      <c r="DM40" s="3">
        <f t="shared" si="20"/>
        <v>793954584.79999995</v>
      </c>
      <c r="DN40" s="3">
        <f t="shared" si="2"/>
        <v>0.20000004768371582</v>
      </c>
    </row>
    <row r="41" spans="11:119" x14ac:dyDescent="0.2">
      <c r="K41" t="s">
        <v>240</v>
      </c>
      <c r="L41">
        <f>ROUND($E11*'Allocators Calc'!C41,0)</f>
        <v>42257</v>
      </c>
      <c r="M41">
        <f>ROUND($E11*'Allocators Calc'!D41,0)</f>
        <v>61308</v>
      </c>
      <c r="N41">
        <f>ROUND($E11*'Allocators Calc'!E41,0)</f>
        <v>68489</v>
      </c>
      <c r="O41">
        <f>ROUND($E11*'Allocators Calc'!F41,0)</f>
        <v>109613</v>
      </c>
      <c r="P41" s="15">
        <f>ROUND($E11*'Allocators Calc'!G41,0)</f>
        <v>4027</v>
      </c>
      <c r="Q41">
        <f>ROUND($E11*'Allocators Calc'!H41,0)</f>
        <v>0</v>
      </c>
      <c r="R41">
        <f>ROUND($E11*'Allocators Calc'!I41,0)</f>
        <v>0</v>
      </c>
      <c r="S41">
        <f>ROUND($E11*'Allocators Calc'!J41,0)</f>
        <v>0</v>
      </c>
      <c r="T41" s="13">
        <f>ROUND($E11*'Allocators Calc'!K41,0)</f>
        <v>0</v>
      </c>
      <c r="U41">
        <f>ROUND($E11*'Allocators Calc'!L41,0)</f>
        <v>0</v>
      </c>
      <c r="V41">
        <f>ROUND($E11*'Allocators Calc'!M41,0)</f>
        <v>0</v>
      </c>
      <c r="W41">
        <f>ROUND($E11*'Allocators Calc'!N41,0)</f>
        <v>0</v>
      </c>
      <c r="X41" s="13">
        <f>ROUND($E11*'Allocators Calc'!O41,0)</f>
        <v>0</v>
      </c>
      <c r="Y41">
        <f>ROUND($E11*'Allocators Calc'!P41,0)</f>
        <v>0</v>
      </c>
      <c r="Z41">
        <f>ROUND($E11*'Allocators Calc'!Q41,0)</f>
        <v>0</v>
      </c>
      <c r="AA41">
        <f>ROUND($E11*'Allocators Calc'!R41,0)</f>
        <v>0</v>
      </c>
      <c r="AB41" s="13">
        <f>ROUND($E11*'Allocators Calc'!S41,0)</f>
        <v>0</v>
      </c>
      <c r="AC41">
        <f>ROUND($E11*'Allocators Calc'!T41,0)</f>
        <v>0</v>
      </c>
      <c r="AD41">
        <f>ROUND($E11*'Allocators Calc'!U41,0)</f>
        <v>0</v>
      </c>
      <c r="AE41">
        <f>ROUND($E11*'Allocators Calc'!V41,0)</f>
        <v>0</v>
      </c>
      <c r="AF41">
        <f>ROUND($E11*'Allocators Calc'!W41,0)</f>
        <v>0</v>
      </c>
      <c r="AG41" s="11"/>
      <c r="AH41">
        <f>ROUND($E11*'Allocators Calc'!Y41,0)</f>
        <v>142867782</v>
      </c>
      <c r="AI41">
        <f>ROUND($E11*'Allocators Calc'!Z41,0)</f>
        <v>112207413</v>
      </c>
      <c r="AJ41">
        <f>ROUND($E11*'Allocators Calc'!AA41,0)</f>
        <v>10627614</v>
      </c>
      <c r="AK41">
        <f>ROUND($E11*'Allocators Calc'!AB41,0)</f>
        <v>0</v>
      </c>
      <c r="AL41" s="12">
        <f t="shared" si="18"/>
        <v>204816776</v>
      </c>
      <c r="AM41">
        <f>ROUND($E11*'Allocators Calc'!AD41,0)</f>
        <v>116655177</v>
      </c>
      <c r="AN41">
        <f>ROUND($E11*'Allocators Calc'!AE41,0)</f>
        <v>155514137</v>
      </c>
      <c r="AO41" s="11"/>
      <c r="AP41">
        <f>ROUND($E11*'Allocators Calc'!AG41,0)</f>
        <v>6651</v>
      </c>
      <c r="AQ41">
        <f>ROUND($E11*'Allocators Calc'!AH41,0)</f>
        <v>13878</v>
      </c>
      <c r="AR41">
        <f>ROUND($E11*'Allocators Calc'!AI41,0)</f>
        <v>27805</v>
      </c>
      <c r="AS41">
        <f>ROUND($E11*'Allocators Calc'!AJ41,0)</f>
        <v>7591633</v>
      </c>
      <c r="AT41">
        <f>ROUND($E11*'Allocators Calc'!AK41,0)</f>
        <v>3085381</v>
      </c>
      <c r="AU41" s="13">
        <f>ROUND($E11*'Allocators Calc'!AL41,0)</f>
        <v>3130875</v>
      </c>
      <c r="AV41">
        <f>ROUND($E11*'Allocators Calc'!AM41,0)</f>
        <v>8454</v>
      </c>
      <c r="AW41">
        <f>ROUND($E11*'Allocators Calc'!AN41,0)</f>
        <v>19725</v>
      </c>
      <c r="AX41">
        <f>ROUND($E11*'Allocators Calc'!AO41,0)</f>
        <v>42268</v>
      </c>
      <c r="AY41">
        <f>ROUND($E11*'Allocators Calc'!AP41,0)</f>
        <v>20333511</v>
      </c>
      <c r="AZ41">
        <f>ROUND($E11*'Allocators Calc'!AQ41,0)</f>
        <v>3299877</v>
      </c>
      <c r="BA41" s="13">
        <f>ROUND($E11*'Allocators Calc'!AR41,0)</f>
        <v>1553161</v>
      </c>
      <c r="BB41">
        <f>ROUND($E11*'Allocators Calc'!AS41,0)</f>
        <v>55945</v>
      </c>
      <c r="BC41">
        <f>ROUND($E11*'Allocators Calc'!AT41,0)</f>
        <v>127906</v>
      </c>
      <c r="BD41">
        <f>ROUND($E11*'Allocators Calc'!AU41,0)</f>
        <v>256103</v>
      </c>
      <c r="BE41">
        <f>ROUND($E11*'Allocators Calc'!AV41,0)</f>
        <v>28794941</v>
      </c>
      <c r="BF41">
        <f>ROUND($E11*'Allocators Calc'!AW41,0)</f>
        <v>26391935</v>
      </c>
      <c r="BG41" s="13">
        <f>ROUND($E11*'Allocators Calc'!AX41,0)</f>
        <v>2315879</v>
      </c>
      <c r="BH41">
        <f>ROUND($E11*'Allocators Calc'!AY41,0)</f>
        <v>2546998</v>
      </c>
      <c r="BI41">
        <f>ROUND($E11*'Allocators Calc'!AZ41,0)</f>
        <v>5028671</v>
      </c>
      <c r="BJ41">
        <f>ROUND($E11*'Allocators Calc'!BA41,0)</f>
        <v>7628247</v>
      </c>
      <c r="BK41">
        <f>ROUND($E11*'Allocators Calc'!BB41,0)</f>
        <v>48095051</v>
      </c>
      <c r="BL41">
        <f>ROUND($E11*'Allocators Calc'!BC41,0)</f>
        <v>26519775</v>
      </c>
      <c r="BM41" s="13">
        <f>ROUND($E11*'Allocators Calc'!BD41,0)</f>
        <v>19432985</v>
      </c>
      <c r="BN41">
        <f>ROUND($E11*'Allocators Calc'!BE41,0)</f>
        <v>0</v>
      </c>
      <c r="BO41">
        <f>ROUND($E11*'Allocators Calc'!BF41,0)</f>
        <v>0</v>
      </c>
      <c r="BP41">
        <f>ROUND($E11*'Allocators Calc'!BG41,0)</f>
        <v>0</v>
      </c>
      <c r="BQ41">
        <f>ROUND($E11*'Allocators Calc'!BH41,0)</f>
        <v>0</v>
      </c>
      <c r="BR41">
        <f>ROUND($E11*'Allocators Calc'!BI41,0)</f>
        <v>0</v>
      </c>
      <c r="BS41" s="13">
        <f>ROUND($E11*'Allocators Calc'!BJ41,0)</f>
        <v>0</v>
      </c>
      <c r="BT41">
        <f>ROUND($E11*'Allocators Calc'!BK41,0)</f>
        <v>0</v>
      </c>
      <c r="BU41">
        <f>ROUND($E11*'Allocators Calc'!BL41,0)</f>
        <v>0</v>
      </c>
      <c r="BV41">
        <f>ROUND($E11*'Allocators Calc'!BM41,0)</f>
        <v>0</v>
      </c>
      <c r="BW41">
        <f>ROUND($E11*'Allocators Calc'!BN41,0)</f>
        <v>0</v>
      </c>
      <c r="BX41">
        <f>ROUND($E11*'Allocators Calc'!BO41,0)</f>
        <v>0</v>
      </c>
      <c r="BY41" s="13">
        <f>ROUND($E11*'Allocators Calc'!BP41,0)</f>
        <v>0</v>
      </c>
      <c r="BZ41">
        <f>ROUND($E11*'Allocators Calc'!BQ41,0)</f>
        <v>800</v>
      </c>
      <c r="CA41">
        <f>ROUND($E11*'Allocators Calc'!BR41,0)</f>
        <v>1866</v>
      </c>
      <c r="CB41">
        <f>ROUND($E11*'Allocators Calc'!BS41,0)</f>
        <v>3998</v>
      </c>
      <c r="CC41">
        <f>ROUND($E11*'Allocators Calc'!BT41,0)</f>
        <v>537360</v>
      </c>
      <c r="CD41">
        <f>ROUND($E11*'Allocators Calc'!BU41,0)</f>
        <v>0</v>
      </c>
      <c r="CE41" s="13">
        <f>ROUND($E11*'Allocators Calc'!BV41,0)</f>
        <v>0</v>
      </c>
      <c r="CF41" s="11"/>
      <c r="CG41" s="67">
        <f>ROUND('Allocators Data'!CA41,0)</f>
        <v>0</v>
      </c>
      <c r="CH41">
        <f>ROUND($E11*'Allocators Calc'!BY41,0)+ROUND($E11*'Allocators Calc'!BX41,0)-ROUND('Allocators Data'!CA41,0)</f>
        <v>0</v>
      </c>
      <c r="CI41">
        <f>ROUND($E11*'Allocators Calc'!BZ41,0)</f>
        <v>0</v>
      </c>
      <c r="CJ41">
        <f>ROUND($E11*'Allocators Calc'!CA41,0)</f>
        <v>0</v>
      </c>
      <c r="CK41">
        <f>ROUND($E11*'Allocators Calc'!CB41,0)</f>
        <v>0</v>
      </c>
      <c r="CL41">
        <f>ROUND($E11*'Allocators Calc'!CC41,0)</f>
        <v>0</v>
      </c>
      <c r="CM41">
        <f>ROUND($E11*'Allocators Calc'!CD41,0)</f>
        <v>0</v>
      </c>
      <c r="CN41">
        <f>ROUND($E11*'Allocators Calc'!CE41,0)</f>
        <v>0</v>
      </c>
      <c r="CO41" s="67">
        <f>ROUND('Allocators Data'!CI41,0)</f>
        <v>0</v>
      </c>
      <c r="CP41">
        <f>ROUND($E11*'Allocators Calc'!CG41,0)+ROUND($E11*'Allocators Calc'!CF41,0)-ROUND('Allocators Data'!CI41,0)</f>
        <v>0</v>
      </c>
      <c r="CQ41" s="11"/>
      <c r="CR41">
        <f>ROUND($E11*'Allocators Calc'!CI41,0)</f>
        <v>0</v>
      </c>
      <c r="CS41">
        <f>ROUND($E11*'Allocators Calc'!CJ41,0)</f>
        <v>0</v>
      </c>
      <c r="CT41" s="13">
        <f>ROUND($E11*'Allocators Calc'!CK41,0)</f>
        <v>0</v>
      </c>
      <c r="CU41">
        <f>ROUND($E11*'Allocators Calc'!CL41,0)</f>
        <v>0</v>
      </c>
      <c r="CV41">
        <f>ROUND($E11*'Allocators Calc'!CM41,0)</f>
        <v>0</v>
      </c>
      <c r="CW41" s="13">
        <f>ROUND($E11*'Allocators Calc'!CN41,0)</f>
        <v>0</v>
      </c>
      <c r="CX41" s="11"/>
      <c r="CY41">
        <f>ROUND($E11*'Allocators Calc'!CP41,0)</f>
        <v>222001</v>
      </c>
      <c r="CZ41">
        <f>ROUND($E11*'Allocators Calc'!CQ41,0)</f>
        <v>1771832</v>
      </c>
      <c r="DA41" s="22"/>
      <c r="DB41">
        <f>ROUND($E11*'Allocators Calc'!CS41,0)</f>
        <v>0</v>
      </c>
      <c r="DC41">
        <f>ROUND($E11*'Allocators Calc'!CT41,0)</f>
        <v>0</v>
      </c>
      <c r="DD41">
        <f>ROUND($E11*'Allocators Calc'!CU41,0)</f>
        <v>0</v>
      </c>
      <c r="DE41">
        <f>ROUND($E11*'Allocators Calc'!CV41,0)</f>
        <v>0</v>
      </c>
      <c r="DF41">
        <f>ROUND($E11*'Allocators Calc'!CW41,0)</f>
        <v>0</v>
      </c>
      <c r="DG41">
        <f>ROUND($E11*'Allocators Calc'!CX41,0)</f>
        <v>0</v>
      </c>
      <c r="DH41">
        <f>ROUND($E11*'Allocators Calc'!CY41,0)</f>
        <v>0</v>
      </c>
      <c r="DI41">
        <f>ROUND($E11*'Allocators Calc'!CZ41,0)</f>
        <v>0</v>
      </c>
      <c r="DJ41">
        <f>ROUND($E11*'Allocators Calc'!DA41,0)</f>
        <v>0</v>
      </c>
      <c r="DK41" s="22"/>
      <c r="DL41" s="3">
        <f t="shared" si="19"/>
        <v>951820105</v>
      </c>
      <c r="DM41" s="3">
        <f t="shared" si="20"/>
        <v>951820104.51999998</v>
      </c>
      <c r="DN41" s="3">
        <f t="shared" si="2"/>
        <v>0.48000001907348633</v>
      </c>
    </row>
    <row r="42" spans="11:119" x14ac:dyDescent="0.2">
      <c r="K42" t="s">
        <v>241</v>
      </c>
      <c r="L42">
        <f>ROUND($E12*'Allocators Calc'!C42,0)</f>
        <v>38465</v>
      </c>
      <c r="M42">
        <f>ROUND($E12*'Allocators Calc'!D42,0)</f>
        <v>49188</v>
      </c>
      <c r="N42">
        <f>ROUND($E12*'Allocators Calc'!E42,0)</f>
        <v>47701</v>
      </c>
      <c r="O42" s="13">
        <f>ROUND($E12*'Allocators Calc'!F42,0)</f>
        <v>66226</v>
      </c>
      <c r="P42" s="15">
        <f>ROUND($E12*'Allocators Calc'!G42,0)</f>
        <v>2884</v>
      </c>
      <c r="Q42">
        <f>ROUND($E12*'Allocators Calc'!H42,0)</f>
        <v>0</v>
      </c>
      <c r="R42">
        <f>ROUND($E12*'Allocators Calc'!I42,0)</f>
        <v>0</v>
      </c>
      <c r="S42">
        <f>ROUND($E12*'Allocators Calc'!J42,0)</f>
        <v>0</v>
      </c>
      <c r="T42" s="13">
        <f>ROUND($E12*'Allocators Calc'!K42,0)</f>
        <v>0</v>
      </c>
      <c r="U42">
        <f>ROUND($E12*'Allocators Calc'!L42,0)</f>
        <v>0</v>
      </c>
      <c r="V42">
        <f>ROUND($E12*'Allocators Calc'!M42,0)</f>
        <v>0</v>
      </c>
      <c r="W42">
        <f>ROUND($E12*'Allocators Calc'!N42,0)</f>
        <v>0</v>
      </c>
      <c r="X42" s="13">
        <f>ROUND($E12*'Allocators Calc'!O42,0)</f>
        <v>0</v>
      </c>
      <c r="Y42">
        <f>ROUND($E12*'Allocators Calc'!P42,0)</f>
        <v>0</v>
      </c>
      <c r="Z42">
        <f>ROUND($E12*'Allocators Calc'!Q42,0)</f>
        <v>0</v>
      </c>
      <c r="AA42">
        <f>ROUND($E12*'Allocators Calc'!R42,0)</f>
        <v>0</v>
      </c>
      <c r="AB42" s="13">
        <f>ROUND($E12*'Allocators Calc'!S42,0)</f>
        <v>0</v>
      </c>
      <c r="AC42">
        <f>ROUND($E12*'Allocators Calc'!T42,0)</f>
        <v>0</v>
      </c>
      <c r="AD42">
        <f>ROUND($E12*'Allocators Calc'!U42,0)</f>
        <v>0</v>
      </c>
      <c r="AE42">
        <f>ROUND($E12*'Allocators Calc'!V42,0)</f>
        <v>0</v>
      </c>
      <c r="AF42">
        <f>ROUND($E12*'Allocators Calc'!W42,0)</f>
        <v>0</v>
      </c>
      <c r="AG42" s="11"/>
      <c r="AH42">
        <f>ROUND($E12*'Allocators Calc'!Y42,0)</f>
        <v>119601318</v>
      </c>
      <c r="AI42">
        <f>ROUND($E12*'Allocators Calc'!Z42,0)</f>
        <v>85731133</v>
      </c>
      <c r="AJ42">
        <f>ROUND($E12*'Allocators Calc'!AA42,0)</f>
        <v>9496517</v>
      </c>
      <c r="AK42">
        <f>ROUND($E12*'Allocators Calc'!AB42,0)</f>
        <v>0</v>
      </c>
      <c r="AL42" s="12">
        <f t="shared" si="18"/>
        <v>160488225</v>
      </c>
      <c r="AM42">
        <f>ROUND($E12*'Allocators Calc'!AD42,0)</f>
        <v>95093157</v>
      </c>
      <c r="AN42">
        <f>ROUND($E12*'Allocators Calc'!AE42,0)</f>
        <v>121907985</v>
      </c>
      <c r="AO42" s="11"/>
      <c r="AP42">
        <f>ROUND($E12*'Allocators Calc'!AG42,0)</f>
        <v>6247</v>
      </c>
      <c r="AQ42">
        <f>ROUND($E12*'Allocators Calc'!AH42,0)</f>
        <v>13035</v>
      </c>
      <c r="AR42">
        <f>ROUND($E12*'Allocators Calc'!AI42,0)</f>
        <v>26116</v>
      </c>
      <c r="AS42">
        <f>ROUND($E12*'Allocators Calc'!AJ42,0)</f>
        <v>7130610</v>
      </c>
      <c r="AT42">
        <f>ROUND($E12*'Allocators Calc'!AK42,0)</f>
        <v>2898013</v>
      </c>
      <c r="AU42" s="13">
        <f>ROUND($E12*'Allocators Calc'!AL42,0)</f>
        <v>2940744</v>
      </c>
      <c r="AV42">
        <f>ROUND($E12*'Allocators Calc'!AM42,0)</f>
        <v>7563</v>
      </c>
      <c r="AW42">
        <f>ROUND($E12*'Allocators Calc'!AN42,0)</f>
        <v>17647</v>
      </c>
      <c r="AX42">
        <f>ROUND($E12*'Allocators Calc'!AO42,0)</f>
        <v>37815</v>
      </c>
      <c r="AY42">
        <f>ROUND($E12*'Allocators Calc'!AP42,0)</f>
        <v>18191627</v>
      </c>
      <c r="AZ42">
        <f>ROUND($E12*'Allocators Calc'!AQ42,0)</f>
        <v>2952275</v>
      </c>
      <c r="BA42" s="13">
        <f>ROUND($E12*'Allocators Calc'!AR42,0)</f>
        <v>1389555</v>
      </c>
      <c r="BB42">
        <f>ROUND($E12*'Allocators Calc'!AS42,0)</f>
        <v>46017</v>
      </c>
      <c r="BC42">
        <f>ROUND($E12*'Allocators Calc'!AT42,0)</f>
        <v>105209</v>
      </c>
      <c r="BD42">
        <f>ROUND($E12*'Allocators Calc'!AU42,0)</f>
        <v>210659</v>
      </c>
      <c r="BE42">
        <f>ROUND($E12*'Allocators Calc'!AV42,0)</f>
        <v>23685362</v>
      </c>
      <c r="BF42">
        <f>ROUND($E12*'Allocators Calc'!AW42,0)</f>
        <v>21708763</v>
      </c>
      <c r="BG42" s="13">
        <f>ROUND($E12*'Allocators Calc'!AX42,0)</f>
        <v>1904933</v>
      </c>
      <c r="BH42">
        <f>ROUND($E12*'Allocators Calc'!AY42,0)</f>
        <v>2067229</v>
      </c>
      <c r="BI42">
        <f>ROUND($E12*'Allocators Calc'!AZ42,0)</f>
        <v>4081439</v>
      </c>
      <c r="BJ42">
        <f>ROUND($E12*'Allocators Calc'!BA42,0)</f>
        <v>6191343</v>
      </c>
      <c r="BK42">
        <f>ROUND($E12*'Allocators Calc'!BB42,0)</f>
        <v>39035568</v>
      </c>
      <c r="BL42">
        <f>ROUND($E12*'Allocators Calc'!BC42,0)</f>
        <v>21524345</v>
      </c>
      <c r="BM42" s="13">
        <f>ROUND($E12*'Allocators Calc'!BD42,0)</f>
        <v>15772467</v>
      </c>
      <c r="BN42">
        <f>ROUND($E12*'Allocators Calc'!BE42,0)</f>
        <v>0</v>
      </c>
      <c r="BO42">
        <f>ROUND($E12*'Allocators Calc'!BF42,0)</f>
        <v>0</v>
      </c>
      <c r="BP42">
        <f>ROUND($E12*'Allocators Calc'!BG42,0)</f>
        <v>0</v>
      </c>
      <c r="BQ42">
        <f>ROUND($E12*'Allocators Calc'!BH42,0)</f>
        <v>0</v>
      </c>
      <c r="BR42">
        <f>ROUND($E12*'Allocators Calc'!BI42,0)</f>
        <v>0</v>
      </c>
      <c r="BS42" s="13">
        <f>ROUND($E12*'Allocators Calc'!BJ42,0)</f>
        <v>0</v>
      </c>
      <c r="BT42">
        <f>ROUND($E12*'Allocators Calc'!BK42,0)</f>
        <v>0</v>
      </c>
      <c r="BU42">
        <f>ROUND($E12*'Allocators Calc'!BL42,0)</f>
        <v>0</v>
      </c>
      <c r="BV42">
        <f>ROUND($E12*'Allocators Calc'!BM42,0)</f>
        <v>0</v>
      </c>
      <c r="BW42">
        <f>ROUND($E12*'Allocators Calc'!BN42,0)</f>
        <v>0</v>
      </c>
      <c r="BX42">
        <f>ROUND($E12*'Allocators Calc'!BO42,0)</f>
        <v>0</v>
      </c>
      <c r="BY42" s="13">
        <f>ROUND($E12*'Allocators Calc'!BP42,0)</f>
        <v>0</v>
      </c>
      <c r="BZ42">
        <f>ROUND($E12*'Allocators Calc'!BQ42,0)</f>
        <v>703</v>
      </c>
      <c r="CA42">
        <f>ROUND($E12*'Allocators Calc'!BR42,0)</f>
        <v>1640</v>
      </c>
      <c r="CB42">
        <f>ROUND($E12*'Allocators Calc'!BS42,0)</f>
        <v>3513</v>
      </c>
      <c r="CC42">
        <f>ROUND($E12*'Allocators Calc'!BT42,0)</f>
        <v>410532</v>
      </c>
      <c r="CD42">
        <f>ROUND($E12*'Allocators Calc'!BU42,0)</f>
        <v>0</v>
      </c>
      <c r="CE42" s="13">
        <f>ROUND($E12*'Allocators Calc'!BV42,0)</f>
        <v>0</v>
      </c>
      <c r="CF42" s="11"/>
      <c r="CG42" s="67">
        <f>ROUND('Allocators Data'!CA42,0)</f>
        <v>0</v>
      </c>
      <c r="CH42">
        <f>ROUND($E12*'Allocators Calc'!BY42,0)+ROUND($E12*'Allocators Calc'!BX42,0)-ROUND('Allocators Data'!CA42,0)</f>
        <v>0</v>
      </c>
      <c r="CI42">
        <f>ROUND($E12*'Allocators Calc'!BZ42,0)</f>
        <v>0</v>
      </c>
      <c r="CJ42">
        <f>ROUND($E12*'Allocators Calc'!CA42,0)</f>
        <v>0</v>
      </c>
      <c r="CK42">
        <f>ROUND($E12*'Allocators Calc'!CB42,0)</f>
        <v>0</v>
      </c>
      <c r="CL42">
        <f>ROUND($E12*'Allocators Calc'!CC42,0)</f>
        <v>0</v>
      </c>
      <c r="CM42">
        <f>ROUND($E12*'Allocators Calc'!CD42,0)</f>
        <v>0</v>
      </c>
      <c r="CN42">
        <f>ROUND($E12*'Allocators Calc'!CE42,0)</f>
        <v>0</v>
      </c>
      <c r="CO42" s="67">
        <f>ROUND('Allocators Data'!CI42,0)</f>
        <v>0</v>
      </c>
      <c r="CP42">
        <f>ROUND($E12*'Allocators Calc'!CG42,0)+ROUND($E12*'Allocators Calc'!CF42,0)-ROUND('Allocators Data'!CI42,0)</f>
        <v>0</v>
      </c>
      <c r="CQ42" s="11"/>
      <c r="CR42">
        <f>ROUND($E12*'Allocators Calc'!CI42,0)</f>
        <v>0</v>
      </c>
      <c r="CS42">
        <f>ROUND($E12*'Allocators Calc'!CJ42,0)</f>
        <v>0</v>
      </c>
      <c r="CT42" s="13">
        <f>ROUND($E12*'Allocators Calc'!CK42,0)</f>
        <v>0</v>
      </c>
      <c r="CU42">
        <f>ROUND($E12*'Allocators Calc'!CL42,0)</f>
        <v>0</v>
      </c>
      <c r="CV42">
        <f>ROUND($E12*'Allocators Calc'!CM42,0)</f>
        <v>0</v>
      </c>
      <c r="CW42" s="13">
        <f>ROUND($E12*'Allocators Calc'!CN42,0)</f>
        <v>0</v>
      </c>
      <c r="CX42" s="11"/>
      <c r="CY42">
        <f>ROUND($E12*'Allocators Calc'!CP42,0)</f>
        <v>181699</v>
      </c>
      <c r="CZ42">
        <f>ROUND($E12*'Allocators Calc'!CQ42,0)</f>
        <v>1450175</v>
      </c>
      <c r="DA42" s="11"/>
      <c r="DB42">
        <f>ROUND($E12*'Allocators Calc'!CS42,0)</f>
        <v>0</v>
      </c>
      <c r="DC42">
        <f>ROUND($E12*'Allocators Calc'!CT42,0)</f>
        <v>0</v>
      </c>
      <c r="DD42">
        <f>ROUND($E12*'Allocators Calc'!CU42,0)</f>
        <v>0</v>
      </c>
      <c r="DE42">
        <f>ROUND($E12*'Allocators Calc'!CV42,0)</f>
        <v>0</v>
      </c>
      <c r="DF42">
        <f>ROUND($E12*'Allocators Calc'!CW42,0)</f>
        <v>0</v>
      </c>
      <c r="DG42">
        <f>ROUND($E12*'Allocators Calc'!CX42,0)</f>
        <v>0</v>
      </c>
      <c r="DH42">
        <f>ROUND($E12*'Allocators Calc'!CY42,0)</f>
        <v>0</v>
      </c>
      <c r="DI42">
        <f>ROUND($E12*'Allocators Calc'!CZ42,0)</f>
        <v>0</v>
      </c>
      <c r="DJ42">
        <f>ROUND($E12*'Allocators Calc'!DA42,0)</f>
        <v>0</v>
      </c>
      <c r="DK42" s="11"/>
      <c r="DL42" s="3">
        <f t="shared" si="19"/>
        <v>766515642</v>
      </c>
      <c r="DM42" s="3">
        <f t="shared" si="20"/>
        <v>766515641.83000016</v>
      </c>
      <c r="DN42" s="3">
        <f t="shared" si="2"/>
        <v>0.16999983787536621</v>
      </c>
    </row>
    <row r="43" spans="11:119" x14ac:dyDescent="0.2">
      <c r="K43" t="s">
        <v>242</v>
      </c>
      <c r="L43">
        <f>ROUND($E13*'Allocators Calc'!C43,0)</f>
        <v>35913</v>
      </c>
      <c r="M43">
        <f>ROUND($E13*'Allocators Calc'!D43,0)</f>
        <v>50421</v>
      </c>
      <c r="N43">
        <f>ROUND($E13*'Allocators Calc'!E43,0)</f>
        <v>52704</v>
      </c>
      <c r="O43" s="13">
        <f>ROUND($E13*'Allocators Calc'!F43,0)</f>
        <v>75093</v>
      </c>
      <c r="P43" s="15">
        <f>ROUND($E13*'Allocators Calc'!G43,0)</f>
        <v>2968</v>
      </c>
      <c r="Q43">
        <f>ROUND($E13*'Allocators Calc'!H43,0)</f>
        <v>0</v>
      </c>
      <c r="R43">
        <f>ROUND($E13*'Allocators Calc'!I43,0)</f>
        <v>0</v>
      </c>
      <c r="S43">
        <f>ROUND($E13*'Allocators Calc'!J43,0)</f>
        <v>0</v>
      </c>
      <c r="T43" s="13">
        <f>ROUND($E13*'Allocators Calc'!K43,0)</f>
        <v>0</v>
      </c>
      <c r="U43">
        <f>ROUND($E13*'Allocators Calc'!L43,0)</f>
        <v>0</v>
      </c>
      <c r="V43">
        <f>ROUND($E13*'Allocators Calc'!M43,0)</f>
        <v>0</v>
      </c>
      <c r="W43">
        <f>ROUND($E13*'Allocators Calc'!N43,0)</f>
        <v>0</v>
      </c>
      <c r="X43" s="13">
        <f>ROUND($E13*'Allocators Calc'!O43,0)</f>
        <v>0</v>
      </c>
      <c r="Y43">
        <f>ROUND($E13*'Allocators Calc'!P43,0)</f>
        <v>0</v>
      </c>
      <c r="Z43">
        <f>ROUND($E13*'Allocators Calc'!Q43,0)</f>
        <v>0</v>
      </c>
      <c r="AA43">
        <f>ROUND($E13*'Allocators Calc'!R43,0)</f>
        <v>0</v>
      </c>
      <c r="AB43" s="13">
        <f>ROUND($E13*'Allocators Calc'!S43,0)</f>
        <v>0</v>
      </c>
      <c r="AC43">
        <f>ROUND($E13*'Allocators Calc'!T43,0)</f>
        <v>0</v>
      </c>
      <c r="AD43">
        <f>ROUND($E13*'Allocators Calc'!U43,0)</f>
        <v>0</v>
      </c>
      <c r="AE43">
        <f>ROUND($E13*'Allocators Calc'!V43,0)</f>
        <v>0</v>
      </c>
      <c r="AF43">
        <f>ROUND($E13*'Allocators Calc'!W43,0)</f>
        <v>0</v>
      </c>
      <c r="AG43" s="11"/>
      <c r="AH43">
        <f>ROUND($E13*'Allocators Calc'!Y43,0)</f>
        <v>123079685</v>
      </c>
      <c r="AI43">
        <f>ROUND($E13*'Allocators Calc'!Z43,0)</f>
        <v>89354120</v>
      </c>
      <c r="AJ43">
        <f>ROUND($E13*'Allocators Calc'!AA43,0)</f>
        <v>9436020</v>
      </c>
      <c r="AK43">
        <f>ROUND($E13*'Allocators Calc'!AB43,0)</f>
        <v>0</v>
      </c>
      <c r="AL43" s="12">
        <f t="shared" si="18"/>
        <v>140755305</v>
      </c>
      <c r="AM43">
        <f>ROUND($E13*'Allocators Calc'!AD43,0)</f>
        <v>93318390</v>
      </c>
      <c r="AN43">
        <f>ROUND($E13*'Allocators Calc'!AE43,0)</f>
        <v>119902564</v>
      </c>
      <c r="AO43" s="11"/>
      <c r="AP43">
        <f>ROUND($E13*'Allocators Calc'!AG43,0)</f>
        <v>6241</v>
      </c>
      <c r="AQ43">
        <f>ROUND($E13*'Allocators Calc'!AH43,0)</f>
        <v>13023</v>
      </c>
      <c r="AR43">
        <f>ROUND($E13*'Allocators Calc'!AI43,0)</f>
        <v>26092</v>
      </c>
      <c r="AS43">
        <f>ROUND($E13*'Allocators Calc'!AJ43,0)</f>
        <v>7124070</v>
      </c>
      <c r="AT43">
        <f>ROUND($E13*'Allocators Calc'!AK43,0)</f>
        <v>2895355</v>
      </c>
      <c r="AU43" s="13">
        <f>ROUND($E13*'Allocators Calc'!AL43,0)</f>
        <v>2938047</v>
      </c>
      <c r="AV43">
        <f>ROUND($E13*'Allocators Calc'!AM43,0)</f>
        <v>7140</v>
      </c>
      <c r="AW43">
        <f>ROUND($E13*'Allocators Calc'!AN43,0)</f>
        <v>16660</v>
      </c>
      <c r="AX43">
        <f>ROUND($E13*'Allocators Calc'!AO43,0)</f>
        <v>35701</v>
      </c>
      <c r="AY43">
        <f>ROUND($E13*'Allocators Calc'!AP43,0)</f>
        <v>17174445</v>
      </c>
      <c r="AZ43">
        <f>ROUND($E13*'Allocators Calc'!AQ43,0)</f>
        <v>2787199</v>
      </c>
      <c r="BA43" s="13">
        <f>ROUND($E13*'Allocators Calc'!AR43,0)</f>
        <v>1311858</v>
      </c>
      <c r="BB43">
        <f>ROUND($E13*'Allocators Calc'!AS43,0)</f>
        <v>46066</v>
      </c>
      <c r="BC43">
        <f>ROUND($E13*'Allocators Calc'!AT43,0)</f>
        <v>105320</v>
      </c>
      <c r="BD43">
        <f>ROUND($E13*'Allocators Calc'!AU43,0)</f>
        <v>210880</v>
      </c>
      <c r="BE43">
        <f>ROUND($E13*'Allocators Calc'!AV43,0)</f>
        <v>23710313</v>
      </c>
      <c r="BF43">
        <f>ROUND($E13*'Allocators Calc'!AW43,0)</f>
        <v>21731632</v>
      </c>
      <c r="BG43" s="13">
        <f>ROUND($E13*'Allocators Calc'!AX43,0)</f>
        <v>1906940</v>
      </c>
      <c r="BH43">
        <f>ROUND($E13*'Allocators Calc'!AY43,0)</f>
        <v>2078260</v>
      </c>
      <c r="BI43">
        <f>ROUND($E13*'Allocators Calc'!AZ43,0)</f>
        <v>4103217</v>
      </c>
      <c r="BJ43">
        <f>ROUND($E13*'Allocators Calc'!BA43,0)</f>
        <v>6224379</v>
      </c>
      <c r="BK43">
        <f>ROUND($E13*'Allocators Calc'!BB43,0)</f>
        <v>39243858</v>
      </c>
      <c r="BL43">
        <f>ROUND($E13*'Allocators Calc'!BC43,0)</f>
        <v>21639197</v>
      </c>
      <c r="BM43" s="13">
        <f>ROUND($E13*'Allocators Calc'!BD43,0)</f>
        <v>15856628</v>
      </c>
      <c r="BN43">
        <f>ROUND($E13*'Allocators Calc'!BE43,0)</f>
        <v>0</v>
      </c>
      <c r="BO43">
        <f>ROUND($E13*'Allocators Calc'!BF43,0)</f>
        <v>0</v>
      </c>
      <c r="BP43">
        <f>ROUND($E13*'Allocators Calc'!BG43,0)</f>
        <v>0</v>
      </c>
      <c r="BQ43">
        <f>ROUND($E13*'Allocators Calc'!BH43,0)</f>
        <v>0</v>
      </c>
      <c r="BR43">
        <f>ROUND($E13*'Allocators Calc'!BI43,0)</f>
        <v>0</v>
      </c>
      <c r="BS43" s="13">
        <f>ROUND($E13*'Allocators Calc'!BJ43,0)</f>
        <v>0</v>
      </c>
      <c r="BT43">
        <f>ROUND($E13*'Allocators Calc'!BK43,0)</f>
        <v>0</v>
      </c>
      <c r="BU43">
        <f>ROUND($E13*'Allocators Calc'!BL43,0)</f>
        <v>0</v>
      </c>
      <c r="BV43">
        <f>ROUND($E13*'Allocators Calc'!BM43,0)</f>
        <v>0</v>
      </c>
      <c r="BW43">
        <f>ROUND($E13*'Allocators Calc'!BN43,0)</f>
        <v>0</v>
      </c>
      <c r="BX43">
        <f>ROUND($E13*'Allocators Calc'!BO43,0)</f>
        <v>0</v>
      </c>
      <c r="BY43" s="13">
        <f>ROUND($E13*'Allocators Calc'!BP43,0)</f>
        <v>0</v>
      </c>
      <c r="BZ43">
        <f>ROUND($E13*'Allocators Calc'!BQ43,0)</f>
        <v>713</v>
      </c>
      <c r="CA43">
        <f>ROUND($E13*'Allocators Calc'!BR43,0)</f>
        <v>1663</v>
      </c>
      <c r="CB43">
        <f>ROUND($E13*'Allocators Calc'!BS43,0)</f>
        <v>3564</v>
      </c>
      <c r="CC43">
        <f>ROUND($E13*'Allocators Calc'!BT43,0)</f>
        <v>438359</v>
      </c>
      <c r="CD43">
        <f>ROUND($E13*'Allocators Calc'!BU43,0)</f>
        <v>0</v>
      </c>
      <c r="CE43" s="13">
        <f>ROUND($E13*'Allocators Calc'!BV43,0)</f>
        <v>0</v>
      </c>
      <c r="CF43" s="11"/>
      <c r="CG43" s="67">
        <f>ROUND('Allocators Data'!CA43,0)</f>
        <v>0</v>
      </c>
      <c r="CH43">
        <f>ROUND($E13*'Allocators Calc'!BY43,0)+ROUND($E13*'Allocators Calc'!BX43,0)-ROUND('Allocators Data'!CA43,0)</f>
        <v>0</v>
      </c>
      <c r="CI43">
        <f>ROUND($E13*'Allocators Calc'!BZ43,0)</f>
        <v>0</v>
      </c>
      <c r="CJ43">
        <f>ROUND($E13*'Allocators Calc'!CA43,0)</f>
        <v>0</v>
      </c>
      <c r="CK43">
        <f>ROUND($E13*'Allocators Calc'!CB43,0)</f>
        <v>0</v>
      </c>
      <c r="CL43">
        <f>ROUND($E13*'Allocators Calc'!CC43,0)</f>
        <v>0</v>
      </c>
      <c r="CM43">
        <f>ROUND($E13*'Allocators Calc'!CD43,0)</f>
        <v>0</v>
      </c>
      <c r="CN43">
        <f>ROUND($E13*'Allocators Calc'!CE43,0)</f>
        <v>0</v>
      </c>
      <c r="CO43" s="67">
        <f>ROUND('Allocators Data'!CI43,0)</f>
        <v>0</v>
      </c>
      <c r="CP43">
        <f>ROUND($E13*'Allocators Calc'!CG43,0)+ROUND($E13*'Allocators Calc'!CF43,0)-ROUND('Allocators Data'!CI43,0)</f>
        <v>0</v>
      </c>
      <c r="CQ43" s="11"/>
      <c r="CR43">
        <f>ROUND($E13*'Allocators Calc'!CI43,0)</f>
        <v>0</v>
      </c>
      <c r="CS43">
        <f>ROUND($E13*'Allocators Calc'!CJ43,0)</f>
        <v>0</v>
      </c>
      <c r="CT43" s="13">
        <f>ROUND($E13*'Allocators Calc'!CK43,0)</f>
        <v>0</v>
      </c>
      <c r="CU43">
        <f>ROUND($E13*'Allocators Calc'!CL43,0)</f>
        <v>0</v>
      </c>
      <c r="CV43">
        <f>ROUND($E13*'Allocators Calc'!CM43,0)</f>
        <v>0</v>
      </c>
      <c r="CW43" s="13">
        <f>ROUND($E13*'Allocators Calc'!CN43,0)</f>
        <v>0</v>
      </c>
      <c r="CX43" s="11"/>
      <c r="CY43">
        <f>ROUND($E13*'Allocators Calc'!CP43,0)</f>
        <v>177300</v>
      </c>
      <c r="CZ43">
        <f>ROUND($E13*'Allocators Calc'!CQ43,0)</f>
        <v>1415066</v>
      </c>
      <c r="DA43" s="11"/>
      <c r="DB43">
        <f>ROUND($E13*'Allocators Calc'!CS43,0)</f>
        <v>0</v>
      </c>
      <c r="DC43">
        <f>ROUND($E13*'Allocators Calc'!CT43,0)</f>
        <v>0</v>
      </c>
      <c r="DD43">
        <f>ROUND($E13*'Allocators Calc'!CU43,0)</f>
        <v>0</v>
      </c>
      <c r="DE43">
        <f>ROUND($E13*'Allocators Calc'!CV43,0)</f>
        <v>0</v>
      </c>
      <c r="DF43">
        <f>ROUND($E13*'Allocators Calc'!CW43,0)</f>
        <v>0</v>
      </c>
      <c r="DG43">
        <f>ROUND($E13*'Allocators Calc'!CX43,0)</f>
        <v>0</v>
      </c>
      <c r="DH43">
        <f>ROUND($E13*'Allocators Calc'!CY43,0)</f>
        <v>0</v>
      </c>
      <c r="DI43">
        <f>ROUND($E13*'Allocators Calc'!CZ43,0)</f>
        <v>0</v>
      </c>
      <c r="DJ43">
        <f>ROUND($E13*'Allocators Calc'!DA43,0)</f>
        <v>0</v>
      </c>
      <c r="DK43" s="11"/>
      <c r="DL43" s="3">
        <f t="shared" si="19"/>
        <v>749292369</v>
      </c>
      <c r="DM43" s="3">
        <f t="shared" si="20"/>
        <v>749292369.12699997</v>
      </c>
      <c r="DN43" s="3">
        <f t="shared" si="2"/>
        <v>-0.12699997425079346</v>
      </c>
    </row>
    <row r="44" spans="11:119" x14ac:dyDescent="0.2">
      <c r="K44" t="s">
        <v>243</v>
      </c>
      <c r="L44">
        <f>ROUND($E14*'Allocators Calc'!C44,0)</f>
        <v>39929</v>
      </c>
      <c r="M44">
        <f>ROUND($E14*'Allocators Calc'!D44,0)</f>
        <v>53466</v>
      </c>
      <c r="N44">
        <f>ROUND($E14*'Allocators Calc'!E44,0)</f>
        <v>58462</v>
      </c>
      <c r="O44" s="13">
        <f>ROUND($E14*'Allocators Calc'!F44,0)</f>
        <v>86215</v>
      </c>
      <c r="P44" s="15">
        <f>ROUND($E14*'Allocators Calc'!G44,0)</f>
        <v>3545</v>
      </c>
      <c r="Q44">
        <f>ROUND($E14*'Allocators Calc'!H44,0)</f>
        <v>0</v>
      </c>
      <c r="R44">
        <f>ROUND($E14*'Allocators Calc'!I44,0)</f>
        <v>0</v>
      </c>
      <c r="S44">
        <f>ROUND($E14*'Allocators Calc'!J44,0)</f>
        <v>0</v>
      </c>
      <c r="T44" s="13">
        <f>ROUND($E14*'Allocators Calc'!K44,0)</f>
        <v>0</v>
      </c>
      <c r="U44">
        <f>ROUND($E14*'Allocators Calc'!L44,0)</f>
        <v>0</v>
      </c>
      <c r="V44">
        <f>ROUND($E14*'Allocators Calc'!M44,0)</f>
        <v>0</v>
      </c>
      <c r="W44">
        <f>ROUND($E14*'Allocators Calc'!N44,0)</f>
        <v>0</v>
      </c>
      <c r="X44" s="13">
        <f>ROUND($E14*'Allocators Calc'!O44,0)</f>
        <v>0</v>
      </c>
      <c r="Y44">
        <f>ROUND($E14*'Allocators Calc'!P44,0)</f>
        <v>0</v>
      </c>
      <c r="Z44">
        <f>ROUND($E14*'Allocators Calc'!Q44,0)</f>
        <v>0</v>
      </c>
      <c r="AA44">
        <f>ROUND($E14*'Allocators Calc'!R44,0)</f>
        <v>0</v>
      </c>
      <c r="AB44" s="13">
        <f>ROUND($E14*'Allocators Calc'!S44,0)</f>
        <v>0</v>
      </c>
      <c r="AC44">
        <f>ROUND($E14*'Allocators Calc'!T44,0)</f>
        <v>0</v>
      </c>
      <c r="AD44">
        <f>ROUND($E14*'Allocators Calc'!U44,0)</f>
        <v>0</v>
      </c>
      <c r="AE44">
        <f>ROUND($E14*'Allocators Calc'!V44,0)</f>
        <v>0</v>
      </c>
      <c r="AF44">
        <f>ROUND($E14*'Allocators Calc'!W44,0)</f>
        <v>0</v>
      </c>
      <c r="AG44" s="11"/>
      <c r="AH44">
        <f>ROUND($E14*'Allocators Calc'!Y44,0)</f>
        <v>117531926</v>
      </c>
      <c r="AI44">
        <f>ROUND($E14*'Allocators Calc'!Z44,0)</f>
        <v>88597527</v>
      </c>
      <c r="AJ44">
        <f>ROUND($E14*'Allocators Calc'!AA44,0)</f>
        <v>8434949</v>
      </c>
      <c r="AK44">
        <f>ROUND($E14*'Allocators Calc'!AB44,0)</f>
        <v>0</v>
      </c>
      <c r="AL44" s="12">
        <f t="shared" si="18"/>
        <v>136748670</v>
      </c>
      <c r="AM44">
        <f>ROUND($E14*'Allocators Calc'!AD44,0)</f>
        <v>85650648</v>
      </c>
      <c r="AN44">
        <f>ROUND($E14*'Allocators Calc'!AE44,0)</f>
        <v>113902307</v>
      </c>
      <c r="AO44" s="11"/>
      <c r="AP44">
        <f>ROUND($E14*'Allocators Calc'!AG44,0)</f>
        <v>6105</v>
      </c>
      <c r="AQ44">
        <f>ROUND($E14*'Allocators Calc'!AH44,0)</f>
        <v>12739</v>
      </c>
      <c r="AR44">
        <f>ROUND($E14*'Allocators Calc'!AI44,0)</f>
        <v>25524</v>
      </c>
      <c r="AS44">
        <f>ROUND($E14*'Allocators Calc'!AJ44,0)</f>
        <v>6968974</v>
      </c>
      <c r="AT44">
        <f>ROUND($E14*'Allocators Calc'!AK44,0)</f>
        <v>2832321</v>
      </c>
      <c r="AU44" s="13">
        <f>ROUND($E14*'Allocators Calc'!AL44,0)</f>
        <v>2874084</v>
      </c>
      <c r="AV44">
        <f>ROUND($E14*'Allocators Calc'!AM44,0)</f>
        <v>7366</v>
      </c>
      <c r="AW44">
        <f>ROUND($E14*'Allocators Calc'!AN44,0)</f>
        <v>17188</v>
      </c>
      <c r="AX44">
        <f>ROUND($E14*'Allocators Calc'!AO44,0)</f>
        <v>36832</v>
      </c>
      <c r="AY44">
        <f>ROUND($E14*'Allocators Calc'!AP44,0)</f>
        <v>17718660</v>
      </c>
      <c r="AZ44">
        <f>ROUND($E14*'Allocators Calc'!AQ44,0)</f>
        <v>2875519</v>
      </c>
      <c r="BA44" s="13">
        <f>ROUND($E14*'Allocators Calc'!AR44,0)</f>
        <v>1353427</v>
      </c>
      <c r="BB44">
        <f>ROUND($E14*'Allocators Calc'!AS44,0)</f>
        <v>44485</v>
      </c>
      <c r="BC44">
        <f>ROUND($E14*'Allocators Calc'!AT44,0)</f>
        <v>101706</v>
      </c>
      <c r="BD44">
        <f>ROUND($E14*'Allocators Calc'!AU44,0)</f>
        <v>203643</v>
      </c>
      <c r="BE44">
        <f>ROUND($E14*'Allocators Calc'!AV44,0)</f>
        <v>22896607</v>
      </c>
      <c r="BF44">
        <f>ROUND($E14*'Allocators Calc'!AW44,0)</f>
        <v>20985831</v>
      </c>
      <c r="BG44" s="13">
        <f>ROUND($E14*'Allocators Calc'!AX44,0)</f>
        <v>1841496</v>
      </c>
      <c r="BH44">
        <f>ROUND($E14*'Allocators Calc'!AY44,0)</f>
        <v>1968079</v>
      </c>
      <c r="BI44">
        <f>ROUND($E14*'Allocators Calc'!AZ44,0)</f>
        <v>3885682</v>
      </c>
      <c r="BJ44">
        <f>ROUND($E14*'Allocators Calc'!BA44,0)</f>
        <v>5894389</v>
      </c>
      <c r="BK44">
        <f>ROUND($E14*'Allocators Calc'!BB44,0)</f>
        <v>37163313</v>
      </c>
      <c r="BL44">
        <f>ROUND($E14*'Allocators Calc'!BC44,0)</f>
        <v>20491977</v>
      </c>
      <c r="BM44" s="13">
        <f>ROUND($E14*'Allocators Calc'!BD44,0)</f>
        <v>15015975</v>
      </c>
      <c r="BN44">
        <f>ROUND($E14*'Allocators Calc'!BE44,0)</f>
        <v>0</v>
      </c>
      <c r="BO44">
        <f>ROUND($E14*'Allocators Calc'!BF44,0)</f>
        <v>0</v>
      </c>
      <c r="BP44">
        <f>ROUND($E14*'Allocators Calc'!BG44,0)</f>
        <v>0</v>
      </c>
      <c r="BQ44">
        <f>ROUND($E14*'Allocators Calc'!BH44,0)</f>
        <v>0</v>
      </c>
      <c r="BR44">
        <f>ROUND($E14*'Allocators Calc'!BI44,0)</f>
        <v>0</v>
      </c>
      <c r="BS44" s="13">
        <f>ROUND($E14*'Allocators Calc'!BJ44,0)</f>
        <v>0</v>
      </c>
      <c r="BT44">
        <f>ROUND($E14*'Allocators Calc'!BK44,0)</f>
        <v>0</v>
      </c>
      <c r="BU44">
        <f>ROUND($E14*'Allocators Calc'!BL44,0)</f>
        <v>0</v>
      </c>
      <c r="BV44">
        <f>ROUND($E14*'Allocators Calc'!BM44,0)</f>
        <v>0</v>
      </c>
      <c r="BW44">
        <f>ROUND($E14*'Allocators Calc'!BN44,0)</f>
        <v>0</v>
      </c>
      <c r="BX44">
        <f>ROUND($E14*'Allocators Calc'!BO44,0)</f>
        <v>0</v>
      </c>
      <c r="BY44" s="13">
        <f>ROUND($E14*'Allocators Calc'!BP44,0)</f>
        <v>0</v>
      </c>
      <c r="BZ44">
        <f>ROUND($E14*'Allocators Calc'!BQ44,0)</f>
        <v>696</v>
      </c>
      <c r="CA44">
        <f>ROUND($E14*'Allocators Calc'!BR44,0)</f>
        <v>1625</v>
      </c>
      <c r="CB44">
        <f>ROUND($E14*'Allocators Calc'!BS44,0)</f>
        <v>3482</v>
      </c>
      <c r="CC44">
        <f>ROUND($E14*'Allocators Calc'!BT44,0)</f>
        <v>444121</v>
      </c>
      <c r="CD44">
        <f>ROUND($E14*'Allocators Calc'!BU44,0)</f>
        <v>0</v>
      </c>
      <c r="CE44" s="13">
        <f>ROUND($E14*'Allocators Calc'!BV44,0)</f>
        <v>0</v>
      </c>
      <c r="CF44" s="11"/>
      <c r="CG44" s="67">
        <f>ROUND('Allocators Data'!CA44,0)</f>
        <v>0</v>
      </c>
      <c r="CH44">
        <f>ROUND($E14*'Allocators Calc'!BY44,0)+ROUND($E14*'Allocators Calc'!BX44,0)-ROUND('Allocators Data'!CA44,0)</f>
        <v>0</v>
      </c>
      <c r="CI44">
        <f>ROUND($E14*'Allocators Calc'!BZ44,0)</f>
        <v>0</v>
      </c>
      <c r="CJ44">
        <f>ROUND($E14*'Allocators Calc'!CA44,0)</f>
        <v>0</v>
      </c>
      <c r="CK44">
        <f>ROUND($E14*'Allocators Calc'!CB44,0)</f>
        <v>0</v>
      </c>
      <c r="CL44">
        <f>ROUND($E14*'Allocators Calc'!CC44,0)</f>
        <v>0</v>
      </c>
      <c r="CM44">
        <f>ROUND($E14*'Allocators Calc'!CD44,0)</f>
        <v>0</v>
      </c>
      <c r="CN44">
        <f>ROUND($E14*'Allocators Calc'!CE44,0)</f>
        <v>0</v>
      </c>
      <c r="CO44" s="67">
        <f>ROUND('Allocators Data'!CI44,0)</f>
        <v>0</v>
      </c>
      <c r="CP44">
        <f>ROUND($E14*'Allocators Calc'!CG44,0)+ROUND($E14*'Allocators Calc'!CF44,0)-ROUND('Allocators Data'!CI44,0)</f>
        <v>0</v>
      </c>
      <c r="CQ44" s="11"/>
      <c r="CR44">
        <f>ROUND($E14*'Allocators Calc'!CI44,0)</f>
        <v>0</v>
      </c>
      <c r="CS44">
        <f>ROUND($E14*'Allocators Calc'!CJ44,0)</f>
        <v>0</v>
      </c>
      <c r="CT44" s="13">
        <f>ROUND($E14*'Allocators Calc'!CK44,0)</f>
        <v>0</v>
      </c>
      <c r="CU44">
        <f>ROUND($E14*'Allocators Calc'!CL44,0)</f>
        <v>0</v>
      </c>
      <c r="CV44">
        <f>ROUND($E14*'Allocators Calc'!CM44,0)</f>
        <v>0</v>
      </c>
      <c r="CW44" s="13">
        <f>ROUND($E14*'Allocators Calc'!CN44,0)</f>
        <v>0</v>
      </c>
      <c r="CX44" s="11"/>
      <c r="CY44">
        <f>ROUND($E14*'Allocators Calc'!CP44,0)</f>
        <v>196905</v>
      </c>
      <c r="CZ44">
        <f>ROUND($E14*'Allocators Calc'!CQ44,0)</f>
        <v>1571538</v>
      </c>
      <c r="DA44" s="11"/>
      <c r="DB44">
        <f>ROUND($E14*'Allocators Calc'!CS44,0)</f>
        <v>0</v>
      </c>
      <c r="DC44">
        <f>ROUND($E14*'Allocators Calc'!CT44,0)</f>
        <v>0</v>
      </c>
      <c r="DD44">
        <f>ROUND($E14*'Allocators Calc'!CU44,0)</f>
        <v>0</v>
      </c>
      <c r="DE44">
        <f>ROUND($E14*'Allocators Calc'!CV44,0)</f>
        <v>0</v>
      </c>
      <c r="DF44">
        <f>ROUND($E14*'Allocators Calc'!CW44,0)</f>
        <v>0</v>
      </c>
      <c r="DG44">
        <f>ROUND($E14*'Allocators Calc'!CX44,0)</f>
        <v>0</v>
      </c>
      <c r="DH44">
        <f>ROUND($E14*'Allocators Calc'!CY44,0)</f>
        <v>0</v>
      </c>
      <c r="DI44">
        <f>ROUND($E14*'Allocators Calc'!CZ44,0)</f>
        <v>0</v>
      </c>
      <c r="DJ44">
        <f>ROUND($E14*'Allocators Calc'!DA44,0)</f>
        <v>0</v>
      </c>
      <c r="DK44" s="11"/>
      <c r="DL44" s="3">
        <f t="shared" si="19"/>
        <v>718547933</v>
      </c>
      <c r="DM44" s="3">
        <f t="shared" si="20"/>
        <v>718547932.59200013</v>
      </c>
      <c r="DN44" s="3">
        <f t="shared" si="2"/>
        <v>0.40799987316131592</v>
      </c>
      <c r="DO44" s="3">
        <f>SUM(DM33:DM44)</f>
        <v>9250045215.7039986</v>
      </c>
    </row>
    <row r="45" spans="11:119" x14ac:dyDescent="0.2">
      <c r="K45" s="11"/>
      <c r="L45" s="11"/>
      <c r="M45" s="11"/>
      <c r="N45" s="11"/>
      <c r="O45" s="14"/>
      <c r="P45" s="16"/>
      <c r="Q45" s="11"/>
      <c r="R45" s="11"/>
      <c r="S45" s="11"/>
      <c r="T45" s="14"/>
      <c r="U45" s="11"/>
      <c r="V45" s="11"/>
      <c r="W45" s="11"/>
      <c r="X45" s="14"/>
      <c r="Y45" s="11"/>
      <c r="Z45" s="11"/>
      <c r="AA45" s="11"/>
      <c r="AB45" s="14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4"/>
      <c r="AV45" s="11"/>
      <c r="AW45" s="11"/>
      <c r="AX45" s="11"/>
      <c r="AY45" s="11"/>
      <c r="AZ45" s="11"/>
      <c r="BA45" s="14"/>
      <c r="BB45" s="11"/>
      <c r="BC45" s="11"/>
      <c r="BD45" s="11"/>
      <c r="BE45" s="11"/>
      <c r="BF45" s="11"/>
      <c r="BG45" s="14"/>
      <c r="BH45" s="11"/>
      <c r="BI45" s="11"/>
      <c r="BJ45" s="11"/>
      <c r="BK45" s="11"/>
      <c r="BL45" s="11"/>
      <c r="BM45" s="14"/>
      <c r="BN45" s="11"/>
      <c r="BO45" s="11"/>
      <c r="BP45" s="11"/>
      <c r="BQ45" s="11"/>
      <c r="BR45" s="11"/>
      <c r="BS45" s="14"/>
      <c r="BT45" s="11"/>
      <c r="BU45" s="11"/>
      <c r="BV45" s="11"/>
      <c r="BW45" s="11"/>
      <c r="BX45" s="11"/>
      <c r="BY45" s="14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4"/>
      <c r="CU45" s="11"/>
      <c r="CV45" s="11"/>
      <c r="CW45" s="14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N45" s="3"/>
    </row>
    <row r="46" spans="11:119" x14ac:dyDescent="0.2">
      <c r="K46" t="s">
        <v>30</v>
      </c>
      <c r="L46" s="344" t="str">
        <f>L31</f>
        <v>CSN0</v>
      </c>
      <c r="M46" s="344"/>
      <c r="N46" s="344"/>
      <c r="O46" s="345"/>
      <c r="P46" s="15" t="str">
        <f>P31</f>
        <v>CSN2</v>
      </c>
      <c r="Q46" s="343" t="str">
        <f>Q31</f>
        <v>CSN7</v>
      </c>
      <c r="R46" s="344"/>
      <c r="S46" s="344"/>
      <c r="T46" s="345"/>
      <c r="U46" s="343" t="str">
        <f>U31</f>
        <v>CSN8</v>
      </c>
      <c r="V46" s="344"/>
      <c r="W46" s="344"/>
      <c r="X46" s="345"/>
      <c r="Y46" s="343" t="str">
        <f>Y31</f>
        <v>CSN9</v>
      </c>
      <c r="Z46" s="344"/>
      <c r="AA46" s="344"/>
      <c r="AB46" s="345"/>
      <c r="AC46" s="343" t="str">
        <f>AC31</f>
        <v>SFOC</v>
      </c>
      <c r="AD46" s="344"/>
      <c r="AE46" s="344"/>
      <c r="AF46" s="344"/>
      <c r="AG46" s="11"/>
      <c r="AH46" t="str">
        <f t="shared" ref="AH46:AN46" si="21">AH31</f>
        <v>HBN0</v>
      </c>
      <c r="AI46" t="str">
        <f t="shared" si="21"/>
        <v>HCN0</v>
      </c>
      <c r="AJ46" t="str">
        <f t="shared" si="21"/>
        <v>HCN3</v>
      </c>
      <c r="AK46" t="str">
        <f t="shared" si="21"/>
        <v>HSN3</v>
      </c>
      <c r="AL46" t="str">
        <f t="shared" si="21"/>
        <v>HDN0</v>
      </c>
      <c r="AM46" t="str">
        <f t="shared" si="21"/>
        <v>HPN0</v>
      </c>
      <c r="AN46" t="str">
        <f t="shared" si="21"/>
        <v>HSN0</v>
      </c>
      <c r="AO46" s="11"/>
      <c r="AP46" s="343" t="str">
        <f>AP31</f>
        <v>LBN0</v>
      </c>
      <c r="AQ46" s="344"/>
      <c r="AR46" s="344"/>
      <c r="AS46" s="344"/>
      <c r="AT46" s="344"/>
      <c r="AU46" s="345"/>
      <c r="AV46" s="343" t="str">
        <f>AV31</f>
        <v>LDN0</v>
      </c>
      <c r="AW46" s="344"/>
      <c r="AX46" s="344"/>
      <c r="AY46" s="344"/>
      <c r="AZ46" s="344"/>
      <c r="BA46" s="345"/>
      <c r="BB46" s="343" t="str">
        <f>BB31</f>
        <v>LPN0</v>
      </c>
      <c r="BC46" s="344"/>
      <c r="BD46" s="344"/>
      <c r="BE46" s="344"/>
      <c r="BF46" s="344"/>
      <c r="BG46" s="345"/>
      <c r="BH46" s="343" t="str">
        <f>BH31</f>
        <v>LSN0</v>
      </c>
      <c r="BI46" s="344"/>
      <c r="BJ46" s="344"/>
      <c r="BK46" s="344"/>
      <c r="BL46" s="344"/>
      <c r="BM46" s="345"/>
      <c r="BN46" s="343" t="str">
        <f>BN31</f>
        <v>LSN2</v>
      </c>
      <c r="BO46" s="344"/>
      <c r="BP46" s="344"/>
      <c r="BQ46" s="344"/>
      <c r="BR46" s="344"/>
      <c r="BS46" s="345"/>
      <c r="BT46" s="343" t="str">
        <f>BT31</f>
        <v>LSN3 - Peak</v>
      </c>
      <c r="BU46" s="344"/>
      <c r="BV46" s="344"/>
      <c r="BW46" s="344"/>
      <c r="BX46" s="344"/>
      <c r="BY46" s="344"/>
      <c r="BZ46" s="343" t="str">
        <f>BZ31</f>
        <v>LSN3 - Grandfathered</v>
      </c>
      <c r="CA46" s="344"/>
      <c r="CB46" s="344"/>
      <c r="CC46" s="344"/>
      <c r="CD46" s="344"/>
      <c r="CE46" s="344"/>
      <c r="CF46" s="11"/>
      <c r="CG46" t="str">
        <f t="shared" ref="CG46:CP46" si="22">CG31</f>
        <v>NUCF</v>
      </c>
      <c r="CH46" t="str">
        <f t="shared" si="22"/>
        <v>NUIF</v>
      </c>
      <c r="CI46" t="str">
        <f t="shared" si="22"/>
        <v>NUID</v>
      </c>
      <c r="CJ46" t="str">
        <f t="shared" si="22"/>
        <v>NUCS</v>
      </c>
      <c r="CK46" t="str">
        <f t="shared" si="22"/>
        <v>SAES</v>
      </c>
      <c r="CL46" t="str">
        <f t="shared" si="22"/>
        <v>SASN</v>
      </c>
      <c r="CM46" t="str">
        <f t="shared" si="22"/>
        <v>SPUF</v>
      </c>
      <c r="CN46" t="str">
        <f t="shared" si="22"/>
        <v>SPUR</v>
      </c>
      <c r="CO46" t="str">
        <f t="shared" si="22"/>
        <v>SDEH</v>
      </c>
      <c r="CP46" t="str">
        <f t="shared" si="22"/>
        <v>SDED</v>
      </c>
      <c r="CQ46" s="11"/>
      <c r="CR46" s="344" t="str">
        <f>CR31</f>
        <v>RSN0</v>
      </c>
      <c r="CS46" s="344"/>
      <c r="CT46" s="345"/>
      <c r="CU46" s="343" t="str">
        <f>CU31</f>
        <v>RSN2</v>
      </c>
      <c r="CV46" s="344"/>
      <c r="CW46" s="345"/>
      <c r="CX46" s="11"/>
      <c r="CY46" s="344" t="str">
        <f t="shared" ref="CY46:CZ47" si="23">CY31</f>
        <v xml:space="preserve">SWP </v>
      </c>
      <c r="CZ46" s="344"/>
      <c r="DA46" s="11"/>
      <c r="DB46" t="str">
        <f>DB31</f>
        <v>MHLS</v>
      </c>
      <c r="DC46" t="str">
        <f>DC31</f>
        <v>FS</v>
      </c>
      <c r="DD46" t="str">
        <f t="shared" ref="DD46:DJ46" si="24">DD31</f>
        <v>MOLS</v>
      </c>
      <c r="DE46" t="str">
        <f t="shared" si="24"/>
        <v>MS</v>
      </c>
      <c r="DF46" t="str">
        <f>DF31</f>
        <v>SL</v>
      </c>
      <c r="DG46" t="str">
        <f t="shared" si="24"/>
        <v>TS</v>
      </c>
      <c r="DH46" t="str">
        <f t="shared" si="24"/>
        <v>UOLS</v>
      </c>
      <c r="DI46" t="str">
        <f t="shared" si="24"/>
        <v>WHTL</v>
      </c>
      <c r="DJ46" t="str">
        <f t="shared" si="24"/>
        <v>XLED</v>
      </c>
      <c r="DK46" s="11"/>
      <c r="DN46" s="3"/>
    </row>
    <row r="47" spans="11:119" x14ac:dyDescent="0.2">
      <c r="L47" t="str">
        <f t="shared" ref="L47:AF47" si="25">L32</f>
        <v>First 300</v>
      </c>
      <c r="M47" t="str">
        <f t="shared" si="25"/>
        <v>Next 700</v>
      </c>
      <c r="N47" t="str">
        <f t="shared" si="25"/>
        <v>Next 1500</v>
      </c>
      <c r="O47" s="13" t="str">
        <f t="shared" si="25"/>
        <v>Over 2500</v>
      </c>
      <c r="P47" s="15"/>
      <c r="Q47" t="str">
        <f t="shared" si="25"/>
        <v>First 300</v>
      </c>
      <c r="R47" t="str">
        <f t="shared" si="25"/>
        <v>Next 700</v>
      </c>
      <c r="S47" t="str">
        <f t="shared" si="25"/>
        <v>Next 1500</v>
      </c>
      <c r="T47" s="13" t="str">
        <f t="shared" si="25"/>
        <v>Over 2500</v>
      </c>
      <c r="U47" t="str">
        <f t="shared" si="25"/>
        <v>First 300</v>
      </c>
      <c r="V47" t="str">
        <f t="shared" si="25"/>
        <v>Next 700</v>
      </c>
      <c r="W47" t="str">
        <f t="shared" si="25"/>
        <v>Next 1500</v>
      </c>
      <c r="X47" s="13" t="str">
        <f t="shared" si="25"/>
        <v>Over 2500</v>
      </c>
      <c r="Y47" t="str">
        <f t="shared" si="25"/>
        <v>First 300</v>
      </c>
      <c r="Z47" t="str">
        <f t="shared" si="25"/>
        <v>Next 700</v>
      </c>
      <c r="AA47" t="str">
        <f t="shared" si="25"/>
        <v>Next 1500</v>
      </c>
      <c r="AB47" s="13" t="str">
        <f t="shared" si="25"/>
        <v>Over 2500</v>
      </c>
      <c r="AC47" t="str">
        <f t="shared" si="25"/>
        <v>First 300</v>
      </c>
      <c r="AD47" t="str">
        <f t="shared" si="25"/>
        <v>Next 700</v>
      </c>
      <c r="AE47" t="str">
        <f t="shared" si="25"/>
        <v>Next 1500</v>
      </c>
      <c r="AF47" t="str">
        <f t="shared" si="25"/>
        <v>Over 2500</v>
      </c>
      <c r="AG47" s="11"/>
      <c r="AJ47" t="str">
        <f>AJ32</f>
        <v xml:space="preserve"> </v>
      </c>
      <c r="AK47" t="str">
        <f>AK32</f>
        <v xml:space="preserve"> </v>
      </c>
      <c r="AO47" s="11"/>
      <c r="AP47" t="str">
        <f>AP32</f>
        <v>First 300 kWh</v>
      </c>
      <c r="AQ47" t="str">
        <f>AQ32</f>
        <v>Next 700 kWh</v>
      </c>
      <c r="AR47" t="str">
        <f>AR32</f>
        <v>Next 1500 kWh</v>
      </c>
      <c r="AS47" t="str">
        <f>AS32</f>
        <v>Over 2500 kWh</v>
      </c>
      <c r="AT47" t="str">
        <f>AT32</f>
        <v>KWH_NEXT110</v>
      </c>
      <c r="AU47" s="13" t="str">
        <f>AU32</f>
        <v>KWH_300+</v>
      </c>
      <c r="AV47" t="str">
        <f>AV32</f>
        <v>First 300 kWh</v>
      </c>
      <c r="AW47" t="str">
        <f>AW32</f>
        <v>Next 700 kWh</v>
      </c>
      <c r="AX47" t="str">
        <f>AX32</f>
        <v>Next 1500 kWh</v>
      </c>
      <c r="AY47" t="str">
        <f>AY32</f>
        <v>Over 2500 kWh</v>
      </c>
      <c r="AZ47" t="str">
        <f>AZ32</f>
        <v>KWH_NEXT110</v>
      </c>
      <c r="BA47" s="13" t="str">
        <f>BA32</f>
        <v>KWH_300+</v>
      </c>
      <c r="BB47" t="str">
        <f>BB32</f>
        <v>First 300 kWh</v>
      </c>
      <c r="BC47" t="str">
        <f>BC32</f>
        <v>Next 700 kWh</v>
      </c>
      <c r="BD47" t="str">
        <f>BD32</f>
        <v>Next 1500 kWh</v>
      </c>
      <c r="BE47" t="str">
        <f>BE32</f>
        <v>Over 2500 kWh</v>
      </c>
      <c r="BF47" t="str">
        <f>BF32</f>
        <v>KWH_NEXT110</v>
      </c>
      <c r="BG47" s="13" t="str">
        <f>BG32</f>
        <v>KWH_300+</v>
      </c>
      <c r="BH47" t="str">
        <f>BH32</f>
        <v>First 300 kWh</v>
      </c>
      <c r="BI47" t="str">
        <f>BI32</f>
        <v>Next 700 kWh</v>
      </c>
      <c r="BJ47" t="str">
        <f>BJ32</f>
        <v>Next 1500 kWh</v>
      </c>
      <c r="BK47" t="str">
        <f>BK32</f>
        <v>Over 2500 kWh</v>
      </c>
      <c r="BL47" t="str">
        <f>BL32</f>
        <v>KWH_NEXT110</v>
      </c>
      <c r="BM47" s="13" t="str">
        <f>BM32</f>
        <v>KWH_300+</v>
      </c>
      <c r="BN47" t="str">
        <f>BN32</f>
        <v>First 300 kWh</v>
      </c>
      <c r="BO47" t="str">
        <f>BO32</f>
        <v>Next 700 kWh</v>
      </c>
      <c r="BP47" t="str">
        <f>BP32</f>
        <v>Next 1500 kWh</v>
      </c>
      <c r="BQ47" t="str">
        <f>BQ32</f>
        <v>Over 2500 kWh</v>
      </c>
      <c r="BR47" t="str">
        <f>BR32</f>
        <v>KWH_NEXT110</v>
      </c>
      <c r="BS47" s="13" t="str">
        <f>BS32</f>
        <v>KWH_300+</v>
      </c>
      <c r="BT47" t="str">
        <f>BT32</f>
        <v>First 300 kWh</v>
      </c>
      <c r="BU47" t="str">
        <f>BU32</f>
        <v>Next 700 kWh</v>
      </c>
      <c r="BV47" t="str">
        <f>BV32</f>
        <v>Next 1500 kWh</v>
      </c>
      <c r="BW47" t="str">
        <f>BW32</f>
        <v>Over 2500 kWh</v>
      </c>
      <c r="BX47" t="str">
        <f>BX32</f>
        <v>KWH_NEXT110</v>
      </c>
      <c r="BY47" s="13" t="str">
        <f>BY32</f>
        <v>KWH_300+</v>
      </c>
      <c r="BZ47" t="str">
        <f t="shared" ref="BZ47:CE47" si="26">BZ32</f>
        <v>First 300 kWh</v>
      </c>
      <c r="CA47" t="str">
        <f t="shared" si="26"/>
        <v>Next 700 kWh</v>
      </c>
      <c r="CB47" t="str">
        <f t="shared" si="26"/>
        <v>Next 1500 kWh</v>
      </c>
      <c r="CC47" t="str">
        <f t="shared" si="26"/>
        <v>Over 2500 kWh</v>
      </c>
      <c r="CD47" t="str">
        <f t="shared" si="26"/>
        <v>KWH_NEXT110</v>
      </c>
      <c r="CE47" t="str">
        <f t="shared" si="26"/>
        <v>KWH_300+</v>
      </c>
      <c r="CF47" s="11"/>
      <c r="CQ47" s="11"/>
      <c r="CR47" t="str">
        <f>CR32</f>
        <v>First 300 kWh</v>
      </c>
      <c r="CS47" t="str">
        <f>CS32</f>
        <v>Next 700 kWh</v>
      </c>
      <c r="CT47" s="13" t="str">
        <f>CT32</f>
        <v>Over 1000 kWh</v>
      </c>
      <c r="CU47" t="str">
        <f>CU32</f>
        <v>First 300 kWh</v>
      </c>
      <c r="CV47" t="str">
        <f>CV32</f>
        <v>Next 700 kWh</v>
      </c>
      <c r="CW47" s="13" t="str">
        <f>CW32</f>
        <v>Over 1000 kWh</v>
      </c>
      <c r="CX47" s="11"/>
      <c r="CY47" t="str">
        <f t="shared" si="23"/>
        <v>First 2000</v>
      </c>
      <c r="CZ47" t="str">
        <f t="shared" si="23"/>
        <v>Over 2000</v>
      </c>
      <c r="DA47" s="11"/>
      <c r="DK47" s="11"/>
      <c r="DN47" s="3"/>
    </row>
    <row r="48" spans="11:119" x14ac:dyDescent="0.2">
      <c r="K48" t="s">
        <v>232</v>
      </c>
      <c r="L48">
        <f>ROUND($F3*'Allocators Calc'!C48,0)</f>
        <v>903424</v>
      </c>
      <c r="M48">
        <f>ROUND($F3*'Allocators Calc'!D48,0)</f>
        <v>1312731</v>
      </c>
      <c r="N48">
        <f>ROUND($F3*'Allocators Calc'!E48,0)</f>
        <v>1435389</v>
      </c>
      <c r="O48">
        <f>ROUND($F3*'Allocators Calc'!F48,0)</f>
        <v>2193713</v>
      </c>
      <c r="P48" s="15">
        <f>ROUND($F3*'Allocators Calc'!G48,0)</f>
        <v>1255</v>
      </c>
      <c r="Q48">
        <f>ROUND($F3*'Allocators Calc'!H48,0)</f>
        <v>0</v>
      </c>
      <c r="R48">
        <f>ROUND($F3*'Allocators Calc'!I48,0)</f>
        <v>0</v>
      </c>
      <c r="S48">
        <f>ROUND($F3*'Allocators Calc'!J48,0)</f>
        <v>0</v>
      </c>
      <c r="T48" s="13">
        <f>ROUND($F3*'Allocators Calc'!K48,0)</f>
        <v>0</v>
      </c>
      <c r="U48">
        <f>ROUND($F3*'Allocators Calc'!L48,0)</f>
        <v>0</v>
      </c>
      <c r="V48">
        <f>ROUND($F3*'Allocators Calc'!M48,0)</f>
        <v>0</v>
      </c>
      <c r="W48">
        <f>ROUND($F3*'Allocators Calc'!N48,0)</f>
        <v>0</v>
      </c>
      <c r="X48" s="13">
        <f>ROUND($F3*'Allocators Calc'!O48,0)</f>
        <v>0</v>
      </c>
      <c r="Y48">
        <f>ROUND($F3*'Allocators Calc'!P48,0)</f>
        <v>0</v>
      </c>
      <c r="Z48">
        <f>ROUND($F3*'Allocators Calc'!Q48,0)</f>
        <v>0</v>
      </c>
      <c r="AA48">
        <f>ROUND($F3*'Allocators Calc'!R48,0)</f>
        <v>0</v>
      </c>
      <c r="AB48" s="13">
        <f>ROUND($F3*'Allocators Calc'!S48,0)</f>
        <v>0</v>
      </c>
      <c r="AC48">
        <f>ROUND($F3*'Allocators Calc'!T48,0)</f>
        <v>0</v>
      </c>
      <c r="AD48">
        <f>ROUND($F3*'Allocators Calc'!U48,0)</f>
        <v>0</v>
      </c>
      <c r="AE48">
        <f>ROUND($F3*'Allocators Calc'!V48,0)</f>
        <v>0</v>
      </c>
      <c r="AF48">
        <f>ROUND($F3*'Allocators Calc'!W48,0)</f>
        <v>0</v>
      </c>
      <c r="AG48" s="11"/>
      <c r="AH48">
        <f>ROUND($F3*'Allocators Calc'!Y48,0)</f>
        <v>0</v>
      </c>
      <c r="AI48">
        <f>ROUND($F3*'Allocators Calc'!Z48,0)</f>
        <v>7459949</v>
      </c>
      <c r="AJ48">
        <f>ROUND($F3*'Allocators Calc'!AA48,0)</f>
        <v>0</v>
      </c>
      <c r="AK48">
        <f>ROUND($F3*'Allocators Calc'!AB48,0)</f>
        <v>0</v>
      </c>
      <c r="AL48">
        <f>ROUND($F3*'Allocators Calc'!AC48,0)</f>
        <v>0</v>
      </c>
      <c r="AM48" s="10">
        <f t="shared" ref="AM48:AM59" si="27">ROUND($F3-SUM(L48:AL48)-SUM(AN48:DJ48),0)</f>
        <v>30365107</v>
      </c>
      <c r="AN48">
        <f>ROUND($F3*'Allocators Calc'!AE48,0)</f>
        <v>23740146</v>
      </c>
      <c r="AO48" s="11"/>
      <c r="AP48">
        <f>ROUND($F3*'Allocators Calc'!AG48,0)</f>
        <v>0</v>
      </c>
      <c r="AQ48">
        <f>ROUND($F3*'Allocators Calc'!AH48,0)</f>
        <v>0</v>
      </c>
      <c r="AR48">
        <f>ROUND($F3*'Allocators Calc'!AI48,0)</f>
        <v>0</v>
      </c>
      <c r="AS48">
        <f>ROUND($F3*'Allocators Calc'!AJ48,0)</f>
        <v>0</v>
      </c>
      <c r="AT48">
        <f>ROUND($F3*'Allocators Calc'!AK48,0)</f>
        <v>0</v>
      </c>
      <c r="AU48" s="13">
        <f>ROUND($F3*'Allocators Calc'!AL48,0)</f>
        <v>0</v>
      </c>
      <c r="AV48">
        <f>ROUND($F3*'Allocators Calc'!AM48,0)</f>
        <v>0</v>
      </c>
      <c r="AW48">
        <f>ROUND($F3*'Allocators Calc'!AN48,0)</f>
        <v>0</v>
      </c>
      <c r="AX48">
        <f>ROUND($F3*'Allocators Calc'!AO48,0)</f>
        <v>0</v>
      </c>
      <c r="AY48">
        <f>ROUND($F3*'Allocators Calc'!AP48,0)</f>
        <v>0</v>
      </c>
      <c r="AZ48">
        <f>ROUND($F3*'Allocators Calc'!AQ48,0)</f>
        <v>0</v>
      </c>
      <c r="BA48" s="13">
        <f>ROUND($F3*'Allocators Calc'!AR48,0)</f>
        <v>0</v>
      </c>
      <c r="BB48">
        <f>ROUND($F3*'Allocators Calc'!AS48,0)</f>
        <v>3990</v>
      </c>
      <c r="BC48">
        <f>ROUND($F3*'Allocators Calc'!AT48,0)</f>
        <v>9121</v>
      </c>
      <c r="BD48">
        <f>ROUND($F3*'Allocators Calc'!AU48,0)</f>
        <v>18263</v>
      </c>
      <c r="BE48">
        <f>ROUND($F3*'Allocators Calc'!AV48,0)</f>
        <v>2053434</v>
      </c>
      <c r="BF48">
        <f>ROUND($F3*'Allocators Calc'!AW48,0)</f>
        <v>1882070</v>
      </c>
      <c r="BG48" s="13">
        <f>ROUND($F3*'Allocators Calc'!AX48,0)</f>
        <v>165151</v>
      </c>
      <c r="BH48">
        <f>ROUND($F3*'Allocators Calc'!AY48,0)</f>
        <v>1402482</v>
      </c>
      <c r="BI48">
        <f>ROUND($F3*'Allocators Calc'!AZ48,0)</f>
        <v>2768993</v>
      </c>
      <c r="BJ48">
        <f>ROUND($F3*'Allocators Calc'!BA48,0)</f>
        <v>4200427</v>
      </c>
      <c r="BK48">
        <f>ROUND($F3*'Allocators Calc'!BB48,0)</f>
        <v>26483114</v>
      </c>
      <c r="BL48">
        <f>ROUND($F3*'Allocators Calc'!BC48,0)</f>
        <v>14602880</v>
      </c>
      <c r="BM48" s="13">
        <f>ROUND($F3*'Allocators Calc'!BD48,0)</f>
        <v>10700601</v>
      </c>
      <c r="BN48">
        <f>ROUND($F3*'Allocators Calc'!BE48,0)</f>
        <v>4832</v>
      </c>
      <c r="BO48">
        <f>ROUND($F3*'Allocators Calc'!BF48,0)</f>
        <v>11063</v>
      </c>
      <c r="BP48">
        <f>ROUND($F3*'Allocators Calc'!BG48,0)</f>
        <v>23135</v>
      </c>
      <c r="BQ48">
        <f>ROUND($F3*'Allocators Calc'!BH48,0)</f>
        <v>473395</v>
      </c>
      <c r="BR48">
        <f>ROUND($F3*'Allocators Calc'!BI48,0)</f>
        <v>268120</v>
      </c>
      <c r="BS48" s="13">
        <f>ROUND($F3*'Allocators Calc'!BJ48,0)</f>
        <v>285878</v>
      </c>
      <c r="BT48">
        <f>ROUND($F3*'Allocators Calc'!BK48,0)</f>
        <v>0</v>
      </c>
      <c r="BU48">
        <f>ROUND($F3*'Allocators Calc'!BL48,0)</f>
        <v>0</v>
      </c>
      <c r="BV48">
        <f>ROUND($F3*'Allocators Calc'!BM48,0)</f>
        <v>0</v>
      </c>
      <c r="BW48">
        <f>ROUND($F3*'Allocators Calc'!BN48,0)</f>
        <v>0</v>
      </c>
      <c r="BX48">
        <f>ROUND($F3*'Allocators Calc'!BO48,0)</f>
        <v>0</v>
      </c>
      <c r="BY48" s="13">
        <f>ROUND($F3*'Allocators Calc'!BP48,0)</f>
        <v>0</v>
      </c>
      <c r="BZ48">
        <f>ROUND($F3*'Allocators Calc'!BQ48,0)</f>
        <v>0</v>
      </c>
      <c r="CA48">
        <f>ROUND($F3*'Allocators Calc'!BR48,0)</f>
        <v>0</v>
      </c>
      <c r="CB48">
        <f>ROUND($F3*'Allocators Calc'!BS48,0)</f>
        <v>0</v>
      </c>
      <c r="CC48">
        <f>ROUND($F3*'Allocators Calc'!BT48,0)</f>
        <v>0</v>
      </c>
      <c r="CD48">
        <f>ROUND($F3*'Allocators Calc'!BU48,0)</f>
        <v>0</v>
      </c>
      <c r="CE48" s="13">
        <f>ROUND($F3*'Allocators Calc'!BV48,0)</f>
        <v>0</v>
      </c>
      <c r="CF48" s="11"/>
      <c r="CG48">
        <f>ROUND($F3*'Allocators Calc'!BX48,0)</f>
        <v>0</v>
      </c>
      <c r="CH48">
        <f>ROUND($F3*'Allocators Calc'!BY48,0)</f>
        <v>0</v>
      </c>
      <c r="CI48">
        <f>ROUND($F3*'Allocators Calc'!BZ48,0)</f>
        <v>0</v>
      </c>
      <c r="CJ48">
        <f>ROUND($F3*'Allocators Calc'!CA48,0)</f>
        <v>0</v>
      </c>
      <c r="CK48">
        <f>ROUND($F3*'Allocators Calc'!CB48,0)</f>
        <v>0</v>
      </c>
      <c r="CL48">
        <f>ROUND($F3*'Allocators Calc'!CC48,0)</f>
        <v>0</v>
      </c>
      <c r="CM48" s="69">
        <f>ROUND('Allocators Data'!CG48,0)</f>
        <v>0</v>
      </c>
      <c r="CN48">
        <f>ROUND($F3*'Allocators Calc'!CE48,0)+ROUND($F3*'Allocators Calc'!CD48,0)-ROUND('Allocators Data'!CG48,0)</f>
        <v>0</v>
      </c>
      <c r="CO48">
        <f>ROUND($F3*'Allocators Calc'!CF48,0)</f>
        <v>0</v>
      </c>
      <c r="CP48">
        <f>ROUND($F3*'Allocators Calc'!CG48,0)</f>
        <v>0</v>
      </c>
      <c r="CQ48" s="11"/>
      <c r="CR48">
        <f>ROUND($F3*'Allocators Calc'!CI48,0)</f>
        <v>0</v>
      </c>
      <c r="CS48">
        <f>ROUND($F3*'Allocators Calc'!CJ48,0)</f>
        <v>0</v>
      </c>
      <c r="CT48" s="13">
        <f>ROUND($F3*'Allocators Calc'!CK48,0)</f>
        <v>0</v>
      </c>
      <c r="CU48">
        <f>ROUND($F3*'Allocators Calc'!CL48,0)</f>
        <v>0</v>
      </c>
      <c r="CV48">
        <f>ROUND($F3*'Allocators Calc'!CM48,0)</f>
        <v>0</v>
      </c>
      <c r="CW48" s="13">
        <f>ROUND($F3*'Allocators Calc'!CN48,0)</f>
        <v>0</v>
      </c>
      <c r="CX48" s="11"/>
      <c r="CY48">
        <f>ROUND($F3*'Allocators Calc'!CP48,0)</f>
        <v>1345488</v>
      </c>
      <c r="CZ48">
        <f>ROUND($F3*'Allocators Calc'!CQ48,0)</f>
        <v>10738618</v>
      </c>
      <c r="DA48" s="22"/>
      <c r="DB48">
        <f>ROUND($F3*'Allocators Calc'!CS48,0)</f>
        <v>0</v>
      </c>
      <c r="DC48">
        <f>ROUND($F3*'Allocators Calc'!CT48,0)</f>
        <v>0</v>
      </c>
      <c r="DD48">
        <f>ROUND($F3*'Allocators Calc'!CU48,0)</f>
        <v>157506</v>
      </c>
      <c r="DE48">
        <f>ROUND($F3*'Allocators Calc'!CV48,0)</f>
        <v>0</v>
      </c>
      <c r="DF48">
        <f>ROUND($F3*'Allocators Calc'!CW48,0)</f>
        <v>0</v>
      </c>
      <c r="DG48">
        <f>ROUND($F3*'Allocators Calc'!CX48,0)</f>
        <v>0</v>
      </c>
      <c r="DH48">
        <f>ROUND($F3*'Allocators Calc'!CY48,0)</f>
        <v>707876</v>
      </c>
      <c r="DI48">
        <f>ROUND($F3*'Allocators Calc'!CZ48,0)</f>
        <v>0</v>
      </c>
      <c r="DJ48">
        <f>ROUND($F3*'Allocators Calc'!DA48,0)</f>
        <v>13477</v>
      </c>
      <c r="DK48" s="22"/>
      <c r="DL48" s="3">
        <f t="shared" ref="DL48:DL59" si="28">SUM(L48:DJ48)</f>
        <v>145731628</v>
      </c>
      <c r="DM48" s="3">
        <f t="shared" ref="DM48:DM59" si="29">F3</f>
        <v>145731628</v>
      </c>
      <c r="DN48" s="3">
        <f t="shared" si="2"/>
        <v>0</v>
      </c>
    </row>
    <row r="49" spans="11:119" x14ac:dyDescent="0.2">
      <c r="K49" t="s">
        <v>233</v>
      </c>
      <c r="L49">
        <f>ROUND($F4*'Allocators Calc'!C49,0)</f>
        <v>853701</v>
      </c>
      <c r="M49">
        <f>ROUND($F4*'Allocators Calc'!D49,0)</f>
        <v>1217732</v>
      </c>
      <c r="N49">
        <f>ROUND($F4*'Allocators Calc'!E49,0)</f>
        <v>1296551</v>
      </c>
      <c r="O49">
        <f>ROUND($F4*'Allocators Calc'!F49,0)</f>
        <v>1906356</v>
      </c>
      <c r="P49" s="15">
        <f>ROUND($F4*'Allocators Calc'!G49,0)</f>
        <v>1087</v>
      </c>
      <c r="Q49">
        <f>ROUND($F4*'Allocators Calc'!H49,0)</f>
        <v>0</v>
      </c>
      <c r="R49">
        <f>ROUND($F4*'Allocators Calc'!I49,0)</f>
        <v>0</v>
      </c>
      <c r="S49">
        <f>ROUND($F4*'Allocators Calc'!J49,0)</f>
        <v>0</v>
      </c>
      <c r="T49" s="13">
        <f>ROUND($F4*'Allocators Calc'!K49,0)</f>
        <v>0</v>
      </c>
      <c r="U49">
        <f>ROUND($F4*'Allocators Calc'!L49,0)</f>
        <v>0</v>
      </c>
      <c r="V49">
        <f>ROUND($F4*'Allocators Calc'!M49,0)</f>
        <v>0</v>
      </c>
      <c r="W49">
        <f>ROUND($F4*'Allocators Calc'!N49,0)</f>
        <v>0</v>
      </c>
      <c r="X49" s="13">
        <f>ROUND($F4*'Allocators Calc'!O49,0)</f>
        <v>0</v>
      </c>
      <c r="Y49">
        <f>ROUND($F4*'Allocators Calc'!P49,0)</f>
        <v>0</v>
      </c>
      <c r="Z49">
        <f>ROUND($F4*'Allocators Calc'!Q49,0)</f>
        <v>0</v>
      </c>
      <c r="AA49">
        <f>ROUND($F4*'Allocators Calc'!R49,0)</f>
        <v>0</v>
      </c>
      <c r="AB49" s="13">
        <f>ROUND($F4*'Allocators Calc'!S49,0)</f>
        <v>0</v>
      </c>
      <c r="AC49">
        <f>ROUND($F4*'Allocators Calc'!T49,0)</f>
        <v>0</v>
      </c>
      <c r="AD49">
        <f>ROUND($F4*'Allocators Calc'!U49,0)</f>
        <v>0</v>
      </c>
      <c r="AE49">
        <f>ROUND($F4*'Allocators Calc'!V49,0)</f>
        <v>0</v>
      </c>
      <c r="AF49">
        <f>ROUND($F4*'Allocators Calc'!W49,0)</f>
        <v>0</v>
      </c>
      <c r="AG49" s="11"/>
      <c r="AH49">
        <f>ROUND($F4*'Allocators Calc'!Y49,0)</f>
        <v>0</v>
      </c>
      <c r="AI49">
        <f>ROUND($F4*'Allocators Calc'!Z49,0)</f>
        <v>6725140</v>
      </c>
      <c r="AJ49">
        <f>ROUND($F4*'Allocators Calc'!AA49,0)</f>
        <v>0</v>
      </c>
      <c r="AK49">
        <f>ROUND($F4*'Allocators Calc'!AB49,0)</f>
        <v>0</v>
      </c>
      <c r="AL49">
        <f>ROUND($F4*'Allocators Calc'!AC49,0)</f>
        <v>0</v>
      </c>
      <c r="AM49" s="10">
        <f t="shared" si="27"/>
        <v>30877470</v>
      </c>
      <c r="AN49">
        <f>ROUND($F4*'Allocators Calc'!AE49,0)</f>
        <v>21706259</v>
      </c>
      <c r="AO49" s="11"/>
      <c r="AP49">
        <f>ROUND($F4*'Allocators Calc'!AG49,0)</f>
        <v>0</v>
      </c>
      <c r="AQ49">
        <f>ROUND($F4*'Allocators Calc'!AH49,0)</f>
        <v>0</v>
      </c>
      <c r="AR49">
        <f>ROUND($F4*'Allocators Calc'!AI49,0)</f>
        <v>0</v>
      </c>
      <c r="AS49">
        <f>ROUND($F4*'Allocators Calc'!AJ49,0)</f>
        <v>0</v>
      </c>
      <c r="AT49">
        <f>ROUND($F4*'Allocators Calc'!AK49,0)</f>
        <v>0</v>
      </c>
      <c r="AU49" s="13">
        <f>ROUND($F4*'Allocators Calc'!AL49,0)</f>
        <v>0</v>
      </c>
      <c r="AV49">
        <f>ROUND($F4*'Allocators Calc'!AM49,0)</f>
        <v>0</v>
      </c>
      <c r="AW49">
        <f>ROUND($F4*'Allocators Calc'!AN49,0)</f>
        <v>0</v>
      </c>
      <c r="AX49">
        <f>ROUND($F4*'Allocators Calc'!AO49,0)</f>
        <v>0</v>
      </c>
      <c r="AY49">
        <f>ROUND($F4*'Allocators Calc'!AP49,0)</f>
        <v>0</v>
      </c>
      <c r="AZ49">
        <f>ROUND($F4*'Allocators Calc'!AQ49,0)</f>
        <v>0</v>
      </c>
      <c r="BA49" s="13">
        <f>ROUND($F4*'Allocators Calc'!AR49,0)</f>
        <v>0</v>
      </c>
      <c r="BB49">
        <f>ROUND($F4*'Allocators Calc'!AS49,0)</f>
        <v>3994</v>
      </c>
      <c r="BC49">
        <f>ROUND($F4*'Allocators Calc'!AT49,0)</f>
        <v>9131</v>
      </c>
      <c r="BD49">
        <f>ROUND($F4*'Allocators Calc'!AU49,0)</f>
        <v>18283</v>
      </c>
      <c r="BE49">
        <f>ROUND($F4*'Allocators Calc'!AV49,0)</f>
        <v>2055614</v>
      </c>
      <c r="BF49">
        <f>ROUND($F4*'Allocators Calc'!AW49,0)</f>
        <v>1884068</v>
      </c>
      <c r="BG49" s="13">
        <f>ROUND($F4*'Allocators Calc'!AX49,0)</f>
        <v>165326</v>
      </c>
      <c r="BH49">
        <f>ROUND($F4*'Allocators Calc'!AY49,0)</f>
        <v>1335890</v>
      </c>
      <c r="BI49">
        <f>ROUND($F4*'Allocators Calc'!AZ49,0)</f>
        <v>2637517</v>
      </c>
      <c r="BJ49">
        <f>ROUND($F4*'Allocators Calc'!BA49,0)</f>
        <v>4000984</v>
      </c>
      <c r="BK49">
        <f>ROUND($F4*'Allocators Calc'!BB49,0)</f>
        <v>25225654</v>
      </c>
      <c r="BL49">
        <f>ROUND($F4*'Allocators Calc'!BC49,0)</f>
        <v>13909511</v>
      </c>
      <c r="BM49" s="13">
        <f>ROUND($F4*'Allocators Calc'!BD49,0)</f>
        <v>10192520</v>
      </c>
      <c r="BN49">
        <f>ROUND($F4*'Allocators Calc'!BE49,0)</f>
        <v>4401</v>
      </c>
      <c r="BO49">
        <f>ROUND($F4*'Allocators Calc'!BF49,0)</f>
        <v>10076</v>
      </c>
      <c r="BP49">
        <f>ROUND($F4*'Allocators Calc'!BG49,0)</f>
        <v>21071</v>
      </c>
      <c r="BQ49">
        <f>ROUND($F4*'Allocators Calc'!BH49,0)</f>
        <v>431177</v>
      </c>
      <c r="BR49">
        <f>ROUND($F4*'Allocators Calc'!BI49,0)</f>
        <v>244209</v>
      </c>
      <c r="BS49" s="13">
        <f>ROUND($F4*'Allocators Calc'!BJ49,0)</f>
        <v>260383</v>
      </c>
      <c r="BT49">
        <f>ROUND($F4*'Allocators Calc'!BK49,0)</f>
        <v>0</v>
      </c>
      <c r="BU49">
        <f>ROUND($F4*'Allocators Calc'!BL49,0)</f>
        <v>0</v>
      </c>
      <c r="BV49">
        <f>ROUND($F4*'Allocators Calc'!BM49,0)</f>
        <v>0</v>
      </c>
      <c r="BW49">
        <f>ROUND($F4*'Allocators Calc'!BN49,0)</f>
        <v>0</v>
      </c>
      <c r="BX49">
        <f>ROUND($F4*'Allocators Calc'!BO49,0)</f>
        <v>0</v>
      </c>
      <c r="BY49" s="13">
        <f>ROUND($F4*'Allocators Calc'!BP49,0)</f>
        <v>0</v>
      </c>
      <c r="BZ49">
        <f>ROUND($F4*'Allocators Calc'!BQ49,0)</f>
        <v>0</v>
      </c>
      <c r="CA49">
        <f>ROUND($F4*'Allocators Calc'!BR49,0)</f>
        <v>0</v>
      </c>
      <c r="CB49">
        <f>ROUND($F4*'Allocators Calc'!BS49,0)</f>
        <v>0</v>
      </c>
      <c r="CC49">
        <f>ROUND($F4*'Allocators Calc'!BT49,0)</f>
        <v>0</v>
      </c>
      <c r="CD49">
        <f>ROUND($F4*'Allocators Calc'!BU49,0)</f>
        <v>0</v>
      </c>
      <c r="CE49" s="13">
        <f>ROUND($F4*'Allocators Calc'!BV49,0)</f>
        <v>0</v>
      </c>
      <c r="CF49" s="11"/>
      <c r="CG49">
        <f>ROUND($F4*'Allocators Calc'!BX49,0)</f>
        <v>0</v>
      </c>
      <c r="CH49">
        <f>ROUND($F4*'Allocators Calc'!BY49,0)</f>
        <v>0</v>
      </c>
      <c r="CI49">
        <f>ROUND($F4*'Allocators Calc'!BZ49,0)</f>
        <v>0</v>
      </c>
      <c r="CJ49">
        <f>ROUND($F4*'Allocators Calc'!CA49,0)</f>
        <v>0</v>
      </c>
      <c r="CK49">
        <f>ROUND($F4*'Allocators Calc'!CB49,0)</f>
        <v>0</v>
      </c>
      <c r="CL49">
        <f>ROUND($F4*'Allocators Calc'!CC49,0)</f>
        <v>0</v>
      </c>
      <c r="CM49" s="69">
        <f>ROUND('Allocators Data'!CG49,0)</f>
        <v>0</v>
      </c>
      <c r="CN49">
        <f>ROUND($F4*'Allocators Calc'!CE49,0)+ROUND($F4*'Allocators Calc'!CD49,0)-ROUND('Allocators Data'!CG49,0)</f>
        <v>0</v>
      </c>
      <c r="CO49">
        <f>ROUND($F4*'Allocators Calc'!CF49,0)</f>
        <v>0</v>
      </c>
      <c r="CP49">
        <f>ROUND($F4*'Allocators Calc'!CG49,0)</f>
        <v>0</v>
      </c>
      <c r="CQ49" s="11"/>
      <c r="CR49">
        <f>ROUND($F4*'Allocators Calc'!CI49,0)</f>
        <v>0</v>
      </c>
      <c r="CS49">
        <f>ROUND($F4*'Allocators Calc'!CJ49,0)</f>
        <v>0</v>
      </c>
      <c r="CT49" s="13">
        <f>ROUND($F4*'Allocators Calc'!CK49,0)</f>
        <v>0</v>
      </c>
      <c r="CU49">
        <f>ROUND($F4*'Allocators Calc'!CL49,0)</f>
        <v>0</v>
      </c>
      <c r="CV49">
        <f>ROUND($F4*'Allocators Calc'!CM49,0)</f>
        <v>0</v>
      </c>
      <c r="CW49" s="13">
        <f>ROUND($F4*'Allocators Calc'!CN49,0)</f>
        <v>0</v>
      </c>
      <c r="CX49" s="11"/>
      <c r="CY49">
        <f>ROUND($F4*'Allocators Calc'!CP49,0)</f>
        <v>1311409</v>
      </c>
      <c r="CZ49">
        <f>ROUND($F4*'Allocators Calc'!CQ49,0)</f>
        <v>10466623</v>
      </c>
      <c r="DA49" s="22"/>
      <c r="DB49">
        <f>ROUND($F4*'Allocators Calc'!CS49,0)</f>
        <v>0</v>
      </c>
      <c r="DC49">
        <f>ROUND($F4*'Allocators Calc'!CT49,0)</f>
        <v>0</v>
      </c>
      <c r="DD49">
        <f>ROUND($F4*'Allocators Calc'!CU49,0)</f>
        <v>128206</v>
      </c>
      <c r="DE49">
        <f>ROUND($F4*'Allocators Calc'!CV49,0)</f>
        <v>0</v>
      </c>
      <c r="DF49">
        <f>ROUND($F4*'Allocators Calc'!CW49,0)</f>
        <v>0</v>
      </c>
      <c r="DG49">
        <f>ROUND($F4*'Allocators Calc'!CX49,0)</f>
        <v>0</v>
      </c>
      <c r="DH49">
        <f>ROUND($F4*'Allocators Calc'!CY49,0)</f>
        <v>685790</v>
      </c>
      <c r="DI49">
        <f>ROUND($F4*'Allocators Calc'!CZ49,0)</f>
        <v>0</v>
      </c>
      <c r="DJ49">
        <f>ROUND($F4*'Allocators Calc'!DA49,0)</f>
        <v>13780</v>
      </c>
      <c r="DK49" s="22"/>
      <c r="DL49" s="3">
        <f t="shared" si="28"/>
        <v>139599913</v>
      </c>
      <c r="DM49" s="3">
        <f t="shared" si="29"/>
        <v>139599913</v>
      </c>
      <c r="DN49" s="3">
        <f t="shared" si="2"/>
        <v>0</v>
      </c>
    </row>
    <row r="50" spans="11:119" x14ac:dyDescent="0.2">
      <c r="K50" t="s">
        <v>234</v>
      </c>
      <c r="L50">
        <f>ROUND($F5*'Allocators Calc'!C50,0)</f>
        <v>775160</v>
      </c>
      <c r="M50">
        <f>ROUND($F5*'Allocators Calc'!D50,0)</f>
        <v>1064264</v>
      </c>
      <c r="N50">
        <f>ROUND($F5*'Allocators Calc'!E50,0)</f>
        <v>1074165</v>
      </c>
      <c r="O50">
        <f>ROUND($F5*'Allocators Calc'!F50,0)</f>
        <v>1518952</v>
      </c>
      <c r="P50" s="15">
        <f>ROUND($F5*'Allocators Calc'!G50,0)</f>
        <v>755</v>
      </c>
      <c r="Q50">
        <f>ROUND($F5*'Allocators Calc'!H50,0)</f>
        <v>0</v>
      </c>
      <c r="R50">
        <f>ROUND($F5*'Allocators Calc'!I50,0)</f>
        <v>0</v>
      </c>
      <c r="S50">
        <f>ROUND($F5*'Allocators Calc'!J50,0)</f>
        <v>0</v>
      </c>
      <c r="T50" s="13">
        <f>ROUND($F5*'Allocators Calc'!K50,0)</f>
        <v>0</v>
      </c>
      <c r="U50">
        <f>ROUND($F5*'Allocators Calc'!L50,0)</f>
        <v>0</v>
      </c>
      <c r="V50">
        <f>ROUND($F5*'Allocators Calc'!M50,0)</f>
        <v>0</v>
      </c>
      <c r="W50">
        <f>ROUND($F5*'Allocators Calc'!N50,0)</f>
        <v>0</v>
      </c>
      <c r="X50" s="13">
        <f>ROUND($F5*'Allocators Calc'!O50,0)</f>
        <v>0</v>
      </c>
      <c r="Y50">
        <f>ROUND($F5*'Allocators Calc'!P50,0)</f>
        <v>0</v>
      </c>
      <c r="Z50">
        <f>ROUND($F5*'Allocators Calc'!Q50,0)</f>
        <v>0</v>
      </c>
      <c r="AA50">
        <f>ROUND($F5*'Allocators Calc'!R50,0)</f>
        <v>0</v>
      </c>
      <c r="AB50" s="13">
        <f>ROUND($F5*'Allocators Calc'!S50,0)</f>
        <v>0</v>
      </c>
      <c r="AC50">
        <f>ROUND($F5*'Allocators Calc'!T50,0)</f>
        <v>0</v>
      </c>
      <c r="AD50">
        <f>ROUND($F5*'Allocators Calc'!U50,0)</f>
        <v>0</v>
      </c>
      <c r="AE50">
        <f>ROUND($F5*'Allocators Calc'!V50,0)</f>
        <v>0</v>
      </c>
      <c r="AF50">
        <f>ROUND($F5*'Allocators Calc'!W50,0)</f>
        <v>0</v>
      </c>
      <c r="AG50" s="11"/>
      <c r="AH50">
        <f>ROUND($F5*'Allocators Calc'!Y50,0)</f>
        <v>0</v>
      </c>
      <c r="AI50">
        <f>ROUND($F5*'Allocators Calc'!Z50,0)</f>
        <v>7027852</v>
      </c>
      <c r="AJ50">
        <f>ROUND($F5*'Allocators Calc'!AA50,0)</f>
        <v>0</v>
      </c>
      <c r="AK50">
        <f>ROUND($F5*'Allocators Calc'!AB50,0)</f>
        <v>0</v>
      </c>
      <c r="AL50">
        <f>ROUND($F5*'Allocators Calc'!AC50,0)</f>
        <v>0</v>
      </c>
      <c r="AM50" s="10">
        <f t="shared" si="27"/>
        <v>27733509</v>
      </c>
      <c r="AN50">
        <f>ROUND($F5*'Allocators Calc'!AE50,0)</f>
        <v>20407379</v>
      </c>
      <c r="AO50" s="11"/>
      <c r="AP50">
        <f>ROUND($F5*'Allocators Calc'!AG50,0)</f>
        <v>0</v>
      </c>
      <c r="AQ50">
        <f>ROUND($F5*'Allocators Calc'!AH50,0)</f>
        <v>0</v>
      </c>
      <c r="AR50">
        <f>ROUND($F5*'Allocators Calc'!AI50,0)</f>
        <v>0</v>
      </c>
      <c r="AS50">
        <f>ROUND($F5*'Allocators Calc'!AJ50,0)</f>
        <v>0</v>
      </c>
      <c r="AT50">
        <f>ROUND($F5*'Allocators Calc'!AK50,0)</f>
        <v>0</v>
      </c>
      <c r="AU50" s="13">
        <f>ROUND($F5*'Allocators Calc'!AL50,0)</f>
        <v>0</v>
      </c>
      <c r="AV50">
        <f>ROUND($F5*'Allocators Calc'!AM50,0)</f>
        <v>0</v>
      </c>
      <c r="AW50">
        <f>ROUND($F5*'Allocators Calc'!AN50,0)</f>
        <v>0</v>
      </c>
      <c r="AX50">
        <f>ROUND($F5*'Allocators Calc'!AO50,0)</f>
        <v>0</v>
      </c>
      <c r="AY50">
        <f>ROUND($F5*'Allocators Calc'!AP50,0)</f>
        <v>0</v>
      </c>
      <c r="AZ50">
        <f>ROUND($F5*'Allocators Calc'!AQ50,0)</f>
        <v>0</v>
      </c>
      <c r="BA50" s="13">
        <f>ROUND($F5*'Allocators Calc'!AR50,0)</f>
        <v>0</v>
      </c>
      <c r="BB50">
        <f>ROUND($F5*'Allocators Calc'!AS50,0)</f>
        <v>3708</v>
      </c>
      <c r="BC50">
        <f>ROUND($F5*'Allocators Calc'!AT50,0)</f>
        <v>8479</v>
      </c>
      <c r="BD50">
        <f>ROUND($F5*'Allocators Calc'!AU50,0)</f>
        <v>16976</v>
      </c>
      <c r="BE50">
        <f>ROUND($F5*'Allocators Calc'!AV50,0)</f>
        <v>1908737</v>
      </c>
      <c r="BF50">
        <f>ROUND($F5*'Allocators Calc'!AW50,0)</f>
        <v>1749449</v>
      </c>
      <c r="BG50" s="13">
        <f>ROUND($F5*'Allocators Calc'!AX50,0)</f>
        <v>153513</v>
      </c>
      <c r="BH50">
        <f>ROUND($F5*'Allocators Calc'!AY50,0)</f>
        <v>1209856</v>
      </c>
      <c r="BI50">
        <f>ROUND($F5*'Allocators Calc'!AZ50,0)</f>
        <v>2388682</v>
      </c>
      <c r="BJ50">
        <f>ROUND($F5*'Allocators Calc'!BA50,0)</f>
        <v>3623514</v>
      </c>
      <c r="BK50">
        <f>ROUND($F5*'Allocators Calc'!BB50,0)</f>
        <v>22845759</v>
      </c>
      <c r="BL50">
        <f>ROUND($F5*'Allocators Calc'!BC50,0)</f>
        <v>12597229</v>
      </c>
      <c r="BM50" s="13">
        <f>ROUND($F5*'Allocators Calc'!BD50,0)</f>
        <v>9230914</v>
      </c>
      <c r="BN50">
        <f>ROUND($F5*'Allocators Calc'!BE50,0)</f>
        <v>3875</v>
      </c>
      <c r="BO50">
        <f>ROUND($F5*'Allocators Calc'!BF50,0)</f>
        <v>8871</v>
      </c>
      <c r="BP50">
        <f>ROUND($F5*'Allocators Calc'!BG50,0)</f>
        <v>18552</v>
      </c>
      <c r="BQ50">
        <f>ROUND($F5*'Allocators Calc'!BH50,0)</f>
        <v>379622</v>
      </c>
      <c r="BR50">
        <f>ROUND($F5*'Allocators Calc'!BI50,0)</f>
        <v>215009</v>
      </c>
      <c r="BS50" s="13">
        <f>ROUND($F5*'Allocators Calc'!BJ50,0)</f>
        <v>229249</v>
      </c>
      <c r="BT50">
        <f>ROUND($F5*'Allocators Calc'!BK50,0)</f>
        <v>0</v>
      </c>
      <c r="BU50">
        <f>ROUND($F5*'Allocators Calc'!BL50,0)</f>
        <v>0</v>
      </c>
      <c r="BV50">
        <f>ROUND($F5*'Allocators Calc'!BM50,0)</f>
        <v>0</v>
      </c>
      <c r="BW50">
        <f>ROUND($F5*'Allocators Calc'!BN50,0)</f>
        <v>0</v>
      </c>
      <c r="BX50">
        <f>ROUND($F5*'Allocators Calc'!BO50,0)</f>
        <v>0</v>
      </c>
      <c r="BY50" s="13">
        <f>ROUND($F5*'Allocators Calc'!BP50,0)</f>
        <v>0</v>
      </c>
      <c r="BZ50">
        <f>ROUND($F5*'Allocators Calc'!BQ50,0)</f>
        <v>0</v>
      </c>
      <c r="CA50">
        <f>ROUND($F5*'Allocators Calc'!BR50,0)</f>
        <v>0</v>
      </c>
      <c r="CB50">
        <f>ROUND($F5*'Allocators Calc'!BS50,0)</f>
        <v>0</v>
      </c>
      <c r="CC50">
        <f>ROUND($F5*'Allocators Calc'!BT50,0)</f>
        <v>0</v>
      </c>
      <c r="CD50">
        <f>ROUND($F5*'Allocators Calc'!BU50,0)</f>
        <v>0</v>
      </c>
      <c r="CE50" s="13">
        <f>ROUND($F5*'Allocators Calc'!BV50,0)</f>
        <v>0</v>
      </c>
      <c r="CF50" s="11"/>
      <c r="CG50">
        <f>ROUND($F5*'Allocators Calc'!BX50,0)</f>
        <v>0</v>
      </c>
      <c r="CH50">
        <f>ROUND($F5*'Allocators Calc'!BY50,0)</f>
        <v>0</v>
      </c>
      <c r="CI50">
        <f>ROUND($F5*'Allocators Calc'!BZ50,0)</f>
        <v>0</v>
      </c>
      <c r="CJ50">
        <f>ROUND($F5*'Allocators Calc'!CA50,0)</f>
        <v>0</v>
      </c>
      <c r="CK50">
        <f>ROUND($F5*'Allocators Calc'!CB50,0)</f>
        <v>0</v>
      </c>
      <c r="CL50">
        <f>ROUND($F5*'Allocators Calc'!CC50,0)</f>
        <v>0</v>
      </c>
      <c r="CM50" s="69">
        <f>ROUND('Allocators Data'!CG50,0)</f>
        <v>0</v>
      </c>
      <c r="CN50">
        <f>ROUND($F5*'Allocators Calc'!CE50,0)+ROUND($F5*'Allocators Calc'!CD50,0)-ROUND('Allocators Data'!CG50,0)</f>
        <v>0</v>
      </c>
      <c r="CO50">
        <f>ROUND($F5*'Allocators Calc'!CF50,0)</f>
        <v>0</v>
      </c>
      <c r="CP50">
        <f>ROUND($F5*'Allocators Calc'!CG50,0)</f>
        <v>0</v>
      </c>
      <c r="CQ50" s="11"/>
      <c r="CR50">
        <f>ROUND($F5*'Allocators Calc'!CI50,0)</f>
        <v>0</v>
      </c>
      <c r="CS50">
        <f>ROUND($F5*'Allocators Calc'!CJ50,0)</f>
        <v>0</v>
      </c>
      <c r="CT50" s="13">
        <f>ROUND($F5*'Allocators Calc'!CK50,0)</f>
        <v>0</v>
      </c>
      <c r="CU50">
        <f>ROUND($F5*'Allocators Calc'!CL50,0)</f>
        <v>0</v>
      </c>
      <c r="CV50">
        <f>ROUND($F5*'Allocators Calc'!CM50,0)</f>
        <v>0</v>
      </c>
      <c r="CW50" s="13">
        <f>ROUND($F5*'Allocators Calc'!CN50,0)</f>
        <v>0</v>
      </c>
      <c r="CX50" s="11"/>
      <c r="CY50">
        <f>ROUND($F5*'Allocators Calc'!CP50,0)</f>
        <v>1216517</v>
      </c>
      <c r="CZ50">
        <f>ROUND($F5*'Allocators Calc'!CQ50,0)</f>
        <v>9709272</v>
      </c>
      <c r="DA50" s="22"/>
      <c r="DB50">
        <f>ROUND($F5*'Allocators Calc'!CS50,0)</f>
        <v>0</v>
      </c>
      <c r="DC50">
        <f>ROUND($F5*'Allocators Calc'!CT50,0)</f>
        <v>0</v>
      </c>
      <c r="DD50">
        <f>ROUND($F5*'Allocators Calc'!CU50,0)</f>
        <v>110393</v>
      </c>
      <c r="DE50">
        <f>ROUND($F5*'Allocators Calc'!CV50,0)</f>
        <v>0</v>
      </c>
      <c r="DF50">
        <f>ROUND($F5*'Allocators Calc'!CW50,0)</f>
        <v>0</v>
      </c>
      <c r="DG50">
        <f>ROUND($F5*'Allocators Calc'!CX50,0)</f>
        <v>0</v>
      </c>
      <c r="DH50">
        <f>ROUND($F5*'Allocators Calc'!CY50,0)</f>
        <v>643532</v>
      </c>
      <c r="DI50">
        <f>ROUND($F5*'Allocators Calc'!CZ50,0)</f>
        <v>0</v>
      </c>
      <c r="DJ50">
        <f>ROUND($F5*'Allocators Calc'!DA50,0)</f>
        <v>13498</v>
      </c>
      <c r="DK50" s="22"/>
      <c r="DL50" s="3">
        <f t="shared" si="28"/>
        <v>127887242</v>
      </c>
      <c r="DM50" s="3">
        <f t="shared" si="29"/>
        <v>127887242</v>
      </c>
      <c r="DN50" s="3">
        <f t="shared" si="2"/>
        <v>0</v>
      </c>
    </row>
    <row r="51" spans="11:119" x14ac:dyDescent="0.2">
      <c r="K51" t="s">
        <v>235</v>
      </c>
      <c r="L51">
        <f>ROUND($F6*'Allocators Calc'!C51,0)</f>
        <v>657588</v>
      </c>
      <c r="M51">
        <f>ROUND($F6*'Allocators Calc'!D51,0)</f>
        <v>877986</v>
      </c>
      <c r="N51">
        <f>ROUND($F6*'Allocators Calc'!E51,0)</f>
        <v>856700</v>
      </c>
      <c r="O51">
        <f>ROUND($F6*'Allocators Calc'!F51,0)</f>
        <v>1211253</v>
      </c>
      <c r="P51" s="15">
        <f>ROUND($F6*'Allocators Calc'!G51,0)</f>
        <v>777</v>
      </c>
      <c r="Q51">
        <f>ROUND($F6*'Allocators Calc'!H51,0)</f>
        <v>0</v>
      </c>
      <c r="R51">
        <f>ROUND($F6*'Allocators Calc'!I51,0)</f>
        <v>0</v>
      </c>
      <c r="S51">
        <f>ROUND($F6*'Allocators Calc'!J51,0)</f>
        <v>0</v>
      </c>
      <c r="T51" s="13">
        <f>ROUND($F6*'Allocators Calc'!K51,0)</f>
        <v>0</v>
      </c>
      <c r="U51">
        <f>ROUND($F6*'Allocators Calc'!L51,0)</f>
        <v>0</v>
      </c>
      <c r="V51">
        <f>ROUND($F6*'Allocators Calc'!M51,0)</f>
        <v>0</v>
      </c>
      <c r="W51">
        <f>ROUND($F6*'Allocators Calc'!N51,0)</f>
        <v>0</v>
      </c>
      <c r="X51" s="13">
        <f>ROUND($F6*'Allocators Calc'!O51,0)</f>
        <v>0</v>
      </c>
      <c r="Y51">
        <f>ROUND($F6*'Allocators Calc'!P51,0)</f>
        <v>0</v>
      </c>
      <c r="Z51">
        <f>ROUND($F6*'Allocators Calc'!Q51,0)</f>
        <v>0</v>
      </c>
      <c r="AA51">
        <f>ROUND($F6*'Allocators Calc'!R51,0)</f>
        <v>0</v>
      </c>
      <c r="AB51" s="13">
        <f>ROUND($F6*'Allocators Calc'!S51,0)</f>
        <v>0</v>
      </c>
      <c r="AC51">
        <f>ROUND($F6*'Allocators Calc'!T51,0)</f>
        <v>0</v>
      </c>
      <c r="AD51">
        <f>ROUND($F6*'Allocators Calc'!U51,0)</f>
        <v>0</v>
      </c>
      <c r="AE51">
        <f>ROUND($F6*'Allocators Calc'!V51,0)</f>
        <v>0</v>
      </c>
      <c r="AF51">
        <f>ROUND($F6*'Allocators Calc'!W51,0)</f>
        <v>0</v>
      </c>
      <c r="AG51" s="11"/>
      <c r="AH51">
        <f>ROUND($F6*'Allocators Calc'!Y51,0)</f>
        <v>0</v>
      </c>
      <c r="AI51">
        <f>ROUND($F6*'Allocators Calc'!Z51,0)</f>
        <v>5839592</v>
      </c>
      <c r="AJ51">
        <f>ROUND($F6*'Allocators Calc'!AA51,0)</f>
        <v>0</v>
      </c>
      <c r="AK51">
        <f>ROUND($F6*'Allocators Calc'!AB51,0)</f>
        <v>0</v>
      </c>
      <c r="AL51">
        <f>ROUND($F6*'Allocators Calc'!AC51,0)</f>
        <v>0</v>
      </c>
      <c r="AM51" s="10">
        <f t="shared" si="27"/>
        <v>26509686</v>
      </c>
      <c r="AN51">
        <f>ROUND($F6*'Allocators Calc'!AE51,0)</f>
        <v>18615881</v>
      </c>
      <c r="AO51" s="11"/>
      <c r="AP51">
        <f>ROUND($F6*'Allocators Calc'!AG51,0)</f>
        <v>0</v>
      </c>
      <c r="AQ51">
        <f>ROUND($F6*'Allocators Calc'!AH51,0)</f>
        <v>0</v>
      </c>
      <c r="AR51">
        <f>ROUND($F6*'Allocators Calc'!AI51,0)</f>
        <v>0</v>
      </c>
      <c r="AS51">
        <f>ROUND($F6*'Allocators Calc'!AJ51,0)</f>
        <v>0</v>
      </c>
      <c r="AT51">
        <f>ROUND($F6*'Allocators Calc'!AK51,0)</f>
        <v>0</v>
      </c>
      <c r="AU51" s="13">
        <f>ROUND($F6*'Allocators Calc'!AL51,0)</f>
        <v>0</v>
      </c>
      <c r="AV51">
        <f>ROUND($F6*'Allocators Calc'!AM51,0)</f>
        <v>0</v>
      </c>
      <c r="AW51">
        <f>ROUND($F6*'Allocators Calc'!AN51,0)</f>
        <v>0</v>
      </c>
      <c r="AX51">
        <f>ROUND($F6*'Allocators Calc'!AO51,0)</f>
        <v>0</v>
      </c>
      <c r="AY51">
        <f>ROUND($F6*'Allocators Calc'!AP51,0)</f>
        <v>0</v>
      </c>
      <c r="AZ51">
        <f>ROUND($F6*'Allocators Calc'!AQ51,0)</f>
        <v>0</v>
      </c>
      <c r="BA51" s="13">
        <f>ROUND($F6*'Allocators Calc'!AR51,0)</f>
        <v>0</v>
      </c>
      <c r="BB51">
        <f>ROUND($F6*'Allocators Calc'!AS51,0)</f>
        <v>3187</v>
      </c>
      <c r="BC51">
        <f>ROUND($F6*'Allocators Calc'!AT51,0)</f>
        <v>7285</v>
      </c>
      <c r="BD51">
        <f>ROUND($F6*'Allocators Calc'!AU51,0)</f>
        <v>14587</v>
      </c>
      <c r="BE51">
        <f>ROUND($F6*'Allocators Calc'!AV51,0)</f>
        <v>1640120</v>
      </c>
      <c r="BF51">
        <f>ROUND($F6*'Allocators Calc'!AW51,0)</f>
        <v>1503248</v>
      </c>
      <c r="BG51" s="13">
        <f>ROUND($F6*'Allocators Calc'!AX51,0)</f>
        <v>131909</v>
      </c>
      <c r="BH51">
        <f>ROUND($F6*'Allocators Calc'!AY51,0)</f>
        <v>1076403</v>
      </c>
      <c r="BI51">
        <f>ROUND($F6*'Allocators Calc'!AZ51,0)</f>
        <v>2125198</v>
      </c>
      <c r="BJ51">
        <f>ROUND($F6*'Allocators Calc'!BA51,0)</f>
        <v>3223822</v>
      </c>
      <c r="BK51">
        <f>ROUND($F6*'Allocators Calc'!BB51,0)</f>
        <v>20325753</v>
      </c>
      <c r="BL51">
        <f>ROUND($F6*'Allocators Calc'!BC51,0)</f>
        <v>11207690</v>
      </c>
      <c r="BM51" s="13">
        <f>ROUND($F6*'Allocators Calc'!BD51,0)</f>
        <v>8212697</v>
      </c>
      <c r="BN51">
        <f>ROUND($F6*'Allocators Calc'!BE51,0)</f>
        <v>2993</v>
      </c>
      <c r="BO51">
        <f>ROUND($F6*'Allocators Calc'!BF51,0)</f>
        <v>6853</v>
      </c>
      <c r="BP51">
        <f>ROUND($F6*'Allocators Calc'!BG51,0)</f>
        <v>14332</v>
      </c>
      <c r="BQ51">
        <f>ROUND($F6*'Allocators Calc'!BH51,0)</f>
        <v>293261</v>
      </c>
      <c r="BR51">
        <f>ROUND($F6*'Allocators Calc'!BI51,0)</f>
        <v>166096</v>
      </c>
      <c r="BS51" s="13">
        <f>ROUND($F6*'Allocators Calc'!BJ51,0)</f>
        <v>177097</v>
      </c>
      <c r="BT51">
        <f>ROUND($F6*'Allocators Calc'!BK51,0)</f>
        <v>0</v>
      </c>
      <c r="BU51">
        <f>ROUND($F6*'Allocators Calc'!BL51,0)</f>
        <v>0</v>
      </c>
      <c r="BV51">
        <f>ROUND($F6*'Allocators Calc'!BM51,0)</f>
        <v>0</v>
      </c>
      <c r="BW51">
        <f>ROUND($F6*'Allocators Calc'!BN51,0)</f>
        <v>0</v>
      </c>
      <c r="BX51">
        <f>ROUND($F6*'Allocators Calc'!BO51,0)</f>
        <v>0</v>
      </c>
      <c r="BY51" s="13">
        <f>ROUND($F6*'Allocators Calc'!BP51,0)</f>
        <v>0</v>
      </c>
      <c r="BZ51">
        <f>ROUND($F6*'Allocators Calc'!BQ51,0)</f>
        <v>0</v>
      </c>
      <c r="CA51">
        <f>ROUND($F6*'Allocators Calc'!BR51,0)</f>
        <v>0</v>
      </c>
      <c r="CB51">
        <f>ROUND($F6*'Allocators Calc'!BS51,0)</f>
        <v>0</v>
      </c>
      <c r="CC51">
        <f>ROUND($F6*'Allocators Calc'!BT51,0)</f>
        <v>0</v>
      </c>
      <c r="CD51">
        <f>ROUND($F6*'Allocators Calc'!BU51,0)</f>
        <v>0</v>
      </c>
      <c r="CE51" s="13">
        <f>ROUND($F6*'Allocators Calc'!BV51,0)</f>
        <v>0</v>
      </c>
      <c r="CF51" s="11"/>
      <c r="CG51">
        <f>ROUND($F6*'Allocators Calc'!BX51,0)</f>
        <v>0</v>
      </c>
      <c r="CH51">
        <f>ROUND($F6*'Allocators Calc'!BY51,0)</f>
        <v>0</v>
      </c>
      <c r="CI51">
        <f>ROUND($F6*'Allocators Calc'!BZ51,0)</f>
        <v>0</v>
      </c>
      <c r="CJ51">
        <f>ROUND($F6*'Allocators Calc'!CA51,0)</f>
        <v>0</v>
      </c>
      <c r="CK51">
        <f>ROUND($F6*'Allocators Calc'!CB51,0)</f>
        <v>0</v>
      </c>
      <c r="CL51">
        <f>ROUND($F6*'Allocators Calc'!CC51,0)</f>
        <v>0</v>
      </c>
      <c r="CM51" s="69">
        <f>ROUND('Allocators Data'!CG51,0)</f>
        <v>0</v>
      </c>
      <c r="CN51">
        <f>ROUND($F6*'Allocators Calc'!CE51,0)+ROUND($F6*'Allocators Calc'!CD51,0)-ROUND('Allocators Data'!CG51,0)</f>
        <v>0</v>
      </c>
      <c r="CO51">
        <f>ROUND($F6*'Allocators Calc'!CF51,0)</f>
        <v>0</v>
      </c>
      <c r="CP51">
        <f>ROUND($F6*'Allocators Calc'!CG51,0)</f>
        <v>0</v>
      </c>
      <c r="CQ51" s="11"/>
      <c r="CR51">
        <f>ROUND($F6*'Allocators Calc'!CI51,0)</f>
        <v>0</v>
      </c>
      <c r="CS51">
        <f>ROUND($F6*'Allocators Calc'!CJ51,0)</f>
        <v>0</v>
      </c>
      <c r="CT51" s="13">
        <f>ROUND($F6*'Allocators Calc'!CK51,0)</f>
        <v>0</v>
      </c>
      <c r="CU51">
        <f>ROUND($F6*'Allocators Calc'!CL51,0)</f>
        <v>0</v>
      </c>
      <c r="CV51">
        <f>ROUND($F6*'Allocators Calc'!CM51,0)</f>
        <v>0</v>
      </c>
      <c r="CW51" s="13">
        <f>ROUND($F6*'Allocators Calc'!CN51,0)</f>
        <v>0</v>
      </c>
      <c r="CX51" s="11"/>
      <c r="CY51">
        <f>ROUND($F6*'Allocators Calc'!CP51,0)</f>
        <v>1057713</v>
      </c>
      <c r="CZ51">
        <f>ROUND($F6*'Allocators Calc'!CQ51,0)</f>
        <v>8441825</v>
      </c>
      <c r="DA51" s="22"/>
      <c r="DB51">
        <f>ROUND($F6*'Allocators Calc'!CS51,0)</f>
        <v>0</v>
      </c>
      <c r="DC51">
        <f>ROUND($F6*'Allocators Calc'!CT51,0)</f>
        <v>0</v>
      </c>
      <c r="DD51">
        <f>ROUND($F6*'Allocators Calc'!CU51,0)</f>
        <v>90005</v>
      </c>
      <c r="DE51">
        <f>ROUND($F6*'Allocators Calc'!CV51,0)</f>
        <v>0</v>
      </c>
      <c r="DF51">
        <f>ROUND($F6*'Allocators Calc'!CW51,0)</f>
        <v>0</v>
      </c>
      <c r="DG51">
        <f>ROUND($F6*'Allocators Calc'!CX51,0)</f>
        <v>0</v>
      </c>
      <c r="DH51">
        <f>ROUND($F6*'Allocators Calc'!CY51,0)</f>
        <v>576861</v>
      </c>
      <c r="DI51">
        <f>ROUND($F6*'Allocators Calc'!CZ51,0)</f>
        <v>0</v>
      </c>
      <c r="DJ51">
        <f>ROUND($F6*'Allocators Calc'!DA51,0)</f>
        <v>12281</v>
      </c>
      <c r="DK51" s="22"/>
      <c r="DL51" s="3">
        <f t="shared" si="28"/>
        <v>114880679</v>
      </c>
      <c r="DM51" s="3">
        <f t="shared" si="29"/>
        <v>114880679</v>
      </c>
      <c r="DN51" s="3">
        <f t="shared" si="2"/>
        <v>0</v>
      </c>
    </row>
    <row r="52" spans="11:119" x14ac:dyDescent="0.2">
      <c r="K52" t="s">
        <v>236</v>
      </c>
      <c r="L52">
        <f>ROUND($F7*'Allocators Calc'!C52,0)</f>
        <v>713234</v>
      </c>
      <c r="M52">
        <f>ROUND($F7*'Allocators Calc'!D52,0)</f>
        <v>899343</v>
      </c>
      <c r="N52">
        <f>ROUND($F7*'Allocators Calc'!E52,0)</f>
        <v>852445</v>
      </c>
      <c r="O52">
        <f>ROUND($F7*'Allocators Calc'!F52,0)</f>
        <v>1202367</v>
      </c>
      <c r="P52" s="15">
        <f>ROUND($F7*'Allocators Calc'!G52,0)</f>
        <v>494</v>
      </c>
      <c r="Q52">
        <f>ROUND($F7*'Allocators Calc'!H52,0)</f>
        <v>0</v>
      </c>
      <c r="R52">
        <f>ROUND($F7*'Allocators Calc'!I52,0)</f>
        <v>0</v>
      </c>
      <c r="S52">
        <f>ROUND($F7*'Allocators Calc'!J52,0)</f>
        <v>0</v>
      </c>
      <c r="T52" s="13">
        <f>ROUND($F7*'Allocators Calc'!K52,0)</f>
        <v>0</v>
      </c>
      <c r="U52">
        <f>ROUND($F7*'Allocators Calc'!L52,0)</f>
        <v>0</v>
      </c>
      <c r="V52">
        <f>ROUND($F7*'Allocators Calc'!M52,0)</f>
        <v>0</v>
      </c>
      <c r="W52">
        <f>ROUND($F7*'Allocators Calc'!N52,0)</f>
        <v>0</v>
      </c>
      <c r="X52" s="13">
        <f>ROUND($F7*'Allocators Calc'!O52,0)</f>
        <v>0</v>
      </c>
      <c r="Y52">
        <f>ROUND($F7*'Allocators Calc'!P52,0)</f>
        <v>0</v>
      </c>
      <c r="Z52">
        <f>ROUND($F7*'Allocators Calc'!Q52,0)</f>
        <v>0</v>
      </c>
      <c r="AA52">
        <f>ROUND($F7*'Allocators Calc'!R52,0)</f>
        <v>0</v>
      </c>
      <c r="AB52" s="13">
        <f>ROUND($F7*'Allocators Calc'!S52,0)</f>
        <v>0</v>
      </c>
      <c r="AC52">
        <f>ROUND($F7*'Allocators Calc'!T52,0)</f>
        <v>0</v>
      </c>
      <c r="AD52">
        <f>ROUND($F7*'Allocators Calc'!U52,0)</f>
        <v>0</v>
      </c>
      <c r="AE52">
        <f>ROUND($F7*'Allocators Calc'!V52,0)</f>
        <v>0</v>
      </c>
      <c r="AF52">
        <f>ROUND($F7*'Allocators Calc'!W52,0)</f>
        <v>0</v>
      </c>
      <c r="AG52" s="11"/>
      <c r="AH52">
        <f>ROUND($F7*'Allocators Calc'!Y52,0)</f>
        <v>0</v>
      </c>
      <c r="AI52">
        <f>ROUND($F7*'Allocators Calc'!Z52,0)</f>
        <v>7220744</v>
      </c>
      <c r="AJ52">
        <f>ROUND($F7*'Allocators Calc'!AA52,0)</f>
        <v>0</v>
      </c>
      <c r="AK52">
        <f>ROUND($F7*'Allocators Calc'!AB52,0)</f>
        <v>0</v>
      </c>
      <c r="AL52">
        <f>ROUND($F7*'Allocators Calc'!AC52,0)</f>
        <v>0</v>
      </c>
      <c r="AM52" s="10">
        <f t="shared" si="27"/>
        <v>30061585</v>
      </c>
      <c r="AN52">
        <f>ROUND($F7*'Allocators Calc'!AE52,0)</f>
        <v>20907023</v>
      </c>
      <c r="AO52" s="11"/>
      <c r="AP52">
        <f>ROUND($F7*'Allocators Calc'!AG52,0)</f>
        <v>0</v>
      </c>
      <c r="AQ52">
        <f>ROUND($F7*'Allocators Calc'!AH52,0)</f>
        <v>0</v>
      </c>
      <c r="AR52">
        <f>ROUND($F7*'Allocators Calc'!AI52,0)</f>
        <v>0</v>
      </c>
      <c r="AS52">
        <f>ROUND($F7*'Allocators Calc'!AJ52,0)</f>
        <v>0</v>
      </c>
      <c r="AT52">
        <f>ROUND($F7*'Allocators Calc'!AK52,0)</f>
        <v>0</v>
      </c>
      <c r="AU52" s="13">
        <f>ROUND($F7*'Allocators Calc'!AL52,0)</f>
        <v>0</v>
      </c>
      <c r="AV52">
        <f>ROUND($F7*'Allocators Calc'!AM52,0)</f>
        <v>0</v>
      </c>
      <c r="AW52">
        <f>ROUND($F7*'Allocators Calc'!AN52,0)</f>
        <v>0</v>
      </c>
      <c r="AX52">
        <f>ROUND($F7*'Allocators Calc'!AO52,0)</f>
        <v>0</v>
      </c>
      <c r="AY52">
        <f>ROUND($F7*'Allocators Calc'!AP52,0)</f>
        <v>0</v>
      </c>
      <c r="AZ52">
        <f>ROUND($F7*'Allocators Calc'!AQ52,0)</f>
        <v>0</v>
      </c>
      <c r="BA52" s="13">
        <f>ROUND($F7*'Allocators Calc'!AR52,0)</f>
        <v>0</v>
      </c>
      <c r="BB52">
        <f>ROUND($F7*'Allocators Calc'!AS52,0)</f>
        <v>3869</v>
      </c>
      <c r="BC52">
        <f>ROUND($F7*'Allocators Calc'!AT52,0)</f>
        <v>8846</v>
      </c>
      <c r="BD52">
        <f>ROUND($F7*'Allocators Calc'!AU52,0)</f>
        <v>17712</v>
      </c>
      <c r="BE52">
        <f>ROUND($F7*'Allocators Calc'!AV52,0)</f>
        <v>1991413</v>
      </c>
      <c r="BF52">
        <f>ROUND($F7*'Allocators Calc'!AW52,0)</f>
        <v>1825225</v>
      </c>
      <c r="BG52" s="13">
        <f>ROUND($F7*'Allocators Calc'!AX52,0)</f>
        <v>160163</v>
      </c>
      <c r="BH52">
        <f>ROUND($F7*'Allocators Calc'!AY52,0)</f>
        <v>1289454</v>
      </c>
      <c r="BI52">
        <f>ROUND($F7*'Allocators Calc'!AZ52,0)</f>
        <v>2545836</v>
      </c>
      <c r="BJ52">
        <f>ROUND($F7*'Allocators Calc'!BA52,0)</f>
        <v>3861908</v>
      </c>
      <c r="BK52">
        <f>ROUND($F7*'Allocators Calc'!BB52,0)</f>
        <v>24348802</v>
      </c>
      <c r="BL52">
        <f>ROUND($F7*'Allocators Calc'!BC52,0)</f>
        <v>13426013</v>
      </c>
      <c r="BM52" s="13">
        <f>ROUND($F7*'Allocators Calc'!BD52,0)</f>
        <v>9838225</v>
      </c>
      <c r="BN52">
        <f>ROUND($F7*'Allocators Calc'!BE52,0)</f>
        <v>3229</v>
      </c>
      <c r="BO52">
        <f>ROUND($F7*'Allocators Calc'!BF52,0)</f>
        <v>7393</v>
      </c>
      <c r="BP52">
        <f>ROUND($F7*'Allocators Calc'!BG52,0)</f>
        <v>15459</v>
      </c>
      <c r="BQ52">
        <f>ROUND($F7*'Allocators Calc'!BH52,0)</f>
        <v>316338</v>
      </c>
      <c r="BR52">
        <f>ROUND($F7*'Allocators Calc'!BI52,0)</f>
        <v>179167</v>
      </c>
      <c r="BS52" s="13">
        <f>ROUND($F7*'Allocators Calc'!BJ52,0)</f>
        <v>191033</v>
      </c>
      <c r="BT52">
        <f>ROUND($F7*'Allocators Calc'!BK52,0)</f>
        <v>0</v>
      </c>
      <c r="BU52">
        <f>ROUND($F7*'Allocators Calc'!BL52,0)</f>
        <v>0</v>
      </c>
      <c r="BV52">
        <f>ROUND($F7*'Allocators Calc'!BM52,0)</f>
        <v>0</v>
      </c>
      <c r="BW52">
        <f>ROUND($F7*'Allocators Calc'!BN52,0)</f>
        <v>0</v>
      </c>
      <c r="BX52">
        <f>ROUND($F7*'Allocators Calc'!BO52,0)</f>
        <v>0</v>
      </c>
      <c r="BY52" s="13">
        <f>ROUND($F7*'Allocators Calc'!BP52,0)</f>
        <v>0</v>
      </c>
      <c r="BZ52">
        <f>ROUND($F7*'Allocators Calc'!BQ52,0)</f>
        <v>0</v>
      </c>
      <c r="CA52">
        <f>ROUND($F7*'Allocators Calc'!BR52,0)</f>
        <v>0</v>
      </c>
      <c r="CB52">
        <f>ROUND($F7*'Allocators Calc'!BS52,0)</f>
        <v>0</v>
      </c>
      <c r="CC52">
        <f>ROUND($F7*'Allocators Calc'!BT52,0)</f>
        <v>0</v>
      </c>
      <c r="CD52">
        <f>ROUND($F7*'Allocators Calc'!BU52,0)</f>
        <v>0</v>
      </c>
      <c r="CE52" s="13">
        <f>ROUND($F7*'Allocators Calc'!BV52,0)</f>
        <v>0</v>
      </c>
      <c r="CF52" s="11"/>
      <c r="CG52">
        <f>ROUND($F7*'Allocators Calc'!BX52,0)</f>
        <v>0</v>
      </c>
      <c r="CH52">
        <f>ROUND($F7*'Allocators Calc'!BY52,0)</f>
        <v>0</v>
      </c>
      <c r="CI52">
        <f>ROUND($F7*'Allocators Calc'!BZ52,0)</f>
        <v>0</v>
      </c>
      <c r="CJ52">
        <f>ROUND($F7*'Allocators Calc'!CA52,0)</f>
        <v>0</v>
      </c>
      <c r="CK52">
        <f>ROUND($F7*'Allocators Calc'!CB52,0)</f>
        <v>0</v>
      </c>
      <c r="CL52">
        <f>ROUND($F7*'Allocators Calc'!CC52,0)</f>
        <v>0</v>
      </c>
      <c r="CM52" s="69">
        <f>ROUND('Allocators Data'!CG52,0)</f>
        <v>0</v>
      </c>
      <c r="CN52">
        <f>ROUND($F7*'Allocators Calc'!CE52,0)+ROUND($F7*'Allocators Calc'!CD52,0)-ROUND('Allocators Data'!CG52,0)</f>
        <v>0</v>
      </c>
      <c r="CO52">
        <f>ROUND($F7*'Allocators Calc'!CF52,0)</f>
        <v>0</v>
      </c>
      <c r="CP52">
        <f>ROUND($F7*'Allocators Calc'!CG52,0)</f>
        <v>0</v>
      </c>
      <c r="CQ52" s="11"/>
      <c r="CR52">
        <f>ROUND($F7*'Allocators Calc'!CI52,0)</f>
        <v>0</v>
      </c>
      <c r="CS52">
        <f>ROUND($F7*'Allocators Calc'!CJ52,0)</f>
        <v>0</v>
      </c>
      <c r="CT52" s="13">
        <f>ROUND($F7*'Allocators Calc'!CK52,0)</f>
        <v>0</v>
      </c>
      <c r="CU52">
        <f>ROUND($F7*'Allocators Calc'!CL52,0)</f>
        <v>0</v>
      </c>
      <c r="CV52">
        <f>ROUND($F7*'Allocators Calc'!CM52,0)</f>
        <v>0</v>
      </c>
      <c r="CW52" s="13">
        <f>ROUND($F7*'Allocators Calc'!CN52,0)</f>
        <v>0</v>
      </c>
      <c r="CX52" s="11"/>
      <c r="CY52">
        <f>ROUND($F7*'Allocators Calc'!CP52,0)</f>
        <v>1105556</v>
      </c>
      <c r="CZ52">
        <f>ROUND($F7*'Allocators Calc'!CQ52,0)</f>
        <v>8823668</v>
      </c>
      <c r="DA52" s="22"/>
      <c r="DB52">
        <f>ROUND($F7*'Allocators Calc'!CS52,0)</f>
        <v>0</v>
      </c>
      <c r="DC52">
        <f>ROUND($F7*'Allocators Calc'!CT52,0)</f>
        <v>0</v>
      </c>
      <c r="DD52">
        <f>ROUND($F7*'Allocators Calc'!CU52,0)</f>
        <v>90227</v>
      </c>
      <c r="DE52">
        <f>ROUND($F7*'Allocators Calc'!CV52,0)</f>
        <v>0</v>
      </c>
      <c r="DF52">
        <f>ROUND($F7*'Allocators Calc'!CW52,0)</f>
        <v>0</v>
      </c>
      <c r="DG52">
        <f>ROUND($F7*'Allocators Calc'!CX52,0)</f>
        <v>0</v>
      </c>
      <c r="DH52">
        <f>ROUND($F7*'Allocators Calc'!CY52,0)</f>
        <v>660191</v>
      </c>
      <c r="DI52">
        <f>ROUND($F7*'Allocators Calc'!CZ52,0)</f>
        <v>0</v>
      </c>
      <c r="DJ52">
        <f>ROUND($F7*'Allocators Calc'!DA52,0)</f>
        <v>14202</v>
      </c>
      <c r="DK52" s="22"/>
      <c r="DL52" s="3">
        <f t="shared" si="28"/>
        <v>132581164</v>
      </c>
      <c r="DM52" s="3">
        <f t="shared" si="29"/>
        <v>132581164</v>
      </c>
      <c r="DN52" s="3">
        <f t="shared" si="2"/>
        <v>0</v>
      </c>
    </row>
    <row r="53" spans="11:119" x14ac:dyDescent="0.2">
      <c r="K53" t="s">
        <v>237</v>
      </c>
      <c r="L53">
        <f>ROUND($F8*'Allocators Calc'!C53,0)</f>
        <v>688029</v>
      </c>
      <c r="M53">
        <f>ROUND($F8*'Allocators Calc'!D53,0)</f>
        <v>941685</v>
      </c>
      <c r="N53">
        <f>ROUND($F8*'Allocators Calc'!E53,0)</f>
        <v>1003740</v>
      </c>
      <c r="O53">
        <f>ROUND($F8*'Allocators Calc'!F53,0)</f>
        <v>1639824</v>
      </c>
      <c r="P53" s="15">
        <f>ROUND($F8*'Allocators Calc'!G53,0)</f>
        <v>383</v>
      </c>
      <c r="Q53">
        <f>ROUND($F8*'Allocators Calc'!H53,0)</f>
        <v>0</v>
      </c>
      <c r="R53">
        <f>ROUND($F8*'Allocators Calc'!I53,0)</f>
        <v>0</v>
      </c>
      <c r="S53">
        <f>ROUND($F8*'Allocators Calc'!J53,0)</f>
        <v>0</v>
      </c>
      <c r="T53" s="13">
        <f>ROUND($F8*'Allocators Calc'!K53,0)</f>
        <v>0</v>
      </c>
      <c r="U53">
        <f>ROUND($F8*'Allocators Calc'!L53,0)</f>
        <v>0</v>
      </c>
      <c r="V53">
        <f>ROUND($F8*'Allocators Calc'!M53,0)</f>
        <v>0</v>
      </c>
      <c r="W53">
        <f>ROUND($F8*'Allocators Calc'!N53,0)</f>
        <v>0</v>
      </c>
      <c r="X53" s="13">
        <f>ROUND($F8*'Allocators Calc'!O53,0)</f>
        <v>0</v>
      </c>
      <c r="Y53">
        <f>ROUND($F8*'Allocators Calc'!P53,0)</f>
        <v>0</v>
      </c>
      <c r="Z53">
        <f>ROUND($F8*'Allocators Calc'!Q53,0)</f>
        <v>0</v>
      </c>
      <c r="AA53">
        <f>ROUND($F8*'Allocators Calc'!R53,0)</f>
        <v>0</v>
      </c>
      <c r="AB53" s="13">
        <f>ROUND($F8*'Allocators Calc'!S53,0)</f>
        <v>0</v>
      </c>
      <c r="AC53">
        <f>ROUND($F8*'Allocators Calc'!T53,0)</f>
        <v>0</v>
      </c>
      <c r="AD53">
        <f>ROUND($F8*'Allocators Calc'!U53,0)</f>
        <v>0</v>
      </c>
      <c r="AE53">
        <f>ROUND($F8*'Allocators Calc'!V53,0)</f>
        <v>0</v>
      </c>
      <c r="AF53">
        <f>ROUND($F8*'Allocators Calc'!W53,0)</f>
        <v>0</v>
      </c>
      <c r="AG53" s="11"/>
      <c r="AH53">
        <f>ROUND($F8*'Allocators Calc'!Y53,0)</f>
        <v>0</v>
      </c>
      <c r="AI53">
        <f>ROUND($F8*'Allocators Calc'!Z53,0)</f>
        <v>7456137</v>
      </c>
      <c r="AJ53">
        <f>ROUND($F8*'Allocators Calc'!AA53,0)</f>
        <v>0</v>
      </c>
      <c r="AK53">
        <f>ROUND($F8*'Allocators Calc'!AB53,0)</f>
        <v>0</v>
      </c>
      <c r="AL53">
        <f>ROUND($F8*'Allocators Calc'!AC53,0)</f>
        <v>0</v>
      </c>
      <c r="AM53" s="10">
        <f t="shared" si="27"/>
        <v>36364445</v>
      </c>
      <c r="AN53">
        <f>ROUND($F8*'Allocators Calc'!AE53,0)</f>
        <v>23693972</v>
      </c>
      <c r="AO53" s="11"/>
      <c r="AP53">
        <f>ROUND($F8*'Allocators Calc'!AG53,0)</f>
        <v>0</v>
      </c>
      <c r="AQ53">
        <f>ROUND($F8*'Allocators Calc'!AH53,0)</f>
        <v>0</v>
      </c>
      <c r="AR53">
        <f>ROUND($F8*'Allocators Calc'!AI53,0)</f>
        <v>0</v>
      </c>
      <c r="AS53">
        <f>ROUND($F8*'Allocators Calc'!AJ53,0)</f>
        <v>0</v>
      </c>
      <c r="AT53">
        <f>ROUND($F8*'Allocators Calc'!AK53,0)</f>
        <v>0</v>
      </c>
      <c r="AU53" s="13">
        <f>ROUND($F8*'Allocators Calc'!AL53,0)</f>
        <v>0</v>
      </c>
      <c r="AV53">
        <f>ROUND($F8*'Allocators Calc'!AM53,0)</f>
        <v>0</v>
      </c>
      <c r="AW53">
        <f>ROUND($F8*'Allocators Calc'!AN53,0)</f>
        <v>0</v>
      </c>
      <c r="AX53">
        <f>ROUND($F8*'Allocators Calc'!AO53,0)</f>
        <v>0</v>
      </c>
      <c r="AY53">
        <f>ROUND($F8*'Allocators Calc'!AP53,0)</f>
        <v>0</v>
      </c>
      <c r="AZ53">
        <f>ROUND($F8*'Allocators Calc'!AQ53,0)</f>
        <v>0</v>
      </c>
      <c r="BA53" s="13">
        <f>ROUND($F8*'Allocators Calc'!AR53,0)</f>
        <v>0</v>
      </c>
      <c r="BB53">
        <f>ROUND($F8*'Allocators Calc'!AS53,0)</f>
        <v>4375</v>
      </c>
      <c r="BC53">
        <f>ROUND($F8*'Allocators Calc'!AT53,0)</f>
        <v>10002</v>
      </c>
      <c r="BD53">
        <f>ROUND($F8*'Allocators Calc'!AU53,0)</f>
        <v>20027</v>
      </c>
      <c r="BE53">
        <f>ROUND($F8*'Allocators Calc'!AV53,0)</f>
        <v>2251684</v>
      </c>
      <c r="BF53">
        <f>ROUND($F8*'Allocators Calc'!AW53,0)</f>
        <v>2063776</v>
      </c>
      <c r="BG53" s="13">
        <f>ROUND($F8*'Allocators Calc'!AX53,0)</f>
        <v>181095</v>
      </c>
      <c r="BH53">
        <f>ROUND($F8*'Allocators Calc'!AY53,0)</f>
        <v>1448579</v>
      </c>
      <c r="BI53">
        <f>ROUND($F8*'Allocators Calc'!AZ53,0)</f>
        <v>2860005</v>
      </c>
      <c r="BJ53">
        <f>ROUND($F8*'Allocators Calc'!BA53,0)</f>
        <v>4338488</v>
      </c>
      <c r="BK53">
        <f>ROUND($F8*'Allocators Calc'!BB53,0)</f>
        <v>27353570</v>
      </c>
      <c r="BL53">
        <f>ROUND($F8*'Allocators Calc'!BC53,0)</f>
        <v>15082852</v>
      </c>
      <c r="BM53" s="13">
        <f>ROUND($F8*'Allocators Calc'!BD53,0)</f>
        <v>11052312</v>
      </c>
      <c r="BN53">
        <f>ROUND($F8*'Allocators Calc'!BE53,0)</f>
        <v>3858</v>
      </c>
      <c r="BO53">
        <f>ROUND($F8*'Allocators Calc'!BF53,0)</f>
        <v>8833</v>
      </c>
      <c r="BP53">
        <f>ROUND($F8*'Allocators Calc'!BG53,0)</f>
        <v>18472</v>
      </c>
      <c r="BQ53">
        <f>ROUND($F8*'Allocators Calc'!BH53,0)</f>
        <v>377983</v>
      </c>
      <c r="BR53">
        <f>ROUND($F8*'Allocators Calc'!BI53,0)</f>
        <v>214081</v>
      </c>
      <c r="BS53" s="13">
        <f>ROUND($F8*'Allocators Calc'!BJ53,0)</f>
        <v>228260</v>
      </c>
      <c r="BT53">
        <f>ROUND($F8*'Allocators Calc'!BK53,0)</f>
        <v>0</v>
      </c>
      <c r="BU53">
        <f>ROUND($F8*'Allocators Calc'!BL53,0)</f>
        <v>0</v>
      </c>
      <c r="BV53">
        <f>ROUND($F8*'Allocators Calc'!BM53,0)</f>
        <v>0</v>
      </c>
      <c r="BW53">
        <f>ROUND($F8*'Allocators Calc'!BN53,0)</f>
        <v>0</v>
      </c>
      <c r="BX53">
        <f>ROUND($F8*'Allocators Calc'!BO53,0)</f>
        <v>0</v>
      </c>
      <c r="BY53" s="13">
        <f>ROUND($F8*'Allocators Calc'!BP53,0)</f>
        <v>0</v>
      </c>
      <c r="BZ53">
        <f>ROUND($F8*'Allocators Calc'!BQ53,0)</f>
        <v>0</v>
      </c>
      <c r="CA53">
        <f>ROUND($F8*'Allocators Calc'!BR53,0)</f>
        <v>0</v>
      </c>
      <c r="CB53">
        <f>ROUND($F8*'Allocators Calc'!BS53,0)</f>
        <v>0</v>
      </c>
      <c r="CC53">
        <f>ROUND($F8*'Allocators Calc'!BT53,0)</f>
        <v>0</v>
      </c>
      <c r="CD53">
        <f>ROUND($F8*'Allocators Calc'!BU53,0)</f>
        <v>0</v>
      </c>
      <c r="CE53" s="13">
        <f>ROUND($F8*'Allocators Calc'!BV53,0)</f>
        <v>0</v>
      </c>
      <c r="CF53" s="11"/>
      <c r="CG53">
        <f>ROUND($F8*'Allocators Calc'!BX53,0)</f>
        <v>0</v>
      </c>
      <c r="CH53">
        <f>ROUND($F8*'Allocators Calc'!BY53,0)</f>
        <v>0</v>
      </c>
      <c r="CI53">
        <f>ROUND($F8*'Allocators Calc'!BZ53,0)</f>
        <v>0</v>
      </c>
      <c r="CJ53">
        <f>ROUND($F8*'Allocators Calc'!CA53,0)</f>
        <v>0</v>
      </c>
      <c r="CK53">
        <f>ROUND($F8*'Allocators Calc'!CB53,0)</f>
        <v>0</v>
      </c>
      <c r="CL53">
        <f>ROUND($F8*'Allocators Calc'!CC53,0)</f>
        <v>0</v>
      </c>
      <c r="CM53" s="69">
        <f>ROUND('Allocators Data'!CG53,0)</f>
        <v>0</v>
      </c>
      <c r="CN53">
        <f>ROUND($F8*'Allocators Calc'!CE53,0)+ROUND($F8*'Allocators Calc'!CD53,0)-ROUND('Allocators Data'!CG53,0)</f>
        <v>0</v>
      </c>
      <c r="CO53">
        <f>ROUND($F8*'Allocators Calc'!CF53,0)</f>
        <v>0</v>
      </c>
      <c r="CP53">
        <f>ROUND($F8*'Allocators Calc'!CG53,0)</f>
        <v>0</v>
      </c>
      <c r="CQ53" s="11"/>
      <c r="CR53">
        <f>ROUND($F8*'Allocators Calc'!CI53,0)</f>
        <v>0</v>
      </c>
      <c r="CS53">
        <f>ROUND($F8*'Allocators Calc'!CJ53,0)</f>
        <v>0</v>
      </c>
      <c r="CT53" s="13">
        <f>ROUND($F8*'Allocators Calc'!CK53,0)</f>
        <v>0</v>
      </c>
      <c r="CU53">
        <f>ROUND($F8*'Allocators Calc'!CL53,0)</f>
        <v>0</v>
      </c>
      <c r="CV53">
        <f>ROUND($F8*'Allocators Calc'!CM53,0)</f>
        <v>0</v>
      </c>
      <c r="CW53" s="13">
        <f>ROUND($F8*'Allocators Calc'!CN53,0)</f>
        <v>0</v>
      </c>
      <c r="CX53" s="11"/>
      <c r="CY53">
        <f>ROUND($F8*'Allocators Calc'!CP53,0)</f>
        <v>1407535</v>
      </c>
      <c r="CZ53">
        <f>ROUND($F8*'Allocators Calc'!CQ53,0)</f>
        <v>11233824</v>
      </c>
      <c r="DA53" s="22"/>
      <c r="DB53">
        <f>ROUND($F8*'Allocators Calc'!CS53,0)</f>
        <v>0</v>
      </c>
      <c r="DC53">
        <f>ROUND($F8*'Allocators Calc'!CT53,0)</f>
        <v>0</v>
      </c>
      <c r="DD53">
        <f>ROUND($F8*'Allocators Calc'!CU53,0)</f>
        <v>87115</v>
      </c>
      <c r="DE53">
        <f>ROUND($F8*'Allocators Calc'!CV53,0)</f>
        <v>0</v>
      </c>
      <c r="DF53">
        <f>ROUND($F8*'Allocators Calc'!CW53,0)</f>
        <v>0</v>
      </c>
      <c r="DG53">
        <f>ROUND($F8*'Allocators Calc'!CX53,0)</f>
        <v>0</v>
      </c>
      <c r="DH53">
        <f>ROUND($F8*'Allocators Calc'!CY53,0)</f>
        <v>643023</v>
      </c>
      <c r="DI53">
        <f>ROUND($F8*'Allocators Calc'!CZ53,0)</f>
        <v>0</v>
      </c>
      <c r="DJ53">
        <f>ROUND($F8*'Allocators Calc'!DA53,0)</f>
        <v>14659</v>
      </c>
      <c r="DK53" s="22"/>
      <c r="DL53" s="3">
        <f t="shared" si="28"/>
        <v>152692623</v>
      </c>
      <c r="DM53" s="3">
        <f t="shared" si="29"/>
        <v>152692623</v>
      </c>
      <c r="DN53" s="3">
        <f t="shared" si="2"/>
        <v>0</v>
      </c>
    </row>
    <row r="54" spans="11:119" x14ac:dyDescent="0.2">
      <c r="K54" t="s">
        <v>238</v>
      </c>
      <c r="L54">
        <f>ROUND($F9*'Allocators Calc'!C54,0)</f>
        <v>1427245</v>
      </c>
      <c r="M54">
        <f>ROUND($F9*'Allocators Calc'!D54,0)</f>
        <v>2046476</v>
      </c>
      <c r="N54">
        <f>ROUND($F9*'Allocators Calc'!E54,0)</f>
        <v>2267461</v>
      </c>
      <c r="O54">
        <f>ROUND($F9*'Allocators Calc'!F54,0)</f>
        <v>3680079</v>
      </c>
      <c r="P54" s="15">
        <f>ROUND($F9*'Allocators Calc'!G54,0)</f>
        <v>784</v>
      </c>
      <c r="Q54">
        <f>ROUND($F9*'Allocators Calc'!H54,0)</f>
        <v>0</v>
      </c>
      <c r="R54">
        <f>ROUND($F9*'Allocators Calc'!I54,0)</f>
        <v>0</v>
      </c>
      <c r="S54">
        <f>ROUND($F9*'Allocators Calc'!J54,0)</f>
        <v>0</v>
      </c>
      <c r="T54" s="13">
        <f>ROUND($F9*'Allocators Calc'!K54,0)</f>
        <v>0</v>
      </c>
      <c r="U54">
        <f>ROUND($F9*'Allocators Calc'!L54,0)</f>
        <v>0</v>
      </c>
      <c r="V54">
        <f>ROUND($F9*'Allocators Calc'!M54,0)</f>
        <v>0</v>
      </c>
      <c r="W54">
        <f>ROUND($F9*'Allocators Calc'!N54,0)</f>
        <v>0</v>
      </c>
      <c r="X54" s="13">
        <f>ROUND($F9*'Allocators Calc'!O54,0)</f>
        <v>0</v>
      </c>
      <c r="Y54">
        <f>ROUND($F9*'Allocators Calc'!P54,0)</f>
        <v>0</v>
      </c>
      <c r="Z54">
        <f>ROUND($F9*'Allocators Calc'!Q54,0)</f>
        <v>0</v>
      </c>
      <c r="AA54">
        <f>ROUND($F9*'Allocators Calc'!R54,0)</f>
        <v>0</v>
      </c>
      <c r="AB54" s="13">
        <f>ROUND($F9*'Allocators Calc'!S54,0)</f>
        <v>0</v>
      </c>
      <c r="AC54">
        <f>ROUND($F9*'Allocators Calc'!T54,0)</f>
        <v>0</v>
      </c>
      <c r="AD54">
        <f>ROUND($F9*'Allocators Calc'!U54,0)</f>
        <v>0</v>
      </c>
      <c r="AE54">
        <f>ROUND($F9*'Allocators Calc'!V54,0)</f>
        <v>0</v>
      </c>
      <c r="AF54">
        <f>ROUND($F9*'Allocators Calc'!W54,0)</f>
        <v>0</v>
      </c>
      <c r="AG54" s="11"/>
      <c r="AH54">
        <f>ROUND($F9*'Allocators Calc'!Y54,0)</f>
        <v>0</v>
      </c>
      <c r="AI54">
        <f>ROUND($F9*'Allocators Calc'!Z54,0)</f>
        <v>51</v>
      </c>
      <c r="AJ54">
        <f>ROUND($F9*'Allocators Calc'!AA54,0)</f>
        <v>0</v>
      </c>
      <c r="AK54">
        <f>ROUND($F9*'Allocators Calc'!AB54,0)</f>
        <v>0</v>
      </c>
      <c r="AL54">
        <f>ROUND($F9*'Allocators Calc'!AC54,0)</f>
        <v>0</v>
      </c>
      <c r="AM54" s="10">
        <f t="shared" si="27"/>
        <v>55</v>
      </c>
      <c r="AN54">
        <f>ROUND($F9*'Allocators Calc'!AE54,0)</f>
        <v>52</v>
      </c>
      <c r="AO54" s="11"/>
      <c r="AP54">
        <f>ROUND($F9*'Allocators Calc'!AG54,0)</f>
        <v>0</v>
      </c>
      <c r="AQ54">
        <f>ROUND($F9*'Allocators Calc'!AH54,0)</f>
        <v>0</v>
      </c>
      <c r="AR54">
        <f>ROUND($F9*'Allocators Calc'!AI54,0)</f>
        <v>0</v>
      </c>
      <c r="AS54">
        <f>ROUND($F9*'Allocators Calc'!AJ54,0)</f>
        <v>0</v>
      </c>
      <c r="AT54">
        <f>ROUND($F9*'Allocators Calc'!AK54,0)</f>
        <v>0</v>
      </c>
      <c r="AU54" s="13">
        <f>ROUND($F9*'Allocators Calc'!AL54,0)</f>
        <v>0</v>
      </c>
      <c r="AV54">
        <f>ROUND($F9*'Allocators Calc'!AM54,0)</f>
        <v>0</v>
      </c>
      <c r="AW54">
        <f>ROUND($F9*'Allocators Calc'!AN54,0)</f>
        <v>0</v>
      </c>
      <c r="AX54">
        <f>ROUND($F9*'Allocators Calc'!AO54,0)</f>
        <v>0</v>
      </c>
      <c r="AY54">
        <f>ROUND($F9*'Allocators Calc'!AP54,0)</f>
        <v>0</v>
      </c>
      <c r="AZ54">
        <f>ROUND($F9*'Allocators Calc'!AQ54,0)</f>
        <v>0</v>
      </c>
      <c r="BA54" s="13">
        <f>ROUND($F9*'Allocators Calc'!AR54,0)</f>
        <v>0</v>
      </c>
      <c r="BB54">
        <f>ROUND($F9*'Allocators Calc'!AS54,0)</f>
        <v>8577</v>
      </c>
      <c r="BC54">
        <f>ROUND($F9*'Allocators Calc'!AT54,0)</f>
        <v>19610</v>
      </c>
      <c r="BD54">
        <f>ROUND($F9*'Allocators Calc'!AU54,0)</f>
        <v>39266</v>
      </c>
      <c r="BE54">
        <f>ROUND($F9*'Allocators Calc'!AV54,0)</f>
        <v>4414828</v>
      </c>
      <c r="BF54">
        <f>ROUND($F9*'Allocators Calc'!AW54,0)</f>
        <v>4046400</v>
      </c>
      <c r="BG54" s="13">
        <f>ROUND($F9*'Allocators Calc'!AX54,0)</f>
        <v>355070</v>
      </c>
      <c r="BH54">
        <f>ROUND($F9*'Allocators Calc'!AY54,0)</f>
        <v>2949111</v>
      </c>
      <c r="BI54">
        <f>ROUND($F9*'Allocators Calc'!AZ54,0)</f>
        <v>5822585</v>
      </c>
      <c r="BJ54">
        <f>ROUND($F9*'Allocators Calc'!BA54,0)</f>
        <v>8832575</v>
      </c>
      <c r="BK54">
        <f>ROUND($F9*'Allocators Calc'!BB54,0)</f>
        <v>55688178</v>
      </c>
      <c r="BL54">
        <f>ROUND($F9*'Allocators Calc'!BC54,0)</f>
        <v>30706651</v>
      </c>
      <c r="BM54" s="13">
        <f>ROUND($F9*'Allocators Calc'!BD54,0)</f>
        <v>22501016</v>
      </c>
      <c r="BN54">
        <f>ROUND($F9*'Allocators Calc'!BE54,0)</f>
        <v>7815</v>
      </c>
      <c r="BO54">
        <f>ROUND($F9*'Allocators Calc'!BF54,0)</f>
        <v>17891</v>
      </c>
      <c r="BP54">
        <f>ROUND($F9*'Allocators Calc'!BG54,0)</f>
        <v>37413</v>
      </c>
      <c r="BQ54">
        <f>ROUND($F9*'Allocators Calc'!BH54,0)</f>
        <v>765571</v>
      </c>
      <c r="BR54">
        <f>ROUND($F9*'Allocators Calc'!BI54,0)</f>
        <v>433602</v>
      </c>
      <c r="BS54" s="13">
        <f>ROUND($F9*'Allocators Calc'!BJ54,0)</f>
        <v>462320</v>
      </c>
      <c r="BT54">
        <f>ROUND($F9*'Allocators Calc'!BK54,0)</f>
        <v>0</v>
      </c>
      <c r="BU54">
        <f>ROUND($F9*'Allocators Calc'!BL54,0)</f>
        <v>0</v>
      </c>
      <c r="BV54">
        <f>ROUND($F9*'Allocators Calc'!BM54,0)</f>
        <v>0</v>
      </c>
      <c r="BW54">
        <f>ROUND($F9*'Allocators Calc'!BN54,0)</f>
        <v>0</v>
      </c>
      <c r="BX54">
        <f>ROUND($F9*'Allocators Calc'!BO54,0)</f>
        <v>0</v>
      </c>
      <c r="BY54" s="13">
        <f>ROUND($F9*'Allocators Calc'!BP54,0)</f>
        <v>0</v>
      </c>
      <c r="BZ54">
        <f>ROUND($F9*'Allocators Calc'!BQ54,0)</f>
        <v>0</v>
      </c>
      <c r="CA54">
        <f>ROUND($F9*'Allocators Calc'!BR54,0)</f>
        <v>0</v>
      </c>
      <c r="CB54">
        <f>ROUND($F9*'Allocators Calc'!BS54,0)</f>
        <v>0</v>
      </c>
      <c r="CC54">
        <f>ROUND($F9*'Allocators Calc'!BT54,0)</f>
        <v>0</v>
      </c>
      <c r="CD54">
        <f>ROUND($F9*'Allocators Calc'!BU54,0)</f>
        <v>0</v>
      </c>
      <c r="CE54" s="13">
        <f>ROUND($F9*'Allocators Calc'!BV54,0)</f>
        <v>0</v>
      </c>
      <c r="CF54" s="11"/>
      <c r="CG54">
        <f>ROUND($F9*'Allocators Calc'!BX54,0)</f>
        <v>0</v>
      </c>
      <c r="CH54">
        <f>ROUND($F9*'Allocators Calc'!BY54,0)</f>
        <v>0</v>
      </c>
      <c r="CI54">
        <f>ROUND($F9*'Allocators Calc'!BZ54,0)</f>
        <v>0</v>
      </c>
      <c r="CJ54">
        <f>ROUND($F9*'Allocators Calc'!CA54,0)</f>
        <v>0</v>
      </c>
      <c r="CK54">
        <f>ROUND($F9*'Allocators Calc'!CB54,0)</f>
        <v>0</v>
      </c>
      <c r="CL54">
        <f>ROUND($F9*'Allocators Calc'!CC54,0)</f>
        <v>0</v>
      </c>
      <c r="CM54" s="69">
        <f>ROUND('Allocators Data'!CG54,0)</f>
        <v>0</v>
      </c>
      <c r="CN54">
        <f>ROUND($F9*'Allocators Calc'!CE54,0)+ROUND($F9*'Allocators Calc'!CD54,0)-ROUND('Allocators Data'!CG54,0)</f>
        <v>0</v>
      </c>
      <c r="CO54">
        <f>ROUND($F9*'Allocators Calc'!CF54,0)</f>
        <v>0</v>
      </c>
      <c r="CP54">
        <f>ROUND($F9*'Allocators Calc'!CG54,0)</f>
        <v>0</v>
      </c>
      <c r="CQ54" s="11"/>
      <c r="CR54">
        <f>ROUND($F9*'Allocators Calc'!CI54,0)</f>
        <v>0</v>
      </c>
      <c r="CS54">
        <f>ROUND($F9*'Allocators Calc'!CJ54,0)</f>
        <v>0</v>
      </c>
      <c r="CT54" s="13">
        <f>ROUND($F9*'Allocators Calc'!CK54,0)</f>
        <v>0</v>
      </c>
      <c r="CU54">
        <f>ROUND($F9*'Allocators Calc'!CL54,0)</f>
        <v>0</v>
      </c>
      <c r="CV54">
        <f>ROUND($F9*'Allocators Calc'!CM54,0)</f>
        <v>0</v>
      </c>
      <c r="CW54" s="13">
        <f>ROUND($F9*'Allocators Calc'!CN54,0)</f>
        <v>0</v>
      </c>
      <c r="CX54" s="11"/>
      <c r="CY54">
        <f>ROUND($F9*'Allocators Calc'!CP54,0)</f>
        <v>2523139</v>
      </c>
      <c r="CZ54">
        <f>ROUND($F9*'Allocators Calc'!CQ54,0)</f>
        <v>20137690</v>
      </c>
      <c r="DA54" s="22"/>
      <c r="DB54">
        <f>ROUND($F9*'Allocators Calc'!CS54,0)</f>
        <v>0</v>
      </c>
      <c r="DC54">
        <f>ROUND($F9*'Allocators Calc'!CT54,0)</f>
        <v>0</v>
      </c>
      <c r="DD54">
        <f>ROUND($F9*'Allocators Calc'!CU54,0)</f>
        <v>198067</v>
      </c>
      <c r="DE54">
        <f>ROUND($F9*'Allocators Calc'!CV54,0)</f>
        <v>0</v>
      </c>
      <c r="DF54">
        <f>ROUND($F9*'Allocators Calc'!CW54,0)</f>
        <v>0</v>
      </c>
      <c r="DG54">
        <f>ROUND($F9*'Allocators Calc'!CX54,0)</f>
        <v>0</v>
      </c>
      <c r="DH54">
        <f>ROUND($F9*'Allocators Calc'!CY54,0)</f>
        <v>1299175</v>
      </c>
      <c r="DI54">
        <f>ROUND($F9*'Allocators Calc'!CZ54,0)</f>
        <v>0</v>
      </c>
      <c r="DJ54">
        <f>ROUND($F9*'Allocators Calc'!DA54,0)</f>
        <v>48234</v>
      </c>
      <c r="DK54" s="22"/>
      <c r="DL54" s="3">
        <f t="shared" si="28"/>
        <v>170736987</v>
      </c>
      <c r="DM54" s="3">
        <f t="shared" si="29"/>
        <v>170736987</v>
      </c>
      <c r="DN54" s="3">
        <f t="shared" si="2"/>
        <v>0</v>
      </c>
    </row>
    <row r="55" spans="11:119" x14ac:dyDescent="0.2">
      <c r="K55" t="s">
        <v>239</v>
      </c>
      <c r="L55">
        <f>ROUND($F10*'Allocators Calc'!C55,0)</f>
        <v>666914</v>
      </c>
      <c r="M55">
        <f>ROUND($F10*'Allocators Calc'!D55,0)</f>
        <v>998279</v>
      </c>
      <c r="N55">
        <f>ROUND($F10*'Allocators Calc'!E55,0)</f>
        <v>1162635</v>
      </c>
      <c r="O55">
        <f>ROUND($F10*'Allocators Calc'!F55,0)</f>
        <v>2039539</v>
      </c>
      <c r="P55" s="15">
        <f>ROUND($F10*'Allocators Calc'!G55,0)</f>
        <v>427</v>
      </c>
      <c r="Q55">
        <f>ROUND($F10*'Allocators Calc'!H55,0)</f>
        <v>0</v>
      </c>
      <c r="R55">
        <f>ROUND($F10*'Allocators Calc'!I55,0)</f>
        <v>0</v>
      </c>
      <c r="S55">
        <f>ROUND($F10*'Allocators Calc'!J55,0)</f>
        <v>0</v>
      </c>
      <c r="T55" s="13">
        <f>ROUND($F10*'Allocators Calc'!K55,0)</f>
        <v>0</v>
      </c>
      <c r="U55">
        <f>ROUND($F10*'Allocators Calc'!L55,0)</f>
        <v>0</v>
      </c>
      <c r="V55">
        <f>ROUND($F10*'Allocators Calc'!M55,0)</f>
        <v>0</v>
      </c>
      <c r="W55">
        <f>ROUND($F10*'Allocators Calc'!N55,0)</f>
        <v>0</v>
      </c>
      <c r="X55" s="13">
        <f>ROUND($F10*'Allocators Calc'!O55,0)</f>
        <v>0</v>
      </c>
      <c r="Y55">
        <f>ROUND($F10*'Allocators Calc'!P55,0)</f>
        <v>0</v>
      </c>
      <c r="Z55">
        <f>ROUND($F10*'Allocators Calc'!Q55,0)</f>
        <v>0</v>
      </c>
      <c r="AA55">
        <f>ROUND($F10*'Allocators Calc'!R55,0)</f>
        <v>0</v>
      </c>
      <c r="AB55" s="13">
        <f>ROUND($F10*'Allocators Calc'!S55,0)</f>
        <v>0</v>
      </c>
      <c r="AC55">
        <f>ROUND($F10*'Allocators Calc'!T55,0)</f>
        <v>0</v>
      </c>
      <c r="AD55">
        <f>ROUND($F10*'Allocators Calc'!U55,0)</f>
        <v>0</v>
      </c>
      <c r="AE55">
        <f>ROUND($F10*'Allocators Calc'!V55,0)</f>
        <v>0</v>
      </c>
      <c r="AF55">
        <f>ROUND($F10*'Allocators Calc'!W55,0)</f>
        <v>0</v>
      </c>
      <c r="AG55" s="11"/>
      <c r="AH55">
        <f>ROUND($F10*'Allocators Calc'!Y55,0)</f>
        <v>0</v>
      </c>
      <c r="AI55">
        <f>ROUND($F10*'Allocators Calc'!Z55,0)</f>
        <v>7435172</v>
      </c>
      <c r="AJ55">
        <f>ROUND($F10*'Allocators Calc'!AA55,0)</f>
        <v>0</v>
      </c>
      <c r="AK55">
        <f>ROUND($F10*'Allocators Calc'!AB55,0)</f>
        <v>0</v>
      </c>
      <c r="AL55">
        <f>ROUND($F10*'Allocators Calc'!AC55,0)</f>
        <v>0</v>
      </c>
      <c r="AM55" s="10">
        <f t="shared" si="27"/>
        <v>37013184</v>
      </c>
      <c r="AN55">
        <f>ROUND($F10*'Allocators Calc'!AE55,0)</f>
        <v>22935823</v>
      </c>
      <c r="AO55" s="11"/>
      <c r="AP55">
        <f>ROUND($F10*'Allocators Calc'!AG55,0)</f>
        <v>0</v>
      </c>
      <c r="AQ55">
        <f>ROUND($F10*'Allocators Calc'!AH55,0)</f>
        <v>0</v>
      </c>
      <c r="AR55">
        <f>ROUND($F10*'Allocators Calc'!AI55,0)</f>
        <v>0</v>
      </c>
      <c r="AS55">
        <f>ROUND($F10*'Allocators Calc'!AJ55,0)</f>
        <v>0</v>
      </c>
      <c r="AT55">
        <f>ROUND($F10*'Allocators Calc'!AK55,0)</f>
        <v>0</v>
      </c>
      <c r="AU55" s="13">
        <f>ROUND($F10*'Allocators Calc'!AL55,0)</f>
        <v>0</v>
      </c>
      <c r="AV55">
        <f>ROUND($F10*'Allocators Calc'!AM55,0)</f>
        <v>0</v>
      </c>
      <c r="AW55">
        <f>ROUND($F10*'Allocators Calc'!AN55,0)</f>
        <v>0</v>
      </c>
      <c r="AX55">
        <f>ROUND($F10*'Allocators Calc'!AO55,0)</f>
        <v>0</v>
      </c>
      <c r="AY55">
        <f>ROUND($F10*'Allocators Calc'!AP55,0)</f>
        <v>0</v>
      </c>
      <c r="AZ55">
        <f>ROUND($F10*'Allocators Calc'!AQ55,0)</f>
        <v>0</v>
      </c>
      <c r="BA55" s="13">
        <f>ROUND($F10*'Allocators Calc'!AR55,0)</f>
        <v>0</v>
      </c>
      <c r="BB55">
        <f>ROUND($F10*'Allocators Calc'!AS55,0)</f>
        <v>5106</v>
      </c>
      <c r="BC55">
        <f>ROUND($F10*'Allocators Calc'!AT55,0)</f>
        <v>11673</v>
      </c>
      <c r="BD55">
        <f>ROUND($F10*'Allocators Calc'!AU55,0)</f>
        <v>23372</v>
      </c>
      <c r="BE55">
        <f>ROUND($F10*'Allocators Calc'!AV55,0)</f>
        <v>2627822</v>
      </c>
      <c r="BF55">
        <f>ROUND($F10*'Allocators Calc'!AW55,0)</f>
        <v>2408524</v>
      </c>
      <c r="BG55" s="13">
        <f>ROUND($F10*'Allocators Calc'!AX55,0)</f>
        <v>211347</v>
      </c>
      <c r="BH55">
        <f>ROUND($F10*'Allocators Calc'!AY55,0)</f>
        <v>1620640</v>
      </c>
      <c r="BI55">
        <f>ROUND($F10*'Allocators Calc'!AZ55,0)</f>
        <v>3199715</v>
      </c>
      <c r="BJ55">
        <f>ROUND($F10*'Allocators Calc'!BA55,0)</f>
        <v>4853810</v>
      </c>
      <c r="BK55">
        <f>ROUND($F10*'Allocators Calc'!BB55,0)</f>
        <v>30602610</v>
      </c>
      <c r="BL55">
        <f>ROUND($F10*'Allocators Calc'!BC55,0)</f>
        <v>16874384</v>
      </c>
      <c r="BM55" s="13">
        <f>ROUND($F10*'Allocators Calc'!BD55,0)</f>
        <v>12365099</v>
      </c>
      <c r="BN55">
        <f>ROUND($F10*'Allocators Calc'!BE55,0)</f>
        <v>3861</v>
      </c>
      <c r="BO55">
        <f>ROUND($F10*'Allocators Calc'!BF55,0)</f>
        <v>8839</v>
      </c>
      <c r="BP55">
        <f>ROUND($F10*'Allocators Calc'!BG55,0)</f>
        <v>18485</v>
      </c>
      <c r="BQ55">
        <f>ROUND($F10*'Allocators Calc'!BH55,0)</f>
        <v>378244</v>
      </c>
      <c r="BR55">
        <f>ROUND($F10*'Allocators Calc'!BI55,0)</f>
        <v>214228</v>
      </c>
      <c r="BS55" s="13">
        <f>ROUND($F10*'Allocators Calc'!BJ55,0)</f>
        <v>228417</v>
      </c>
      <c r="BT55">
        <f>ROUND($F10*'Allocators Calc'!BK55,0)</f>
        <v>0</v>
      </c>
      <c r="BU55">
        <f>ROUND($F10*'Allocators Calc'!BL55,0)</f>
        <v>0</v>
      </c>
      <c r="BV55">
        <f>ROUND($F10*'Allocators Calc'!BM55,0)</f>
        <v>0</v>
      </c>
      <c r="BW55">
        <f>ROUND($F10*'Allocators Calc'!BN55,0)</f>
        <v>0</v>
      </c>
      <c r="BX55">
        <f>ROUND($F10*'Allocators Calc'!BO55,0)</f>
        <v>0</v>
      </c>
      <c r="BY55" s="13">
        <f>ROUND($F10*'Allocators Calc'!BP55,0)</f>
        <v>0</v>
      </c>
      <c r="BZ55">
        <f>ROUND($F10*'Allocators Calc'!BQ55,0)</f>
        <v>0</v>
      </c>
      <c r="CA55">
        <f>ROUND($F10*'Allocators Calc'!BR55,0)</f>
        <v>0</v>
      </c>
      <c r="CB55">
        <f>ROUND($F10*'Allocators Calc'!BS55,0)</f>
        <v>0</v>
      </c>
      <c r="CC55">
        <f>ROUND($F10*'Allocators Calc'!BT55,0)</f>
        <v>0</v>
      </c>
      <c r="CD55">
        <f>ROUND($F10*'Allocators Calc'!BU55,0)</f>
        <v>0</v>
      </c>
      <c r="CE55" s="13">
        <f>ROUND($F10*'Allocators Calc'!BV55,0)</f>
        <v>0</v>
      </c>
      <c r="CF55" s="11"/>
      <c r="CG55">
        <f>ROUND($F10*'Allocators Calc'!BX55,0)</f>
        <v>0</v>
      </c>
      <c r="CH55">
        <f>ROUND($F10*'Allocators Calc'!BY55,0)</f>
        <v>0</v>
      </c>
      <c r="CI55">
        <f>ROUND($F10*'Allocators Calc'!BZ55,0)</f>
        <v>0</v>
      </c>
      <c r="CJ55">
        <f>ROUND($F10*'Allocators Calc'!CA55,0)</f>
        <v>0</v>
      </c>
      <c r="CK55">
        <f>ROUND($F10*'Allocators Calc'!CB55,0)</f>
        <v>0</v>
      </c>
      <c r="CL55">
        <f>ROUND($F10*'Allocators Calc'!CC55,0)</f>
        <v>0</v>
      </c>
      <c r="CM55" s="69">
        <f>ROUND('Allocators Data'!CG55,0)</f>
        <v>0</v>
      </c>
      <c r="CN55">
        <f>ROUND($F10*'Allocators Calc'!CE55,0)+ROUND($F10*'Allocators Calc'!CD55,0)-ROUND('Allocators Data'!CG55,0)</f>
        <v>0</v>
      </c>
      <c r="CO55">
        <f>ROUND($F10*'Allocators Calc'!CF55,0)</f>
        <v>0</v>
      </c>
      <c r="CP55">
        <f>ROUND($F10*'Allocators Calc'!CG55,0)</f>
        <v>0</v>
      </c>
      <c r="CQ55" s="11"/>
      <c r="CR55">
        <f>ROUND($F10*'Allocators Calc'!CI55,0)</f>
        <v>0</v>
      </c>
      <c r="CS55">
        <f>ROUND($F10*'Allocators Calc'!CJ55,0)</f>
        <v>0</v>
      </c>
      <c r="CT55" s="13">
        <f>ROUND($F10*'Allocators Calc'!CK55,0)</f>
        <v>0</v>
      </c>
      <c r="CU55">
        <f>ROUND($F10*'Allocators Calc'!CL55,0)</f>
        <v>0</v>
      </c>
      <c r="CV55">
        <f>ROUND($F10*'Allocators Calc'!CM55,0)</f>
        <v>0</v>
      </c>
      <c r="CW55" s="13">
        <f>ROUND($F10*'Allocators Calc'!CN55,0)</f>
        <v>0</v>
      </c>
      <c r="CX55" s="11"/>
      <c r="CY55">
        <f>ROUND($F10*'Allocators Calc'!CP55,0)</f>
        <v>1143768</v>
      </c>
      <c r="CZ55">
        <f>ROUND($F10*'Allocators Calc'!CQ55,0)</f>
        <v>9128649</v>
      </c>
      <c r="DA55" s="22"/>
      <c r="DB55">
        <f>ROUND($F10*'Allocators Calc'!CS55,0)</f>
        <v>0</v>
      </c>
      <c r="DC55">
        <f>ROUND($F10*'Allocators Calc'!CT55,0)</f>
        <v>0</v>
      </c>
      <c r="DD55">
        <f>ROUND($F10*'Allocators Calc'!CU55,0)</f>
        <v>91109</v>
      </c>
      <c r="DE55">
        <f>ROUND($F10*'Allocators Calc'!CV55,0)</f>
        <v>0</v>
      </c>
      <c r="DF55">
        <f>ROUND($F10*'Allocators Calc'!CW55,0)</f>
        <v>0</v>
      </c>
      <c r="DG55">
        <f>ROUND($F10*'Allocators Calc'!CX55,0)</f>
        <v>0</v>
      </c>
      <c r="DH55">
        <f>ROUND($F10*'Allocators Calc'!CY55,0)</f>
        <v>575486</v>
      </c>
      <c r="DI55">
        <f>ROUND($F10*'Allocators Calc'!CZ55,0)</f>
        <v>0</v>
      </c>
      <c r="DJ55">
        <f>ROUND($F10*'Allocators Calc'!DA55,0)</f>
        <v>29538</v>
      </c>
      <c r="DK55" s="22"/>
      <c r="DL55" s="3">
        <f t="shared" si="28"/>
        <v>158876699</v>
      </c>
      <c r="DM55" s="3">
        <f t="shared" si="29"/>
        <v>158876699</v>
      </c>
      <c r="DN55" s="3">
        <f t="shared" si="2"/>
        <v>0</v>
      </c>
    </row>
    <row r="56" spans="11:119" x14ac:dyDescent="0.2">
      <c r="K56" t="s">
        <v>240</v>
      </c>
      <c r="L56">
        <f>ROUND($F11*'Allocators Calc'!C56,0)</f>
        <v>776508</v>
      </c>
      <c r="M56">
        <f>ROUND($F11*'Allocators Calc'!D56,0)</f>
        <v>1126579</v>
      </c>
      <c r="N56">
        <f>ROUND($F11*'Allocators Calc'!E56,0)</f>
        <v>1258540</v>
      </c>
      <c r="O56">
        <f>ROUND($F11*'Allocators Calc'!F56,0)</f>
        <v>2014229</v>
      </c>
      <c r="P56" s="15">
        <f>ROUND($F11*'Allocators Calc'!G56,0)</f>
        <v>412</v>
      </c>
      <c r="Q56">
        <f>ROUND($F11*'Allocators Calc'!H56,0)</f>
        <v>0</v>
      </c>
      <c r="R56">
        <f>ROUND($F11*'Allocators Calc'!I56,0)</f>
        <v>0</v>
      </c>
      <c r="S56">
        <f>ROUND($F11*'Allocators Calc'!J56,0)</f>
        <v>0</v>
      </c>
      <c r="T56" s="13">
        <f>ROUND($F11*'Allocators Calc'!K56,0)</f>
        <v>0</v>
      </c>
      <c r="U56">
        <f>ROUND($F11*'Allocators Calc'!L56,0)</f>
        <v>0</v>
      </c>
      <c r="V56">
        <f>ROUND($F11*'Allocators Calc'!M56,0)</f>
        <v>0</v>
      </c>
      <c r="W56">
        <f>ROUND($F11*'Allocators Calc'!N56,0)</f>
        <v>0</v>
      </c>
      <c r="X56" s="13">
        <f>ROUND($F11*'Allocators Calc'!O56,0)</f>
        <v>0</v>
      </c>
      <c r="Y56">
        <f>ROUND($F11*'Allocators Calc'!P56,0)</f>
        <v>0</v>
      </c>
      <c r="Z56">
        <f>ROUND($F11*'Allocators Calc'!Q56,0)</f>
        <v>0</v>
      </c>
      <c r="AA56">
        <f>ROUND($F11*'Allocators Calc'!R56,0)</f>
        <v>0</v>
      </c>
      <c r="AB56" s="13">
        <f>ROUND($F11*'Allocators Calc'!S56,0)</f>
        <v>0</v>
      </c>
      <c r="AC56">
        <f>ROUND($F11*'Allocators Calc'!T56,0)</f>
        <v>0</v>
      </c>
      <c r="AD56">
        <f>ROUND($F11*'Allocators Calc'!U56,0)</f>
        <v>0</v>
      </c>
      <c r="AE56">
        <f>ROUND($F11*'Allocators Calc'!V56,0)</f>
        <v>0</v>
      </c>
      <c r="AF56">
        <f>ROUND($F11*'Allocators Calc'!W56,0)</f>
        <v>0</v>
      </c>
      <c r="AG56" s="11"/>
      <c r="AH56">
        <f>ROUND($F11*'Allocators Calc'!Y56,0)</f>
        <v>0</v>
      </c>
      <c r="AI56">
        <f>ROUND($F11*'Allocators Calc'!Z56,0)</f>
        <v>7842216</v>
      </c>
      <c r="AJ56">
        <f>ROUND($F11*'Allocators Calc'!AA56,0)</f>
        <v>0</v>
      </c>
      <c r="AK56">
        <f>ROUND($F11*'Allocators Calc'!AB56,0)</f>
        <v>0</v>
      </c>
      <c r="AL56">
        <f>ROUND($F11*'Allocators Calc'!AC56,0)</f>
        <v>0</v>
      </c>
      <c r="AM56" s="10">
        <f t="shared" si="27"/>
        <v>41692033</v>
      </c>
      <c r="AN56">
        <f>ROUND($F11*'Allocators Calc'!AE56,0)</f>
        <v>27856661</v>
      </c>
      <c r="AO56" s="11"/>
      <c r="AP56">
        <f>ROUND($F11*'Allocators Calc'!AG56,0)</f>
        <v>0</v>
      </c>
      <c r="AQ56">
        <f>ROUND($F11*'Allocators Calc'!AH56,0)</f>
        <v>0</v>
      </c>
      <c r="AR56">
        <f>ROUND($F11*'Allocators Calc'!AI56,0)</f>
        <v>0</v>
      </c>
      <c r="AS56">
        <f>ROUND($F11*'Allocators Calc'!AJ56,0)</f>
        <v>0</v>
      </c>
      <c r="AT56">
        <f>ROUND($F11*'Allocators Calc'!AK56,0)</f>
        <v>0</v>
      </c>
      <c r="AU56" s="13">
        <f>ROUND($F11*'Allocators Calc'!AL56,0)</f>
        <v>0</v>
      </c>
      <c r="AV56">
        <f>ROUND($F11*'Allocators Calc'!AM56,0)</f>
        <v>0</v>
      </c>
      <c r="AW56">
        <f>ROUND($F11*'Allocators Calc'!AN56,0)</f>
        <v>0</v>
      </c>
      <c r="AX56">
        <f>ROUND($F11*'Allocators Calc'!AO56,0)</f>
        <v>0</v>
      </c>
      <c r="AY56">
        <f>ROUND($F11*'Allocators Calc'!AP56,0)</f>
        <v>0</v>
      </c>
      <c r="AZ56">
        <f>ROUND($F11*'Allocators Calc'!AQ56,0)</f>
        <v>0</v>
      </c>
      <c r="BA56" s="13">
        <f>ROUND($F11*'Allocators Calc'!AR56,0)</f>
        <v>0</v>
      </c>
      <c r="BB56">
        <f>ROUND($F11*'Allocators Calc'!AS56,0)</f>
        <v>5340</v>
      </c>
      <c r="BC56">
        <f>ROUND($F11*'Allocators Calc'!AT56,0)</f>
        <v>12209</v>
      </c>
      <c r="BD56">
        <f>ROUND($F11*'Allocators Calc'!AU56,0)</f>
        <v>24445</v>
      </c>
      <c r="BE56">
        <f>ROUND($F11*'Allocators Calc'!AV56,0)</f>
        <v>2748454</v>
      </c>
      <c r="BF56">
        <f>ROUND($F11*'Allocators Calc'!AW56,0)</f>
        <v>2519089</v>
      </c>
      <c r="BG56" s="13">
        <f>ROUND($F11*'Allocators Calc'!AX56,0)</f>
        <v>221049</v>
      </c>
      <c r="BH56">
        <f>ROUND($F11*'Allocators Calc'!AY56,0)</f>
        <v>1902906</v>
      </c>
      <c r="BI56">
        <f>ROUND($F11*'Allocators Calc'!AZ56,0)</f>
        <v>3757006</v>
      </c>
      <c r="BJ56">
        <f>ROUND($F11*'Allocators Calc'!BA56,0)</f>
        <v>5699194</v>
      </c>
      <c r="BK56">
        <f>ROUND($F11*'Allocators Calc'!BB56,0)</f>
        <v>35932640</v>
      </c>
      <c r="BL56">
        <f>ROUND($F11*'Allocators Calc'!BC56,0)</f>
        <v>19813380</v>
      </c>
      <c r="BM56" s="13">
        <f>ROUND($F11*'Allocators Calc'!BD56,0)</f>
        <v>14518717</v>
      </c>
      <c r="BN56">
        <f>ROUND($F11*'Allocators Calc'!BE56,0)</f>
        <v>4154</v>
      </c>
      <c r="BO56">
        <f>ROUND($F11*'Allocators Calc'!BF56,0)</f>
        <v>9510</v>
      </c>
      <c r="BP56">
        <f>ROUND($F11*'Allocators Calc'!BG56,0)</f>
        <v>19887</v>
      </c>
      <c r="BQ56">
        <f>ROUND($F11*'Allocators Calc'!BH56,0)</f>
        <v>406944</v>
      </c>
      <c r="BR56">
        <f>ROUND($F11*'Allocators Calc'!BI56,0)</f>
        <v>230483</v>
      </c>
      <c r="BS56" s="13">
        <f>ROUND($F11*'Allocators Calc'!BJ56,0)</f>
        <v>245748</v>
      </c>
      <c r="BT56">
        <f>ROUND($F11*'Allocators Calc'!BK56,0)</f>
        <v>0</v>
      </c>
      <c r="BU56">
        <f>ROUND($F11*'Allocators Calc'!BL56,0)</f>
        <v>0</v>
      </c>
      <c r="BV56">
        <f>ROUND($F11*'Allocators Calc'!BM56,0)</f>
        <v>0</v>
      </c>
      <c r="BW56">
        <f>ROUND($F11*'Allocators Calc'!BN56,0)</f>
        <v>0</v>
      </c>
      <c r="BX56">
        <f>ROUND($F11*'Allocators Calc'!BO56,0)</f>
        <v>0</v>
      </c>
      <c r="BY56" s="13">
        <f>ROUND($F11*'Allocators Calc'!BP56,0)</f>
        <v>0</v>
      </c>
      <c r="BZ56">
        <f>ROUND($F11*'Allocators Calc'!BQ56,0)</f>
        <v>0</v>
      </c>
      <c r="CA56">
        <f>ROUND($F11*'Allocators Calc'!BR56,0)</f>
        <v>0</v>
      </c>
      <c r="CB56">
        <f>ROUND($F11*'Allocators Calc'!BS56,0)</f>
        <v>0</v>
      </c>
      <c r="CC56">
        <f>ROUND($F11*'Allocators Calc'!BT56,0)</f>
        <v>0</v>
      </c>
      <c r="CD56">
        <f>ROUND($F11*'Allocators Calc'!BU56,0)</f>
        <v>0</v>
      </c>
      <c r="CE56" s="13">
        <f>ROUND($F11*'Allocators Calc'!BV56,0)</f>
        <v>0</v>
      </c>
      <c r="CF56" s="11"/>
      <c r="CG56">
        <f>ROUND($F11*'Allocators Calc'!BX56,0)</f>
        <v>0</v>
      </c>
      <c r="CH56">
        <f>ROUND($F11*'Allocators Calc'!BY56,0)</f>
        <v>0</v>
      </c>
      <c r="CI56">
        <f>ROUND($F11*'Allocators Calc'!BZ56,0)</f>
        <v>0</v>
      </c>
      <c r="CJ56">
        <f>ROUND($F11*'Allocators Calc'!CA56,0)</f>
        <v>0</v>
      </c>
      <c r="CK56">
        <f>ROUND($F11*'Allocators Calc'!CB56,0)</f>
        <v>0</v>
      </c>
      <c r="CL56">
        <f>ROUND($F11*'Allocators Calc'!CC56,0)</f>
        <v>0</v>
      </c>
      <c r="CM56" s="69">
        <f>ROUND('Allocators Data'!CG56,0)</f>
        <v>0</v>
      </c>
      <c r="CN56">
        <f>ROUND($F11*'Allocators Calc'!CE56,0)+ROUND($F11*'Allocators Calc'!CD56,0)-ROUND('Allocators Data'!CG56,0)</f>
        <v>0</v>
      </c>
      <c r="CO56">
        <f>ROUND($F11*'Allocators Calc'!CF56,0)</f>
        <v>0</v>
      </c>
      <c r="CP56">
        <f>ROUND($F11*'Allocators Calc'!CG56,0)</f>
        <v>0</v>
      </c>
      <c r="CQ56" s="11"/>
      <c r="CR56">
        <f>ROUND($F11*'Allocators Calc'!CI56,0)</f>
        <v>0</v>
      </c>
      <c r="CS56">
        <f>ROUND($F11*'Allocators Calc'!CJ56,0)</f>
        <v>0</v>
      </c>
      <c r="CT56" s="13">
        <f>ROUND($F11*'Allocators Calc'!CK56,0)</f>
        <v>0</v>
      </c>
      <c r="CU56">
        <f>ROUND($F11*'Allocators Calc'!CL56,0)</f>
        <v>0</v>
      </c>
      <c r="CV56">
        <f>ROUND($F11*'Allocators Calc'!CM56,0)</f>
        <v>0</v>
      </c>
      <c r="CW56" s="13">
        <f>ROUND($F11*'Allocators Calc'!CN56,0)</f>
        <v>0</v>
      </c>
      <c r="CX56" s="11"/>
      <c r="CY56">
        <f>ROUND($F11*'Allocators Calc'!CP56,0)</f>
        <v>1344199</v>
      </c>
      <c r="CZ56">
        <f>ROUND($F11*'Allocators Calc'!CQ56,0)</f>
        <v>10728326</v>
      </c>
      <c r="DA56" s="22"/>
      <c r="DB56">
        <f>ROUND($F11*'Allocators Calc'!CS56,0)</f>
        <v>0</v>
      </c>
      <c r="DC56">
        <f>ROUND($F11*'Allocators Calc'!CT56,0)</f>
        <v>0</v>
      </c>
      <c r="DD56">
        <f>ROUND($F11*'Allocators Calc'!CU56,0)</f>
        <v>112215</v>
      </c>
      <c r="DE56">
        <f>ROUND($F11*'Allocators Calc'!CV56,0)</f>
        <v>0</v>
      </c>
      <c r="DF56">
        <f>ROUND($F11*'Allocators Calc'!CW56,0)</f>
        <v>0</v>
      </c>
      <c r="DG56">
        <f>ROUND($F11*'Allocators Calc'!CX56,0)</f>
        <v>0</v>
      </c>
      <c r="DH56">
        <f>ROUND($F11*'Allocators Calc'!CY56,0)</f>
        <v>705661</v>
      </c>
      <c r="DI56">
        <f>ROUND($F11*'Allocators Calc'!CZ56,0)</f>
        <v>0</v>
      </c>
      <c r="DJ56">
        <f>ROUND($F11*'Allocators Calc'!DA56,0)</f>
        <v>10017</v>
      </c>
      <c r="DK56" s="22"/>
      <c r="DL56" s="3">
        <f t="shared" si="28"/>
        <v>183538751</v>
      </c>
      <c r="DM56" s="3">
        <f t="shared" si="29"/>
        <v>183538751</v>
      </c>
      <c r="DN56" s="3">
        <f t="shared" si="2"/>
        <v>0</v>
      </c>
    </row>
    <row r="57" spans="11:119" x14ac:dyDescent="0.2">
      <c r="K57" t="s">
        <v>241</v>
      </c>
      <c r="L57">
        <f>ROUND($F12*'Allocators Calc'!C57,0)</f>
        <v>827017</v>
      </c>
      <c r="M57">
        <f>ROUND($F12*'Allocators Calc'!D57,0)</f>
        <v>1057555</v>
      </c>
      <c r="N57">
        <f>ROUND($F12*'Allocators Calc'!E57,0)</f>
        <v>1025586</v>
      </c>
      <c r="O57" s="13">
        <f>ROUND($F12*'Allocators Calc'!F57,0)</f>
        <v>1423870</v>
      </c>
      <c r="P57" s="15">
        <f>ROUND($F12*'Allocators Calc'!G57,0)</f>
        <v>533</v>
      </c>
      <c r="Q57">
        <f>ROUND($F12*'Allocators Calc'!H57,0)</f>
        <v>0</v>
      </c>
      <c r="R57">
        <f>ROUND($F12*'Allocators Calc'!I57,0)</f>
        <v>0</v>
      </c>
      <c r="S57">
        <f>ROUND($F12*'Allocators Calc'!J57,0)</f>
        <v>0</v>
      </c>
      <c r="T57" s="13">
        <f>ROUND($F12*'Allocators Calc'!K57,0)</f>
        <v>0</v>
      </c>
      <c r="U57">
        <f>ROUND($F12*'Allocators Calc'!L57,0)</f>
        <v>0</v>
      </c>
      <c r="V57">
        <f>ROUND($F12*'Allocators Calc'!M57,0)</f>
        <v>0</v>
      </c>
      <c r="W57">
        <f>ROUND($F12*'Allocators Calc'!N57,0)</f>
        <v>0</v>
      </c>
      <c r="X57" s="13">
        <f>ROUND($F12*'Allocators Calc'!O57,0)</f>
        <v>0</v>
      </c>
      <c r="Y57">
        <f>ROUND($F12*'Allocators Calc'!P57,0)</f>
        <v>0</v>
      </c>
      <c r="Z57">
        <f>ROUND($F12*'Allocators Calc'!Q57,0)</f>
        <v>0</v>
      </c>
      <c r="AA57">
        <f>ROUND($F12*'Allocators Calc'!R57,0)</f>
        <v>0</v>
      </c>
      <c r="AB57" s="13">
        <f>ROUND($F12*'Allocators Calc'!S57,0)</f>
        <v>0</v>
      </c>
      <c r="AC57">
        <f>ROUND($F12*'Allocators Calc'!T57,0)</f>
        <v>0</v>
      </c>
      <c r="AD57">
        <f>ROUND($F12*'Allocators Calc'!U57,0)</f>
        <v>0</v>
      </c>
      <c r="AE57">
        <f>ROUND($F12*'Allocators Calc'!V57,0)</f>
        <v>0</v>
      </c>
      <c r="AF57">
        <f>ROUND($F12*'Allocators Calc'!W57,0)</f>
        <v>0</v>
      </c>
      <c r="AG57" s="11"/>
      <c r="AH57">
        <f>ROUND($F12*'Allocators Calc'!Y57,0)</f>
        <v>0</v>
      </c>
      <c r="AI57">
        <f>ROUND($F12*'Allocators Calc'!Z57,0)</f>
        <v>7558047</v>
      </c>
      <c r="AJ57">
        <f>ROUND($F12*'Allocators Calc'!AA57,0)</f>
        <v>0</v>
      </c>
      <c r="AK57">
        <f>ROUND($F12*'Allocators Calc'!AB57,0)</f>
        <v>0</v>
      </c>
      <c r="AL57">
        <f>ROUND($F12*'Allocators Calc'!AC57,0)</f>
        <v>0</v>
      </c>
      <c r="AM57" s="10">
        <f t="shared" si="27"/>
        <v>34573988</v>
      </c>
      <c r="AN57">
        <f>ROUND($F12*'Allocators Calc'!AE57,0)</f>
        <v>24669003</v>
      </c>
      <c r="AO57" s="11"/>
      <c r="AP57">
        <f>ROUND($F12*'Allocators Calc'!AG57,0)</f>
        <v>0</v>
      </c>
      <c r="AQ57">
        <f>ROUND($F12*'Allocators Calc'!AH57,0)</f>
        <v>0</v>
      </c>
      <c r="AR57">
        <f>ROUND($F12*'Allocators Calc'!AI57,0)</f>
        <v>0</v>
      </c>
      <c r="AS57">
        <f>ROUND($F12*'Allocators Calc'!AJ57,0)</f>
        <v>0</v>
      </c>
      <c r="AT57">
        <f>ROUND($F12*'Allocators Calc'!AK57,0)</f>
        <v>0</v>
      </c>
      <c r="AU57" s="13">
        <f>ROUND($F12*'Allocators Calc'!AL57,0)</f>
        <v>0</v>
      </c>
      <c r="AV57">
        <f>ROUND($F12*'Allocators Calc'!AM57,0)</f>
        <v>0</v>
      </c>
      <c r="AW57">
        <f>ROUND($F12*'Allocators Calc'!AN57,0)</f>
        <v>0</v>
      </c>
      <c r="AX57">
        <f>ROUND($F12*'Allocators Calc'!AO57,0)</f>
        <v>0</v>
      </c>
      <c r="AY57">
        <f>ROUND($F12*'Allocators Calc'!AP57,0)</f>
        <v>0</v>
      </c>
      <c r="AZ57">
        <f>ROUND($F12*'Allocators Calc'!AQ57,0)</f>
        <v>0</v>
      </c>
      <c r="BA57" s="13">
        <f>ROUND($F12*'Allocators Calc'!AR57,0)</f>
        <v>0</v>
      </c>
      <c r="BB57">
        <f>ROUND($F12*'Allocators Calc'!AS57,0)</f>
        <v>4736</v>
      </c>
      <c r="BC57">
        <f>ROUND($F12*'Allocators Calc'!AT57,0)</f>
        <v>10827</v>
      </c>
      <c r="BD57">
        <f>ROUND($F12*'Allocators Calc'!AU57,0)</f>
        <v>21679</v>
      </c>
      <c r="BE57">
        <f>ROUND($F12*'Allocators Calc'!AV57,0)</f>
        <v>2437435</v>
      </c>
      <c r="BF57">
        <f>ROUND($F12*'Allocators Calc'!AW57,0)</f>
        <v>2234026</v>
      </c>
      <c r="BG57" s="13">
        <f>ROUND($F12*'Allocators Calc'!AX57,0)</f>
        <v>196035</v>
      </c>
      <c r="BH57">
        <f>ROUND($F12*'Allocators Calc'!AY57,0)</f>
        <v>1500577</v>
      </c>
      <c r="BI57">
        <f>ROUND($F12*'Allocators Calc'!AZ57,0)</f>
        <v>2962667</v>
      </c>
      <c r="BJ57">
        <f>ROUND($F12*'Allocators Calc'!BA57,0)</f>
        <v>4494220</v>
      </c>
      <c r="BK57">
        <f>ROUND($F12*'Allocators Calc'!BB57,0)</f>
        <v>28335444</v>
      </c>
      <c r="BL57">
        <f>ROUND($F12*'Allocators Calc'!BC57,0)</f>
        <v>15624260</v>
      </c>
      <c r="BM57" s="13">
        <f>ROUND($F12*'Allocators Calc'!BD57,0)</f>
        <v>11449042</v>
      </c>
      <c r="BN57">
        <f>ROUND($F12*'Allocators Calc'!BE57,0)</f>
        <v>4023</v>
      </c>
      <c r="BO57">
        <f>ROUND($F12*'Allocators Calc'!BF57,0)</f>
        <v>9211</v>
      </c>
      <c r="BP57">
        <f>ROUND($F12*'Allocators Calc'!BG57,0)</f>
        <v>19262</v>
      </c>
      <c r="BQ57">
        <f>ROUND($F12*'Allocators Calc'!BH57,0)</f>
        <v>394156</v>
      </c>
      <c r="BR57">
        <f>ROUND($F12*'Allocators Calc'!BI57,0)</f>
        <v>223241</v>
      </c>
      <c r="BS57" s="13">
        <f>ROUND($F12*'Allocators Calc'!BJ57,0)</f>
        <v>238026</v>
      </c>
      <c r="BT57">
        <f>ROUND($F12*'Allocators Calc'!BK57,0)</f>
        <v>0</v>
      </c>
      <c r="BU57">
        <f>ROUND($F12*'Allocators Calc'!BL57,0)</f>
        <v>0</v>
      </c>
      <c r="BV57">
        <f>ROUND($F12*'Allocators Calc'!BM57,0)</f>
        <v>0</v>
      </c>
      <c r="BW57">
        <f>ROUND($F12*'Allocators Calc'!BN57,0)</f>
        <v>0</v>
      </c>
      <c r="BX57">
        <f>ROUND($F12*'Allocators Calc'!BO57,0)</f>
        <v>0</v>
      </c>
      <c r="BY57" s="13">
        <f>ROUND($F12*'Allocators Calc'!BP57,0)</f>
        <v>0</v>
      </c>
      <c r="BZ57">
        <f>ROUND($F12*'Allocators Calc'!BQ57,0)</f>
        <v>0</v>
      </c>
      <c r="CA57">
        <f>ROUND($F12*'Allocators Calc'!BR57,0)</f>
        <v>0</v>
      </c>
      <c r="CB57">
        <f>ROUND($F12*'Allocators Calc'!BS57,0)</f>
        <v>0</v>
      </c>
      <c r="CC57">
        <f>ROUND($F12*'Allocators Calc'!BT57,0)</f>
        <v>0</v>
      </c>
      <c r="CD57">
        <f>ROUND($F12*'Allocators Calc'!BU57,0)</f>
        <v>0</v>
      </c>
      <c r="CE57" s="13">
        <f>ROUND($F12*'Allocators Calc'!BV57,0)</f>
        <v>0</v>
      </c>
      <c r="CF57" s="11"/>
      <c r="CG57">
        <f>ROUND($F12*'Allocators Calc'!BX57,0)</f>
        <v>0</v>
      </c>
      <c r="CH57">
        <f>ROUND($F12*'Allocators Calc'!BY57,0)</f>
        <v>0</v>
      </c>
      <c r="CI57">
        <f>ROUND($F12*'Allocators Calc'!BZ57,0)</f>
        <v>0</v>
      </c>
      <c r="CJ57">
        <f>ROUND($F12*'Allocators Calc'!CA57,0)</f>
        <v>0</v>
      </c>
      <c r="CK57">
        <f>ROUND($F12*'Allocators Calc'!CB57,0)</f>
        <v>0</v>
      </c>
      <c r="CL57">
        <f>ROUND($F12*'Allocators Calc'!CC57,0)</f>
        <v>0</v>
      </c>
      <c r="CM57" s="69">
        <f>ROUND('Allocators Data'!CG57,0)</f>
        <v>0</v>
      </c>
      <c r="CN57">
        <f>ROUND($F12*'Allocators Calc'!CE57,0)+ROUND($F12*'Allocators Calc'!CD57,0)-ROUND('Allocators Data'!CG57,0)</f>
        <v>0</v>
      </c>
      <c r="CO57">
        <f>ROUND($F12*'Allocators Calc'!CF57,0)</f>
        <v>0</v>
      </c>
      <c r="CP57">
        <f>ROUND($F12*'Allocators Calc'!CG57,0)</f>
        <v>0</v>
      </c>
      <c r="CQ57" s="11"/>
      <c r="CR57">
        <f>ROUND($F12*'Allocators Calc'!CI57,0)</f>
        <v>0</v>
      </c>
      <c r="CS57">
        <f>ROUND($F12*'Allocators Calc'!CJ57,0)</f>
        <v>0</v>
      </c>
      <c r="CT57" s="13">
        <f>ROUND($F12*'Allocators Calc'!CK57,0)</f>
        <v>0</v>
      </c>
      <c r="CU57">
        <f>ROUND($F12*'Allocators Calc'!CL57,0)</f>
        <v>0</v>
      </c>
      <c r="CV57">
        <f>ROUND($F12*'Allocators Calc'!CM57,0)</f>
        <v>0</v>
      </c>
      <c r="CW57" s="13">
        <f>ROUND($F12*'Allocators Calc'!CN57,0)</f>
        <v>0</v>
      </c>
      <c r="CX57" s="11"/>
      <c r="CY57">
        <f>ROUND($F12*'Allocators Calc'!CP57,0)</f>
        <v>1314958</v>
      </c>
      <c r="CZ57">
        <f>ROUND($F12*'Allocators Calc'!CQ57,0)</f>
        <v>10494945</v>
      </c>
      <c r="DA57" s="11"/>
      <c r="DB57">
        <f>ROUND($F12*'Allocators Calc'!CS57,0)</f>
        <v>0</v>
      </c>
      <c r="DC57">
        <f>ROUND($F12*'Allocators Calc'!CT57,0)</f>
        <v>0</v>
      </c>
      <c r="DD57">
        <f>ROUND($F12*'Allocators Calc'!CU57,0)</f>
        <v>129653</v>
      </c>
      <c r="DE57">
        <f>ROUND($F12*'Allocators Calc'!CV57,0)</f>
        <v>0</v>
      </c>
      <c r="DF57">
        <f>ROUND($F12*'Allocators Calc'!CW57,0)</f>
        <v>0</v>
      </c>
      <c r="DG57">
        <f>ROUND($F12*'Allocators Calc'!CX57,0)</f>
        <v>0</v>
      </c>
      <c r="DH57">
        <f>ROUND($F12*'Allocators Calc'!CY57,0)</f>
        <v>758213</v>
      </c>
      <c r="DI57">
        <f>ROUND($F12*'Allocators Calc'!CZ57,0)</f>
        <v>0</v>
      </c>
      <c r="DJ57">
        <f>ROUND($F12*'Allocators Calc'!DA57,0)</f>
        <v>11739</v>
      </c>
      <c r="DK57" s="11"/>
      <c r="DL57" s="3">
        <f t="shared" si="28"/>
        <v>154003974</v>
      </c>
      <c r="DM57" s="3">
        <f t="shared" si="29"/>
        <v>154003974</v>
      </c>
      <c r="DN57" s="3">
        <f t="shared" si="2"/>
        <v>0</v>
      </c>
    </row>
    <row r="58" spans="11:119" x14ac:dyDescent="0.2">
      <c r="K58" t="s">
        <v>242</v>
      </c>
      <c r="L58">
        <f>ROUND($F13*'Allocators Calc'!C58,0)</f>
        <v>648064</v>
      </c>
      <c r="M58">
        <f>ROUND($F13*'Allocators Calc'!D58,0)</f>
        <v>909853</v>
      </c>
      <c r="N58">
        <f>ROUND($F13*'Allocators Calc'!E58,0)</f>
        <v>951059</v>
      </c>
      <c r="O58" s="13">
        <f>ROUND($F13*'Allocators Calc'!F58,0)</f>
        <v>1355076</v>
      </c>
      <c r="P58" s="15">
        <f>ROUND($F13*'Allocators Calc'!G58,0)</f>
        <v>171</v>
      </c>
      <c r="Q58">
        <f>ROUND($F13*'Allocators Calc'!H58,0)</f>
        <v>0</v>
      </c>
      <c r="R58">
        <f>ROUND($F13*'Allocators Calc'!I58,0)</f>
        <v>0</v>
      </c>
      <c r="S58">
        <f>ROUND($F13*'Allocators Calc'!J58,0)</f>
        <v>0</v>
      </c>
      <c r="T58" s="13">
        <f>ROUND($F13*'Allocators Calc'!K58,0)</f>
        <v>0</v>
      </c>
      <c r="U58">
        <f>ROUND($F13*'Allocators Calc'!L58,0)</f>
        <v>0</v>
      </c>
      <c r="V58">
        <f>ROUND($F13*'Allocators Calc'!M58,0)</f>
        <v>0</v>
      </c>
      <c r="W58">
        <f>ROUND($F13*'Allocators Calc'!N58,0)</f>
        <v>0</v>
      </c>
      <c r="X58" s="13">
        <f>ROUND($F13*'Allocators Calc'!O58,0)</f>
        <v>0</v>
      </c>
      <c r="Y58">
        <f>ROUND($F13*'Allocators Calc'!P58,0)</f>
        <v>0</v>
      </c>
      <c r="Z58">
        <f>ROUND($F13*'Allocators Calc'!Q58,0)</f>
        <v>0</v>
      </c>
      <c r="AA58">
        <f>ROUND($F13*'Allocators Calc'!R58,0)</f>
        <v>0</v>
      </c>
      <c r="AB58" s="13">
        <f>ROUND($F13*'Allocators Calc'!S58,0)</f>
        <v>0</v>
      </c>
      <c r="AC58">
        <f>ROUND($F13*'Allocators Calc'!T58,0)</f>
        <v>0</v>
      </c>
      <c r="AD58">
        <f>ROUND($F13*'Allocators Calc'!U58,0)</f>
        <v>0</v>
      </c>
      <c r="AE58">
        <f>ROUND($F13*'Allocators Calc'!V58,0)</f>
        <v>0</v>
      </c>
      <c r="AF58">
        <f>ROUND($F13*'Allocators Calc'!W58,0)</f>
        <v>0</v>
      </c>
      <c r="AG58" s="11"/>
      <c r="AH58">
        <f>ROUND($F13*'Allocators Calc'!Y58,0)</f>
        <v>0</v>
      </c>
      <c r="AI58">
        <f>ROUND($F13*'Allocators Calc'!Z58,0)</f>
        <v>6686948</v>
      </c>
      <c r="AJ58">
        <f>ROUND($F13*'Allocators Calc'!AA58,0)</f>
        <v>0</v>
      </c>
      <c r="AK58">
        <f>ROUND($F13*'Allocators Calc'!AB58,0)</f>
        <v>0</v>
      </c>
      <c r="AL58">
        <f>ROUND($F13*'Allocators Calc'!AC58,0)</f>
        <v>0</v>
      </c>
      <c r="AM58" s="10">
        <f t="shared" si="27"/>
        <v>30766978</v>
      </c>
      <c r="AN58">
        <f>ROUND($F13*'Allocators Calc'!AE58,0)</f>
        <v>20731383</v>
      </c>
      <c r="AO58" s="11"/>
      <c r="AP58">
        <f>ROUND($F13*'Allocators Calc'!AG58,0)</f>
        <v>0</v>
      </c>
      <c r="AQ58">
        <f>ROUND($F13*'Allocators Calc'!AH58,0)</f>
        <v>0</v>
      </c>
      <c r="AR58">
        <f>ROUND($F13*'Allocators Calc'!AI58,0)</f>
        <v>0</v>
      </c>
      <c r="AS58">
        <f>ROUND($F13*'Allocators Calc'!AJ58,0)</f>
        <v>0</v>
      </c>
      <c r="AT58">
        <f>ROUND($F13*'Allocators Calc'!AK58,0)</f>
        <v>0</v>
      </c>
      <c r="AU58" s="13">
        <f>ROUND($F13*'Allocators Calc'!AL58,0)</f>
        <v>0</v>
      </c>
      <c r="AV58">
        <f>ROUND($F13*'Allocators Calc'!AM58,0)</f>
        <v>0</v>
      </c>
      <c r="AW58">
        <f>ROUND($F13*'Allocators Calc'!AN58,0)</f>
        <v>0</v>
      </c>
      <c r="AX58">
        <f>ROUND($F13*'Allocators Calc'!AO58,0)</f>
        <v>0</v>
      </c>
      <c r="AY58">
        <f>ROUND($F13*'Allocators Calc'!AP58,0)</f>
        <v>0</v>
      </c>
      <c r="AZ58">
        <f>ROUND($F13*'Allocators Calc'!AQ58,0)</f>
        <v>0</v>
      </c>
      <c r="BA58" s="13">
        <f>ROUND($F13*'Allocators Calc'!AR58,0)</f>
        <v>0</v>
      </c>
      <c r="BB58">
        <f>ROUND($F13*'Allocators Calc'!AS58,0)</f>
        <v>3892</v>
      </c>
      <c r="BC58">
        <f>ROUND($F13*'Allocators Calc'!AT58,0)</f>
        <v>8899</v>
      </c>
      <c r="BD58">
        <f>ROUND($F13*'Allocators Calc'!AU58,0)</f>
        <v>17818</v>
      </c>
      <c r="BE58">
        <f>ROUND($F13*'Allocators Calc'!AV58,0)</f>
        <v>2003381</v>
      </c>
      <c r="BF58">
        <f>ROUND($F13*'Allocators Calc'!AW58,0)</f>
        <v>1836194</v>
      </c>
      <c r="BG58" s="13">
        <f>ROUND($F13*'Allocators Calc'!AX58,0)</f>
        <v>161125</v>
      </c>
      <c r="BH58">
        <f>ROUND($F13*'Allocators Calc'!AY58,0)</f>
        <v>1224576</v>
      </c>
      <c r="BI58">
        <f>ROUND($F13*'Allocators Calc'!AZ58,0)</f>
        <v>2417745</v>
      </c>
      <c r="BJ58">
        <f>ROUND($F13*'Allocators Calc'!BA58,0)</f>
        <v>3667600</v>
      </c>
      <c r="BK58">
        <f>ROUND($F13*'Allocators Calc'!BB58,0)</f>
        <v>23123718</v>
      </c>
      <c r="BL58">
        <f>ROUND($F13*'Allocators Calc'!BC58,0)</f>
        <v>12750497</v>
      </c>
      <c r="BM58" s="13">
        <f>ROUND($F13*'Allocators Calc'!BD58,0)</f>
        <v>9343225</v>
      </c>
      <c r="BN58">
        <f>ROUND($F13*'Allocators Calc'!BE58,0)</f>
        <v>3702</v>
      </c>
      <c r="BO58">
        <f>ROUND($F13*'Allocators Calc'!BF58,0)</f>
        <v>8475</v>
      </c>
      <c r="BP58">
        <f>ROUND($F13*'Allocators Calc'!BG58,0)</f>
        <v>17722</v>
      </c>
      <c r="BQ58">
        <f>ROUND($F13*'Allocators Calc'!BH58,0)</f>
        <v>362646</v>
      </c>
      <c r="BR58">
        <f>ROUND($F13*'Allocators Calc'!BI58,0)</f>
        <v>205394</v>
      </c>
      <c r="BS58" s="13">
        <f>ROUND($F13*'Allocators Calc'!BJ58,0)</f>
        <v>218997</v>
      </c>
      <c r="BT58">
        <f>ROUND($F13*'Allocators Calc'!BK58,0)</f>
        <v>0</v>
      </c>
      <c r="BU58">
        <f>ROUND($F13*'Allocators Calc'!BL58,0)</f>
        <v>0</v>
      </c>
      <c r="BV58">
        <f>ROUND($F13*'Allocators Calc'!BM58,0)</f>
        <v>0</v>
      </c>
      <c r="BW58">
        <f>ROUND($F13*'Allocators Calc'!BN58,0)</f>
        <v>0</v>
      </c>
      <c r="BX58">
        <f>ROUND($F13*'Allocators Calc'!BO58,0)</f>
        <v>0</v>
      </c>
      <c r="BY58" s="13">
        <f>ROUND($F13*'Allocators Calc'!BP58,0)</f>
        <v>0</v>
      </c>
      <c r="BZ58">
        <f>ROUND($F13*'Allocators Calc'!BQ58,0)</f>
        <v>0</v>
      </c>
      <c r="CA58">
        <f>ROUND($F13*'Allocators Calc'!BR58,0)</f>
        <v>0</v>
      </c>
      <c r="CB58">
        <f>ROUND($F13*'Allocators Calc'!BS58,0)</f>
        <v>0</v>
      </c>
      <c r="CC58">
        <f>ROUND($F13*'Allocators Calc'!BT58,0)</f>
        <v>0</v>
      </c>
      <c r="CD58">
        <f>ROUND($F13*'Allocators Calc'!BU58,0)</f>
        <v>0</v>
      </c>
      <c r="CE58" s="13">
        <f>ROUND($F13*'Allocators Calc'!BV58,0)</f>
        <v>0</v>
      </c>
      <c r="CF58" s="11"/>
      <c r="CG58">
        <f>ROUND($F13*'Allocators Calc'!BX58,0)</f>
        <v>0</v>
      </c>
      <c r="CH58">
        <f>ROUND($F13*'Allocators Calc'!BY58,0)</f>
        <v>0</v>
      </c>
      <c r="CI58">
        <f>ROUND($F13*'Allocators Calc'!BZ58,0)</f>
        <v>0</v>
      </c>
      <c r="CJ58">
        <f>ROUND($F13*'Allocators Calc'!CA58,0)</f>
        <v>0</v>
      </c>
      <c r="CK58">
        <f>ROUND($F13*'Allocators Calc'!CB58,0)</f>
        <v>0</v>
      </c>
      <c r="CL58">
        <f>ROUND($F13*'Allocators Calc'!CC58,0)</f>
        <v>0</v>
      </c>
      <c r="CM58" s="69">
        <f>ROUND('Allocators Data'!CG58,0)</f>
        <v>0</v>
      </c>
      <c r="CN58">
        <f>ROUND($F13*'Allocators Calc'!CE58,0)+ROUND($F13*'Allocators Calc'!CD58,0)-ROUND('Allocators Data'!CG58,0)</f>
        <v>0</v>
      </c>
      <c r="CO58">
        <f>ROUND($F13*'Allocators Calc'!CF58,0)</f>
        <v>0</v>
      </c>
      <c r="CP58">
        <f>ROUND($F13*'Allocators Calc'!CG58,0)</f>
        <v>0</v>
      </c>
      <c r="CQ58" s="11"/>
      <c r="CR58">
        <f>ROUND($F13*'Allocators Calc'!CI58,0)</f>
        <v>0</v>
      </c>
      <c r="CS58">
        <f>ROUND($F13*'Allocators Calc'!CJ58,0)</f>
        <v>0</v>
      </c>
      <c r="CT58" s="13">
        <f>ROUND($F13*'Allocators Calc'!CK58,0)</f>
        <v>0</v>
      </c>
      <c r="CU58">
        <f>ROUND($F13*'Allocators Calc'!CL58,0)</f>
        <v>0</v>
      </c>
      <c r="CV58">
        <f>ROUND($F13*'Allocators Calc'!CM58,0)</f>
        <v>0</v>
      </c>
      <c r="CW58" s="13">
        <f>ROUND($F13*'Allocators Calc'!CN58,0)</f>
        <v>0</v>
      </c>
      <c r="CX58" s="11"/>
      <c r="CY58">
        <f>ROUND($F13*'Allocators Calc'!CP58,0)</f>
        <v>1120899</v>
      </c>
      <c r="CZ58">
        <f>ROUND($F13*'Allocators Calc'!CQ58,0)</f>
        <v>8946125</v>
      </c>
      <c r="DA58" s="11"/>
      <c r="DB58">
        <f>ROUND($F13*'Allocators Calc'!CS58,0)</f>
        <v>0</v>
      </c>
      <c r="DC58">
        <f>ROUND($F13*'Allocators Calc'!CT58,0)</f>
        <v>0</v>
      </c>
      <c r="DD58">
        <f>ROUND($F13*'Allocators Calc'!CU58,0)</f>
        <v>120647</v>
      </c>
      <c r="DE58">
        <f>ROUND($F13*'Allocators Calc'!CV58,0)</f>
        <v>0</v>
      </c>
      <c r="DF58">
        <f>ROUND($F13*'Allocators Calc'!CW58,0)</f>
        <v>0</v>
      </c>
      <c r="DG58">
        <f>ROUND($F13*'Allocators Calc'!CX58,0)</f>
        <v>0</v>
      </c>
      <c r="DH58">
        <f>ROUND($F13*'Allocators Calc'!CY58,0)</f>
        <v>657023</v>
      </c>
      <c r="DI58">
        <f>ROUND($F13*'Allocators Calc'!CZ58,0)</f>
        <v>0</v>
      </c>
      <c r="DJ58">
        <f>ROUND($F13*'Allocators Calc'!DA58,0)</f>
        <v>11072</v>
      </c>
      <c r="DK58" s="11"/>
      <c r="DL58" s="3">
        <f t="shared" si="28"/>
        <v>130280904</v>
      </c>
      <c r="DM58" s="3">
        <f t="shared" si="29"/>
        <v>130280904</v>
      </c>
      <c r="DN58" s="3">
        <f t="shared" si="2"/>
        <v>0</v>
      </c>
    </row>
    <row r="59" spans="11:119" x14ac:dyDescent="0.2">
      <c r="K59" t="s">
        <v>243</v>
      </c>
      <c r="L59">
        <f>ROUND($F14*'Allocators Calc'!C59,0)</f>
        <v>885012</v>
      </c>
      <c r="M59">
        <f>ROUND($F14*'Allocators Calc'!D59,0)</f>
        <v>1185076</v>
      </c>
      <c r="N59">
        <f>ROUND($F14*'Allocators Calc'!E59,0)</f>
        <v>1295806</v>
      </c>
      <c r="O59" s="13">
        <f>ROUND($F14*'Allocators Calc'!F59,0)</f>
        <v>1910948</v>
      </c>
      <c r="P59" s="15">
        <f>ROUND($F14*'Allocators Calc'!G59,0)</f>
        <v>935</v>
      </c>
      <c r="Q59">
        <f>ROUND($F14*'Allocators Calc'!H59,0)</f>
        <v>0</v>
      </c>
      <c r="R59">
        <f>ROUND($F14*'Allocators Calc'!I59,0)</f>
        <v>0</v>
      </c>
      <c r="S59">
        <f>ROUND($F14*'Allocators Calc'!J59,0)</f>
        <v>0</v>
      </c>
      <c r="T59" s="13">
        <f>ROUND($F14*'Allocators Calc'!K59,0)</f>
        <v>0</v>
      </c>
      <c r="U59">
        <f>ROUND($F14*'Allocators Calc'!L59,0)</f>
        <v>0</v>
      </c>
      <c r="V59">
        <f>ROUND($F14*'Allocators Calc'!M59,0)</f>
        <v>0</v>
      </c>
      <c r="W59">
        <f>ROUND($F14*'Allocators Calc'!N59,0)</f>
        <v>0</v>
      </c>
      <c r="X59" s="13">
        <f>ROUND($F14*'Allocators Calc'!O59,0)</f>
        <v>0</v>
      </c>
      <c r="Y59">
        <f>ROUND($F14*'Allocators Calc'!P59,0)</f>
        <v>0</v>
      </c>
      <c r="Z59">
        <f>ROUND($F14*'Allocators Calc'!Q59,0)</f>
        <v>0</v>
      </c>
      <c r="AA59">
        <f>ROUND($F14*'Allocators Calc'!R59,0)</f>
        <v>0</v>
      </c>
      <c r="AB59" s="13">
        <f>ROUND($F14*'Allocators Calc'!S59,0)</f>
        <v>0</v>
      </c>
      <c r="AC59">
        <f>ROUND($F14*'Allocators Calc'!T59,0)</f>
        <v>0</v>
      </c>
      <c r="AD59">
        <f>ROUND($F14*'Allocators Calc'!U59,0)</f>
        <v>0</v>
      </c>
      <c r="AE59">
        <f>ROUND($F14*'Allocators Calc'!V59,0)</f>
        <v>0</v>
      </c>
      <c r="AF59">
        <f>ROUND($F14*'Allocators Calc'!W59,0)</f>
        <v>0</v>
      </c>
      <c r="AG59" s="11"/>
      <c r="AH59">
        <f>ROUND($F14*'Allocators Calc'!Y59,0)</f>
        <v>0</v>
      </c>
      <c r="AI59">
        <f>ROUND($F14*'Allocators Calc'!Z59,0)</f>
        <v>7354053</v>
      </c>
      <c r="AJ59">
        <f>ROUND($F14*'Allocators Calc'!AA59,0)</f>
        <v>0</v>
      </c>
      <c r="AK59">
        <f>ROUND($F14*'Allocators Calc'!AB59,0)</f>
        <v>0</v>
      </c>
      <c r="AL59">
        <f>ROUND($F14*'Allocators Calc'!AC59,0)</f>
        <v>0</v>
      </c>
      <c r="AM59" s="10">
        <f t="shared" si="27"/>
        <v>30057993</v>
      </c>
      <c r="AN59">
        <f>ROUND($F14*'Allocators Calc'!AE59,0)</f>
        <v>22413407</v>
      </c>
      <c r="AO59" s="11"/>
      <c r="AP59">
        <f>ROUND($F14*'Allocators Calc'!AG59,0)</f>
        <v>0</v>
      </c>
      <c r="AQ59">
        <f>ROUND($F14*'Allocators Calc'!AH59,0)</f>
        <v>0</v>
      </c>
      <c r="AR59">
        <f>ROUND($F14*'Allocators Calc'!AI59,0)</f>
        <v>0</v>
      </c>
      <c r="AS59">
        <f>ROUND($F14*'Allocators Calc'!AJ59,0)</f>
        <v>0</v>
      </c>
      <c r="AT59">
        <f>ROUND($F14*'Allocators Calc'!AK59,0)</f>
        <v>0</v>
      </c>
      <c r="AU59" s="13">
        <f>ROUND($F14*'Allocators Calc'!AL59,0)</f>
        <v>0</v>
      </c>
      <c r="AV59">
        <f>ROUND($F14*'Allocators Calc'!AM59,0)</f>
        <v>0</v>
      </c>
      <c r="AW59">
        <f>ROUND($F14*'Allocators Calc'!AN59,0)</f>
        <v>0</v>
      </c>
      <c r="AX59">
        <f>ROUND($F14*'Allocators Calc'!AO59,0)</f>
        <v>0</v>
      </c>
      <c r="AY59">
        <f>ROUND($F14*'Allocators Calc'!AP59,0)</f>
        <v>0</v>
      </c>
      <c r="AZ59">
        <f>ROUND($F14*'Allocators Calc'!AQ59,0)</f>
        <v>0</v>
      </c>
      <c r="BA59" s="13">
        <f>ROUND($F14*'Allocators Calc'!AR59,0)</f>
        <v>0</v>
      </c>
      <c r="BB59">
        <f>ROUND($F14*'Allocators Calc'!AS59,0)</f>
        <v>4022</v>
      </c>
      <c r="BC59">
        <f>ROUND($F14*'Allocators Calc'!AT59,0)</f>
        <v>9196</v>
      </c>
      <c r="BD59">
        <f>ROUND($F14*'Allocators Calc'!AU59,0)</f>
        <v>18414</v>
      </c>
      <c r="BE59">
        <f>ROUND($F14*'Allocators Calc'!AV59,0)</f>
        <v>2070358</v>
      </c>
      <c r="BF59">
        <f>ROUND($F14*'Allocators Calc'!AW59,0)</f>
        <v>1897582</v>
      </c>
      <c r="BG59" s="13">
        <f>ROUND($F14*'Allocators Calc'!AX59,0)</f>
        <v>166512</v>
      </c>
      <c r="BH59">
        <f>ROUND($F14*'Allocators Calc'!AY59,0)</f>
        <v>1342351</v>
      </c>
      <c r="BI59">
        <f>ROUND($F14*'Allocators Calc'!AZ59,0)</f>
        <v>2650275</v>
      </c>
      <c r="BJ59">
        <f>ROUND($F14*'Allocators Calc'!BA59,0)</f>
        <v>4020337</v>
      </c>
      <c r="BK59">
        <f>ROUND($F14*'Allocators Calc'!BB59,0)</f>
        <v>25347671</v>
      </c>
      <c r="BL59">
        <f>ROUND($F14*'Allocators Calc'!BC59,0)</f>
        <v>13976792</v>
      </c>
      <c r="BM59" s="13">
        <f>ROUND($F14*'Allocators Calc'!BD59,0)</f>
        <v>10241821</v>
      </c>
      <c r="BN59">
        <f>ROUND($F14*'Allocators Calc'!BE59,0)</f>
        <v>4588</v>
      </c>
      <c r="BO59">
        <f>ROUND($F14*'Allocators Calc'!BF59,0)</f>
        <v>10503</v>
      </c>
      <c r="BP59">
        <f>ROUND($F14*'Allocators Calc'!BG59,0)</f>
        <v>21965</v>
      </c>
      <c r="BQ59">
        <f>ROUND($F14*'Allocators Calc'!BH59,0)</f>
        <v>449453</v>
      </c>
      <c r="BR59">
        <f>ROUND($F14*'Allocators Calc'!BI59,0)</f>
        <v>254560</v>
      </c>
      <c r="BS59" s="13">
        <f>ROUND($F14*'Allocators Calc'!BJ59,0)</f>
        <v>271420</v>
      </c>
      <c r="BT59">
        <f>ROUND($F14*'Allocators Calc'!BK59,0)</f>
        <v>0</v>
      </c>
      <c r="BU59">
        <f>ROUND($F14*'Allocators Calc'!BL59,0)</f>
        <v>0</v>
      </c>
      <c r="BV59">
        <f>ROUND($F14*'Allocators Calc'!BM59,0)</f>
        <v>0</v>
      </c>
      <c r="BW59">
        <f>ROUND($F14*'Allocators Calc'!BN59,0)</f>
        <v>0</v>
      </c>
      <c r="BX59">
        <f>ROUND($F14*'Allocators Calc'!BO59,0)</f>
        <v>0</v>
      </c>
      <c r="BY59" s="13">
        <f>ROUND($F14*'Allocators Calc'!BP59,0)</f>
        <v>0</v>
      </c>
      <c r="BZ59">
        <f>ROUND($F14*'Allocators Calc'!BQ59,0)</f>
        <v>0</v>
      </c>
      <c r="CA59">
        <f>ROUND($F14*'Allocators Calc'!BR59,0)</f>
        <v>0</v>
      </c>
      <c r="CB59">
        <f>ROUND($F14*'Allocators Calc'!BS59,0)</f>
        <v>0</v>
      </c>
      <c r="CC59">
        <f>ROUND($F14*'Allocators Calc'!BT59,0)</f>
        <v>0</v>
      </c>
      <c r="CD59">
        <f>ROUND($F14*'Allocators Calc'!BU59,0)</f>
        <v>0</v>
      </c>
      <c r="CE59" s="13">
        <f>ROUND($F14*'Allocators Calc'!BV59,0)</f>
        <v>0</v>
      </c>
      <c r="CF59" s="11"/>
      <c r="CG59">
        <f>ROUND($F14*'Allocators Calc'!BX59,0)</f>
        <v>0</v>
      </c>
      <c r="CH59">
        <f>ROUND($F14*'Allocators Calc'!BY59,0)</f>
        <v>0</v>
      </c>
      <c r="CI59">
        <f>ROUND($F14*'Allocators Calc'!BZ59,0)</f>
        <v>0</v>
      </c>
      <c r="CJ59">
        <f>ROUND($F14*'Allocators Calc'!CA59,0)</f>
        <v>0</v>
      </c>
      <c r="CK59">
        <f>ROUND($F14*'Allocators Calc'!CB59,0)</f>
        <v>0</v>
      </c>
      <c r="CL59">
        <f>ROUND($F14*'Allocators Calc'!CC59,0)</f>
        <v>0</v>
      </c>
      <c r="CM59" s="69">
        <f>ROUND('Allocators Data'!CG59,0)</f>
        <v>0</v>
      </c>
      <c r="CN59">
        <f>ROUND($F14*'Allocators Calc'!CE59,0)+ROUND($F14*'Allocators Calc'!CD59,0)-ROUND('Allocators Data'!CG59,0)</f>
        <v>0</v>
      </c>
      <c r="CO59">
        <f>ROUND($F14*'Allocators Calc'!CF59,0)</f>
        <v>0</v>
      </c>
      <c r="CP59">
        <f>ROUND($F14*'Allocators Calc'!CG59,0)</f>
        <v>0</v>
      </c>
      <c r="CQ59" s="11"/>
      <c r="CR59">
        <f>ROUND($F14*'Allocators Calc'!CI59,0)</f>
        <v>0</v>
      </c>
      <c r="CS59">
        <f>ROUND($F14*'Allocators Calc'!CJ59,0)</f>
        <v>0</v>
      </c>
      <c r="CT59" s="13">
        <f>ROUND($F14*'Allocators Calc'!CK59,0)</f>
        <v>0</v>
      </c>
      <c r="CU59">
        <f>ROUND($F14*'Allocators Calc'!CL59,0)</f>
        <v>0</v>
      </c>
      <c r="CV59">
        <f>ROUND($F14*'Allocators Calc'!CM59,0)</f>
        <v>0</v>
      </c>
      <c r="CW59" s="13">
        <f>ROUND($F14*'Allocators Calc'!CN59,0)</f>
        <v>0</v>
      </c>
      <c r="CX59" s="11"/>
      <c r="CY59">
        <f>ROUND($F14*'Allocators Calc'!CP59,0)</f>
        <v>1185829</v>
      </c>
      <c r="CZ59">
        <f>ROUND($F14*'Allocators Calc'!CQ59,0)</f>
        <v>9464340</v>
      </c>
      <c r="DA59" s="11"/>
      <c r="DB59">
        <f>ROUND($F14*'Allocators Calc'!CS59,0)</f>
        <v>0</v>
      </c>
      <c r="DC59">
        <f>ROUND($F14*'Allocators Calc'!CT59,0)</f>
        <v>0</v>
      </c>
      <c r="DD59">
        <f>ROUND($F14*'Allocators Calc'!CU59,0)</f>
        <v>140867</v>
      </c>
      <c r="DE59">
        <f>ROUND($F14*'Allocators Calc'!CV59,0)</f>
        <v>0</v>
      </c>
      <c r="DF59">
        <f>ROUND($F14*'Allocators Calc'!CW59,0)</f>
        <v>0</v>
      </c>
      <c r="DG59">
        <f>ROUND($F14*'Allocators Calc'!CX59,0)</f>
        <v>0</v>
      </c>
      <c r="DH59">
        <f>ROUND($F14*'Allocators Calc'!CY59,0)</f>
        <v>697499</v>
      </c>
      <c r="DI59">
        <f>ROUND($F14*'Allocators Calc'!CZ59,0)</f>
        <v>0</v>
      </c>
      <c r="DJ59">
        <f>ROUND($F14*'Allocators Calc'!DA59,0)</f>
        <v>12391</v>
      </c>
      <c r="DK59" s="11"/>
      <c r="DL59" s="3">
        <f t="shared" si="28"/>
        <v>139361976</v>
      </c>
      <c r="DM59" s="3">
        <f t="shared" si="29"/>
        <v>139361976</v>
      </c>
      <c r="DN59" s="3">
        <f t="shared" si="2"/>
        <v>0</v>
      </c>
      <c r="DO59" s="3">
        <f>SUM(DM48:DM59)</f>
        <v>1750172540</v>
      </c>
    </row>
    <row r="60" spans="11:119" x14ac:dyDescent="0.2">
      <c r="K60" s="11"/>
      <c r="L60" s="11"/>
      <c r="M60" s="11"/>
      <c r="N60" s="11"/>
      <c r="O60" s="14"/>
      <c r="P60" s="16"/>
      <c r="Q60" s="11"/>
      <c r="R60" s="11"/>
      <c r="S60" s="11"/>
      <c r="T60" s="14"/>
      <c r="U60" s="11"/>
      <c r="V60" s="11"/>
      <c r="W60" s="11"/>
      <c r="X60" s="14"/>
      <c r="Y60" s="11"/>
      <c r="Z60" s="11"/>
      <c r="AA60" s="11"/>
      <c r="AB60" s="14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4"/>
      <c r="AV60" s="11"/>
      <c r="AW60" s="11"/>
      <c r="AX60" s="11"/>
      <c r="AY60" s="11"/>
      <c r="AZ60" s="11"/>
      <c r="BA60" s="14"/>
      <c r="BB60" s="11"/>
      <c r="BC60" s="11"/>
      <c r="BD60" s="11"/>
      <c r="BE60" s="11"/>
      <c r="BF60" s="11"/>
      <c r="BG60" s="14"/>
      <c r="BH60" s="11"/>
      <c r="BI60" s="11"/>
      <c r="BJ60" s="11"/>
      <c r="BK60" s="11"/>
      <c r="BL60" s="11"/>
      <c r="BM60" s="14"/>
      <c r="BN60" s="11"/>
      <c r="BO60" s="11"/>
      <c r="BP60" s="11"/>
      <c r="BQ60" s="11"/>
      <c r="BR60" s="11"/>
      <c r="BS60" s="14"/>
      <c r="BT60" s="11"/>
      <c r="BU60" s="11"/>
      <c r="BV60" s="11"/>
      <c r="BW60" s="11"/>
      <c r="BX60" s="11"/>
      <c r="BY60" s="14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4"/>
      <c r="CU60" s="11"/>
      <c r="CV60" s="11"/>
      <c r="CW60" s="14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N60" s="3"/>
    </row>
    <row r="61" spans="11:119" x14ac:dyDescent="0.2">
      <c r="K61" s="9" t="s">
        <v>31</v>
      </c>
      <c r="L61" s="344" t="str">
        <f>L46</f>
        <v>CSN0</v>
      </c>
      <c r="M61" s="344"/>
      <c r="N61" s="344"/>
      <c r="O61" s="345"/>
      <c r="P61" s="15" t="str">
        <f>P46</f>
        <v>CSN2</v>
      </c>
      <c r="Q61" s="343" t="str">
        <f>Q46</f>
        <v>CSN7</v>
      </c>
      <c r="R61" s="344"/>
      <c r="S61" s="344"/>
      <c r="T61" s="345"/>
      <c r="U61" s="343" t="str">
        <f>U46</f>
        <v>CSN8</v>
      </c>
      <c r="V61" s="344"/>
      <c r="W61" s="344"/>
      <c r="X61" s="345"/>
      <c r="Y61" s="343" t="str">
        <f>Y46</f>
        <v>CSN9</v>
      </c>
      <c r="Z61" s="344"/>
      <c r="AA61" s="344"/>
      <c r="AB61" s="345"/>
      <c r="AC61" s="343" t="str">
        <f>AC46</f>
        <v>SFOC</v>
      </c>
      <c r="AD61" s="344"/>
      <c r="AE61" s="344"/>
      <c r="AF61" s="344"/>
      <c r="AG61" s="11"/>
      <c r="AH61" t="str">
        <f t="shared" ref="AH61:AN62" si="30">AH46</f>
        <v>HBN0</v>
      </c>
      <c r="AI61" t="str">
        <f t="shared" si="30"/>
        <v>HCN0</v>
      </c>
      <c r="AJ61" t="str">
        <f t="shared" si="30"/>
        <v>HCN3</v>
      </c>
      <c r="AK61" t="str">
        <f>AK46</f>
        <v>HSN3</v>
      </c>
      <c r="AL61" t="str">
        <f t="shared" si="30"/>
        <v>HDN0</v>
      </c>
      <c r="AM61" t="str">
        <f t="shared" si="30"/>
        <v>HPN0</v>
      </c>
      <c r="AN61" t="str">
        <f t="shared" si="30"/>
        <v>HSN0</v>
      </c>
      <c r="AO61" s="11"/>
      <c r="AP61" s="343" t="str">
        <f>AP46</f>
        <v>LBN0</v>
      </c>
      <c r="AQ61" s="344"/>
      <c r="AR61" s="344"/>
      <c r="AS61" s="344"/>
      <c r="AT61" s="344"/>
      <c r="AU61" s="345"/>
      <c r="AV61" s="343" t="str">
        <f>AV46</f>
        <v>LDN0</v>
      </c>
      <c r="AW61" s="344"/>
      <c r="AX61" s="344"/>
      <c r="AY61" s="344"/>
      <c r="AZ61" s="344"/>
      <c r="BA61" s="345"/>
      <c r="BB61" s="343" t="str">
        <f>BB46</f>
        <v>LPN0</v>
      </c>
      <c r="BC61" s="344"/>
      <c r="BD61" s="344"/>
      <c r="BE61" s="344"/>
      <c r="BF61" s="344"/>
      <c r="BG61" s="345"/>
      <c r="BH61" s="343" t="str">
        <f>BH46</f>
        <v>LSN0</v>
      </c>
      <c r="BI61" s="344"/>
      <c r="BJ61" s="344"/>
      <c r="BK61" s="344"/>
      <c r="BL61" s="344"/>
      <c r="BM61" s="345"/>
      <c r="BN61" s="343" t="str">
        <f>BN46</f>
        <v>LSN2</v>
      </c>
      <c r="BO61" s="344"/>
      <c r="BP61" s="344"/>
      <c r="BQ61" s="344"/>
      <c r="BR61" s="344"/>
      <c r="BS61" s="345"/>
      <c r="BT61" s="343" t="str">
        <f>BT46</f>
        <v>LSN3 - Peak</v>
      </c>
      <c r="BU61" s="344"/>
      <c r="BV61" s="344"/>
      <c r="BW61" s="344"/>
      <c r="BX61" s="344"/>
      <c r="BY61" s="344"/>
      <c r="BZ61" s="343" t="str">
        <f>BZ46</f>
        <v>LSN3 - Grandfathered</v>
      </c>
      <c r="CA61" s="344"/>
      <c r="CB61" s="344"/>
      <c r="CC61" s="344"/>
      <c r="CD61" s="344"/>
      <c r="CE61" s="344"/>
      <c r="CF61" s="11"/>
      <c r="CG61" t="str">
        <f t="shared" ref="CG61:CP61" si="31">CG46</f>
        <v>NUCF</v>
      </c>
      <c r="CH61" t="str">
        <f t="shared" si="31"/>
        <v>NUIF</v>
      </c>
      <c r="CI61" t="str">
        <f t="shared" si="31"/>
        <v>NUID</v>
      </c>
      <c r="CJ61" t="str">
        <f t="shared" si="31"/>
        <v>NUCS</v>
      </c>
      <c r="CK61" t="str">
        <f t="shared" si="31"/>
        <v>SAES</v>
      </c>
      <c r="CL61" t="str">
        <f t="shared" si="31"/>
        <v>SASN</v>
      </c>
      <c r="CM61" t="str">
        <f t="shared" si="31"/>
        <v>SPUF</v>
      </c>
      <c r="CN61" t="str">
        <f t="shared" si="31"/>
        <v>SPUR</v>
      </c>
      <c r="CO61" t="str">
        <f t="shared" si="31"/>
        <v>SDEH</v>
      </c>
      <c r="CP61" t="str">
        <f t="shared" si="31"/>
        <v>SDED</v>
      </c>
      <c r="CQ61" s="11"/>
      <c r="CR61" s="344" t="str">
        <f>CR46</f>
        <v>RSN0</v>
      </c>
      <c r="CS61" s="344"/>
      <c r="CT61" s="345"/>
      <c r="CU61" s="343" t="str">
        <f>CU46</f>
        <v>RSN2</v>
      </c>
      <c r="CV61" s="344"/>
      <c r="CW61" s="345"/>
      <c r="CX61" s="11"/>
      <c r="CY61" s="344" t="str">
        <f>CY46</f>
        <v xml:space="preserve">SWP </v>
      </c>
      <c r="CZ61" s="344"/>
      <c r="DA61" s="11"/>
      <c r="DB61" t="str">
        <f>DB46</f>
        <v>MHLS</v>
      </c>
      <c r="DC61" t="str">
        <f>DC46</f>
        <v>FS</v>
      </c>
      <c r="DD61" t="str">
        <f t="shared" ref="DD61:DJ61" si="32">DD46</f>
        <v>MOLS</v>
      </c>
      <c r="DE61" t="str">
        <f t="shared" si="32"/>
        <v>MS</v>
      </c>
      <c r="DF61" t="str">
        <f>DF46</f>
        <v>SL</v>
      </c>
      <c r="DG61" t="str">
        <f t="shared" si="32"/>
        <v>TS</v>
      </c>
      <c r="DH61" t="str">
        <f t="shared" si="32"/>
        <v>UOLS</v>
      </c>
      <c r="DI61" t="str">
        <f t="shared" si="32"/>
        <v>WHTL</v>
      </c>
      <c r="DJ61" t="str">
        <f t="shared" si="32"/>
        <v>XLED</v>
      </c>
      <c r="DK61" s="11"/>
      <c r="DN61" s="3"/>
    </row>
    <row r="62" spans="11:119" x14ac:dyDescent="0.2">
      <c r="L62" t="str">
        <f>L47</f>
        <v>First 300</v>
      </c>
      <c r="M62" t="str">
        <f>M47</f>
        <v>Next 700</v>
      </c>
      <c r="N62" t="str">
        <f>N47</f>
        <v>Next 1500</v>
      </c>
      <c r="O62" s="13" t="str">
        <f>O47</f>
        <v>Over 2500</v>
      </c>
      <c r="P62" s="15"/>
      <c r="Q62" t="str">
        <f t="shared" ref="Q62:AF62" si="33">Q47</f>
        <v>First 300</v>
      </c>
      <c r="R62" t="str">
        <f t="shared" si="33"/>
        <v>Next 700</v>
      </c>
      <c r="S62" t="str">
        <f t="shared" si="33"/>
        <v>Next 1500</v>
      </c>
      <c r="T62" s="13" t="str">
        <f t="shared" si="33"/>
        <v>Over 2500</v>
      </c>
      <c r="U62" t="str">
        <f t="shared" si="33"/>
        <v>First 300</v>
      </c>
      <c r="V62" t="str">
        <f t="shared" si="33"/>
        <v>Next 700</v>
      </c>
      <c r="W62" t="str">
        <f t="shared" si="33"/>
        <v>Next 1500</v>
      </c>
      <c r="X62" s="13" t="str">
        <f t="shared" si="33"/>
        <v>Over 2500</v>
      </c>
      <c r="Y62" t="str">
        <f t="shared" si="33"/>
        <v>First 300</v>
      </c>
      <c r="Z62" t="str">
        <f t="shared" si="33"/>
        <v>Next 700</v>
      </c>
      <c r="AA62" t="str">
        <f t="shared" si="33"/>
        <v>Next 1500</v>
      </c>
      <c r="AB62" s="13" t="str">
        <f t="shared" si="33"/>
        <v>Over 2500</v>
      </c>
      <c r="AC62" t="str">
        <f t="shared" si="33"/>
        <v>First 300</v>
      </c>
      <c r="AD62" t="str">
        <f t="shared" si="33"/>
        <v>Next 700</v>
      </c>
      <c r="AE62" t="str">
        <f t="shared" si="33"/>
        <v>Next 1500</v>
      </c>
      <c r="AF62" t="str">
        <f t="shared" si="33"/>
        <v>Over 2500</v>
      </c>
      <c r="AG62" s="11"/>
      <c r="AJ62" t="str">
        <f t="shared" si="30"/>
        <v xml:space="preserve"> </v>
      </c>
      <c r="AK62" t="str">
        <f>AK47</f>
        <v xml:space="preserve"> </v>
      </c>
      <c r="AO62" s="11"/>
      <c r="AP62" t="str">
        <f t="shared" ref="AP62:BY62" si="34">AP47</f>
        <v>First 300 kWh</v>
      </c>
      <c r="AQ62" t="str">
        <f t="shared" si="34"/>
        <v>Next 700 kWh</v>
      </c>
      <c r="AR62" t="str">
        <f t="shared" si="34"/>
        <v>Next 1500 kWh</v>
      </c>
      <c r="AS62" t="str">
        <f t="shared" si="34"/>
        <v>Over 2500 kWh</v>
      </c>
      <c r="AT62" t="str">
        <f t="shared" si="34"/>
        <v>KWH_NEXT110</v>
      </c>
      <c r="AU62" s="13" t="str">
        <f t="shared" si="34"/>
        <v>KWH_300+</v>
      </c>
      <c r="AV62" t="str">
        <f t="shared" si="34"/>
        <v>First 300 kWh</v>
      </c>
      <c r="AW62" t="str">
        <f t="shared" si="34"/>
        <v>Next 700 kWh</v>
      </c>
      <c r="AX62" t="str">
        <f t="shared" si="34"/>
        <v>Next 1500 kWh</v>
      </c>
      <c r="AY62" t="str">
        <f t="shared" si="34"/>
        <v>Over 2500 kWh</v>
      </c>
      <c r="AZ62" t="str">
        <f t="shared" si="34"/>
        <v>KWH_NEXT110</v>
      </c>
      <c r="BA62" s="13" t="str">
        <f t="shared" si="34"/>
        <v>KWH_300+</v>
      </c>
      <c r="BB62" t="str">
        <f t="shared" si="34"/>
        <v>First 300 kWh</v>
      </c>
      <c r="BC62" t="str">
        <f t="shared" si="34"/>
        <v>Next 700 kWh</v>
      </c>
      <c r="BD62" t="str">
        <f t="shared" si="34"/>
        <v>Next 1500 kWh</v>
      </c>
      <c r="BE62" t="str">
        <f t="shared" si="34"/>
        <v>Over 2500 kWh</v>
      </c>
      <c r="BF62" t="str">
        <f t="shared" si="34"/>
        <v>KWH_NEXT110</v>
      </c>
      <c r="BG62" s="13" t="str">
        <f t="shared" si="34"/>
        <v>KWH_300+</v>
      </c>
      <c r="BH62" t="str">
        <f t="shared" si="34"/>
        <v>First 300 kWh</v>
      </c>
      <c r="BI62" t="str">
        <f t="shared" si="34"/>
        <v>Next 700 kWh</v>
      </c>
      <c r="BJ62" t="str">
        <f t="shared" si="34"/>
        <v>Next 1500 kWh</v>
      </c>
      <c r="BK62" t="str">
        <f t="shared" si="34"/>
        <v>Over 2500 kWh</v>
      </c>
      <c r="BL62" t="str">
        <f t="shared" si="34"/>
        <v>KWH_NEXT110</v>
      </c>
      <c r="BM62" s="13" t="str">
        <f t="shared" si="34"/>
        <v>KWH_300+</v>
      </c>
      <c r="BN62" t="str">
        <f t="shared" si="34"/>
        <v>First 300 kWh</v>
      </c>
      <c r="BO62" t="str">
        <f t="shared" si="34"/>
        <v>Next 700 kWh</v>
      </c>
      <c r="BP62" t="str">
        <f t="shared" si="34"/>
        <v>Next 1500 kWh</v>
      </c>
      <c r="BQ62" t="str">
        <f t="shared" si="34"/>
        <v>Over 2500 kWh</v>
      </c>
      <c r="BR62" t="str">
        <f t="shared" si="34"/>
        <v>KWH_NEXT110</v>
      </c>
      <c r="BS62" s="13" t="str">
        <f t="shared" si="34"/>
        <v>KWH_300+</v>
      </c>
      <c r="BT62" t="str">
        <f t="shared" si="34"/>
        <v>First 300 kWh</v>
      </c>
      <c r="BU62" t="str">
        <f t="shared" si="34"/>
        <v>Next 700 kWh</v>
      </c>
      <c r="BV62" t="str">
        <f t="shared" si="34"/>
        <v>Next 1500 kWh</v>
      </c>
      <c r="BW62" t="str">
        <f t="shared" si="34"/>
        <v>Over 2500 kWh</v>
      </c>
      <c r="BX62" t="str">
        <f t="shared" si="34"/>
        <v>KWH_NEXT110</v>
      </c>
      <c r="BY62" s="13" t="str">
        <f t="shared" si="34"/>
        <v>KWH_300+</v>
      </c>
      <c r="BZ62" t="str">
        <f t="shared" ref="BZ62:CE62" si="35">BZ47</f>
        <v>First 300 kWh</v>
      </c>
      <c r="CA62" t="str">
        <f t="shared" si="35"/>
        <v>Next 700 kWh</v>
      </c>
      <c r="CB62" t="str">
        <f t="shared" si="35"/>
        <v>Next 1500 kWh</v>
      </c>
      <c r="CC62" t="str">
        <f t="shared" si="35"/>
        <v>Over 2500 kWh</v>
      </c>
      <c r="CD62" t="str">
        <f t="shared" si="35"/>
        <v>KWH_NEXT110</v>
      </c>
      <c r="CE62" t="str">
        <f t="shared" si="35"/>
        <v>KWH_300+</v>
      </c>
      <c r="CF62" s="11"/>
      <c r="CQ62" s="11"/>
      <c r="CR62" t="str">
        <f>CR47</f>
        <v>First 300 kWh</v>
      </c>
      <c r="CS62" t="str">
        <f>CS47</f>
        <v>Next 700 kWh</v>
      </c>
      <c r="CT62" s="13" t="str">
        <f>CT47</f>
        <v>Over 1000 kWh</v>
      </c>
      <c r="CU62" t="str">
        <f>CU47</f>
        <v>First 300 kWh</v>
      </c>
      <c r="CV62" t="str">
        <f>CV47</f>
        <v>Next 700 kWh</v>
      </c>
      <c r="CW62" s="13" t="str">
        <f>CW47</f>
        <v>Over 1000 kWh</v>
      </c>
      <c r="CX62" s="11"/>
      <c r="CY62" t="str">
        <f>CY47</f>
        <v>First 2000</v>
      </c>
      <c r="CZ62" t="str">
        <f>CZ47</f>
        <v>Over 2000</v>
      </c>
      <c r="DA62" s="11"/>
      <c r="DK62" s="11"/>
      <c r="DL62" s="3"/>
      <c r="DN62" s="3"/>
    </row>
    <row r="63" spans="11:119" x14ac:dyDescent="0.2">
      <c r="K63" t="s">
        <v>232</v>
      </c>
      <c r="L63">
        <f>ROUND($G3*'Allocators Calc'!C63,0)</f>
        <v>0</v>
      </c>
      <c r="M63">
        <f>ROUND($G3*'Allocators Calc'!D63,0)</f>
        <v>0</v>
      </c>
      <c r="N63">
        <f>ROUND($G3*'Allocators Calc'!E63,0)</f>
        <v>0</v>
      </c>
      <c r="O63" s="13">
        <f>ROUND($G3*'Allocators Calc'!F63,0)</f>
        <v>0</v>
      </c>
      <c r="P63" s="15">
        <f>ROUND($G3*'Allocators Calc'!G63,0)</f>
        <v>0</v>
      </c>
      <c r="Q63">
        <f>ROUND($G3*'Allocators Calc'!H63,0)</f>
        <v>0</v>
      </c>
      <c r="R63">
        <f>ROUND($G3*'Allocators Calc'!I63,0)</f>
        <v>0</v>
      </c>
      <c r="S63">
        <f>ROUND($G3*'Allocators Calc'!J63,0)</f>
        <v>0</v>
      </c>
      <c r="T63" s="13">
        <f>ROUND($G3*'Allocators Calc'!K63,0)</f>
        <v>0</v>
      </c>
      <c r="U63">
        <f>ROUND($G3*'Allocators Calc'!L63,0)</f>
        <v>0</v>
      </c>
      <c r="V63">
        <f>ROUND($G3*'Allocators Calc'!M63,0)</f>
        <v>0</v>
      </c>
      <c r="W63">
        <f>ROUND($G3*'Allocators Calc'!N63,0)</f>
        <v>0</v>
      </c>
      <c r="X63" s="13">
        <f>ROUND($G3*'Allocators Calc'!O63,0)</f>
        <v>0</v>
      </c>
      <c r="Y63">
        <f>ROUND($G3*'Allocators Calc'!P63,0)</f>
        <v>0</v>
      </c>
      <c r="Z63">
        <f>ROUND($G3*'Allocators Calc'!Q63,0)</f>
        <v>0</v>
      </c>
      <c r="AA63">
        <f>ROUND($G3*'Allocators Calc'!R63,0)</f>
        <v>0</v>
      </c>
      <c r="AB63" s="13">
        <f>ROUND($G3*'Allocators Calc'!S63,0)</f>
        <v>0</v>
      </c>
      <c r="AC63">
        <f>ROUND($G3*'Allocators Calc'!T63,0)</f>
        <v>0</v>
      </c>
      <c r="AD63">
        <f>ROUND($G3*'Allocators Calc'!U63,0)</f>
        <v>0</v>
      </c>
      <c r="AE63">
        <f>ROUND($G3*'Allocators Calc'!V63,0)</f>
        <v>0</v>
      </c>
      <c r="AF63">
        <f>ROUND($G3*'Allocators Calc'!W63,0)</f>
        <v>0</v>
      </c>
      <c r="AG63" s="11"/>
      <c r="AH63">
        <f>ROUND($G3*'Allocators Calc'!Y63,0)</f>
        <v>0</v>
      </c>
      <c r="AI63">
        <f>ROUND($G3*'Allocators Calc'!Z63,0)</f>
        <v>0</v>
      </c>
      <c r="AJ63">
        <f>ROUND($G3*'Allocators Calc'!AA63,0)</f>
        <v>0</v>
      </c>
      <c r="AK63">
        <f>ROUND($G3*'Allocators Calc'!AB63,0)</f>
        <v>0</v>
      </c>
      <c r="AL63">
        <f>ROUND($G3*'Allocators Calc'!AC63,0)</f>
        <v>0</v>
      </c>
      <c r="AM63">
        <f>ROUND($G3*'Allocators Calc'!AD63,0)</f>
        <v>0</v>
      </c>
      <c r="AN63">
        <f>ROUND($G3*'Allocators Calc'!AE63,0)</f>
        <v>0</v>
      </c>
      <c r="AO63" s="11"/>
      <c r="AP63">
        <f>ROUND($G3*'Allocators Calc'!AG63,0)</f>
        <v>0</v>
      </c>
      <c r="AQ63">
        <f>ROUND($G3*'Allocators Calc'!AH63,0)</f>
        <v>0</v>
      </c>
      <c r="AR63">
        <f>ROUND($G3*'Allocators Calc'!AI63,0)</f>
        <v>0</v>
      </c>
      <c r="AS63">
        <f>ROUND($G3*'Allocators Calc'!AJ63,0)</f>
        <v>0</v>
      </c>
      <c r="AT63">
        <f>ROUND($G3*'Allocators Calc'!AK63,0)</f>
        <v>0</v>
      </c>
      <c r="AU63" s="13">
        <f>ROUND($G3*'Allocators Calc'!AL63,0)</f>
        <v>0</v>
      </c>
      <c r="AV63">
        <f>ROUND($G3*'Allocators Calc'!AM63,0)</f>
        <v>0</v>
      </c>
      <c r="AW63">
        <f>ROUND($G3*'Allocators Calc'!AN63,0)</f>
        <v>0</v>
      </c>
      <c r="AX63">
        <f>ROUND($G3*'Allocators Calc'!AO63,0)</f>
        <v>0</v>
      </c>
      <c r="AY63">
        <f>ROUND($G3*'Allocators Calc'!AP63,0)</f>
        <v>0</v>
      </c>
      <c r="AZ63">
        <f>ROUND($G3*'Allocators Calc'!AQ63,0)</f>
        <v>0</v>
      </c>
      <c r="BA63" s="13">
        <f>ROUND($G3*'Allocators Calc'!AR63,0)</f>
        <v>0</v>
      </c>
      <c r="BB63">
        <f>ROUND($G3*'Allocators Calc'!AS63,0)</f>
        <v>0</v>
      </c>
      <c r="BC63">
        <f>ROUND($G3*'Allocators Calc'!AT63,0)</f>
        <v>0</v>
      </c>
      <c r="BD63">
        <f>ROUND($G3*'Allocators Calc'!AU63,0)</f>
        <v>0</v>
      </c>
      <c r="BE63">
        <f>ROUND($G3*'Allocators Calc'!AV63,0)</f>
        <v>0</v>
      </c>
      <c r="BF63">
        <f>ROUND($G3*'Allocators Calc'!AW63,0)</f>
        <v>0</v>
      </c>
      <c r="BG63" s="13">
        <f>ROUND($G3*'Allocators Calc'!AX63,0)</f>
        <v>0</v>
      </c>
      <c r="BH63">
        <f>ROUND($G3*'Allocators Calc'!AY63,0)</f>
        <v>0</v>
      </c>
      <c r="BI63">
        <f>ROUND($G3*'Allocators Calc'!AZ63,0)</f>
        <v>0</v>
      </c>
      <c r="BJ63">
        <f>ROUND($G3*'Allocators Calc'!BA63,0)</f>
        <v>0</v>
      </c>
      <c r="BK63">
        <f>ROUND($G3*'Allocators Calc'!BB63,0)</f>
        <v>0</v>
      </c>
      <c r="BL63">
        <f>ROUND($G3*'Allocators Calc'!BC63,0)</f>
        <v>0</v>
      </c>
      <c r="BM63" s="13">
        <f>ROUND($G3*'Allocators Calc'!BD63,0)</f>
        <v>0</v>
      </c>
      <c r="BN63">
        <f>ROUND($G3*'Allocators Calc'!BE63,0)</f>
        <v>0</v>
      </c>
      <c r="BO63">
        <f>ROUND($G3*'Allocators Calc'!BF63,0)</f>
        <v>0</v>
      </c>
      <c r="BP63">
        <f>ROUND($G3*'Allocators Calc'!BG63,0)</f>
        <v>0</v>
      </c>
      <c r="BQ63">
        <f>ROUND($G3*'Allocators Calc'!BH63,0)</f>
        <v>0</v>
      </c>
      <c r="BR63">
        <f>ROUND($G3*'Allocators Calc'!BI63,0)</f>
        <v>0</v>
      </c>
      <c r="BS63" s="13">
        <f>ROUND($G3*'Allocators Calc'!BJ63,0)</f>
        <v>0</v>
      </c>
      <c r="BT63">
        <f>ROUND($G3*'Allocators Calc'!BK63,0)</f>
        <v>0</v>
      </c>
      <c r="BU63">
        <f>ROUND($G3*'Allocators Calc'!BL63,0)</f>
        <v>0</v>
      </c>
      <c r="BV63">
        <f>ROUND($G3*'Allocators Calc'!BM63,0)</f>
        <v>0</v>
      </c>
      <c r="BW63">
        <f>ROUND($G3*'Allocators Calc'!BN63,0)</f>
        <v>0</v>
      </c>
      <c r="BX63">
        <f>ROUND($G3*'Allocators Calc'!BO63,0)</f>
        <v>0</v>
      </c>
      <c r="BY63" s="13">
        <f>ROUND($G3*'Allocators Calc'!BP63,0)</f>
        <v>0</v>
      </c>
      <c r="BZ63">
        <f>ROUND($G3*'Allocators Calc'!BQ63,0)</f>
        <v>0</v>
      </c>
      <c r="CA63">
        <f>ROUND($G3*'Allocators Calc'!BR63,0)</f>
        <v>0</v>
      </c>
      <c r="CB63">
        <f>ROUND($G3*'Allocators Calc'!BS63,0)</f>
        <v>0</v>
      </c>
      <c r="CC63">
        <f>ROUND($G3*'Allocators Calc'!BT63,0)</f>
        <v>0</v>
      </c>
      <c r="CD63">
        <f>ROUND($G3*'Allocators Calc'!BU63,0)</f>
        <v>0</v>
      </c>
      <c r="CE63" s="13">
        <f>ROUND($G3*'Allocators Calc'!BV63,0)</f>
        <v>0</v>
      </c>
      <c r="CF63" s="11"/>
      <c r="CG63">
        <f>ROUND($G3*'Allocators Calc'!BX63,0)</f>
        <v>0</v>
      </c>
      <c r="CH63">
        <f>ROUND($G3*'Allocators Calc'!BY63,0)</f>
        <v>0</v>
      </c>
      <c r="CI63">
        <f>ROUND($G3*'Allocators Calc'!BZ63,0)</f>
        <v>0</v>
      </c>
      <c r="CJ63">
        <f>ROUND($G3*'Allocators Calc'!CA63,0)</f>
        <v>0</v>
      </c>
      <c r="CK63">
        <f>ROUND($G3*'Allocators Calc'!CB63,0)</f>
        <v>0</v>
      </c>
      <c r="CL63">
        <f>ROUND($G3*'Allocators Calc'!CC63,0)</f>
        <v>0</v>
      </c>
      <c r="CM63">
        <f>ROUND($G3*'Allocators Calc'!CD63,0)</f>
        <v>0</v>
      </c>
      <c r="CN63">
        <f>ROUND($G3*'Allocators Calc'!CE63,0)</f>
        <v>0</v>
      </c>
      <c r="CO63">
        <f>ROUND($G3*'Allocators Calc'!CF63,0)</f>
        <v>0</v>
      </c>
      <c r="CP63">
        <f>ROUND($G3*'Allocators Calc'!CG63,0)</f>
        <v>0</v>
      </c>
      <c r="CQ63" s="11"/>
      <c r="CR63">
        <f>ROUND($G3*'Allocators Calc'!CI63,0)</f>
        <v>0</v>
      </c>
      <c r="CS63">
        <f>ROUND($G3*'Allocators Calc'!CJ63,0)</f>
        <v>0</v>
      </c>
      <c r="CT63" s="13">
        <f>ROUND($G3*'Allocators Calc'!CK63,0)</f>
        <v>0</v>
      </c>
      <c r="CU63">
        <f>ROUND($G3*'Allocators Calc'!CL63,0)</f>
        <v>0</v>
      </c>
      <c r="CV63">
        <f>ROUND($G3*'Allocators Calc'!CM63,0)</f>
        <v>0</v>
      </c>
      <c r="CW63" s="13">
        <f>ROUND($G3*'Allocators Calc'!CN63,0)</f>
        <v>0</v>
      </c>
      <c r="CX63" s="11"/>
      <c r="CY63">
        <f>ROUND($G3*'Allocators Calc'!CP63,0)</f>
        <v>0</v>
      </c>
      <c r="CZ63">
        <f>ROUND($G3*'Allocators Calc'!CQ63,0)</f>
        <v>0</v>
      </c>
      <c r="DA63" s="11"/>
      <c r="DB63">
        <f>ROUND($G3*'Allocators Calc'!CS63,0)</f>
        <v>421084</v>
      </c>
      <c r="DC63">
        <f>ROUND($G3*'Allocators Calc'!CT63,0)</f>
        <v>23731</v>
      </c>
      <c r="DD63">
        <f>ROUND($G3*'Allocators Calc'!CU63,0)</f>
        <v>180175</v>
      </c>
      <c r="DE63">
        <f>ROUND($G3*'Allocators Calc'!CV63,0)</f>
        <v>262731</v>
      </c>
      <c r="DF63">
        <f>ROUND($G3*'Allocators Calc'!CW63,0)</f>
        <v>2764692</v>
      </c>
      <c r="DG63">
        <f>ROUND($G3*'Allocators Calc'!CX63,0)</f>
        <v>279422</v>
      </c>
      <c r="DH63">
        <f>ROUND($G3*'Allocators Calc'!CY63,0)</f>
        <v>6371733</v>
      </c>
      <c r="DI63" s="10">
        <f t="shared" ref="DI63:DI74" si="36">$G3-SUM(L63:DH63)-SUM(DJ63:DJ63)</f>
        <v>2156.3850000016391</v>
      </c>
      <c r="DJ63">
        <f>ROUND($G3*'Allocators Calc'!DA63,0)</f>
        <v>247542</v>
      </c>
      <c r="DK63" s="11"/>
      <c r="DL63" s="3">
        <f t="shared" ref="DL63:DL74" si="37">SUM(L63:DJ63)</f>
        <v>10553266.385000002</v>
      </c>
      <c r="DM63" s="3">
        <f t="shared" ref="DM63:DM74" si="38">G3</f>
        <v>10553266.385000002</v>
      </c>
      <c r="DN63" s="3">
        <f t="shared" si="2"/>
        <v>0</v>
      </c>
    </row>
    <row r="64" spans="11:119" x14ac:dyDescent="0.2">
      <c r="K64" t="s">
        <v>233</v>
      </c>
      <c r="L64">
        <f>ROUND($G4*'Allocators Calc'!C64,0)</f>
        <v>0</v>
      </c>
      <c r="M64">
        <f>ROUND($G4*'Allocators Calc'!D64,0)</f>
        <v>0</v>
      </c>
      <c r="N64">
        <f>ROUND($G4*'Allocators Calc'!E64,0)</f>
        <v>0</v>
      </c>
      <c r="O64" s="13">
        <f>ROUND($G4*'Allocators Calc'!F64,0)</f>
        <v>0</v>
      </c>
      <c r="P64" s="15">
        <f>ROUND($G4*'Allocators Calc'!G64,0)</f>
        <v>0</v>
      </c>
      <c r="Q64">
        <f>ROUND($G4*'Allocators Calc'!H64,0)</f>
        <v>0</v>
      </c>
      <c r="R64">
        <f>ROUND($G4*'Allocators Calc'!I64,0)</f>
        <v>0</v>
      </c>
      <c r="S64">
        <f>ROUND($G4*'Allocators Calc'!J64,0)</f>
        <v>0</v>
      </c>
      <c r="T64" s="13">
        <f>ROUND($G4*'Allocators Calc'!K64,0)</f>
        <v>0</v>
      </c>
      <c r="U64">
        <f>ROUND($G4*'Allocators Calc'!L64,0)</f>
        <v>0</v>
      </c>
      <c r="V64">
        <f>ROUND($G4*'Allocators Calc'!M64,0)</f>
        <v>0</v>
      </c>
      <c r="W64">
        <f>ROUND($G4*'Allocators Calc'!N64,0)</f>
        <v>0</v>
      </c>
      <c r="X64" s="13">
        <f>ROUND($G4*'Allocators Calc'!O64,0)</f>
        <v>0</v>
      </c>
      <c r="Y64">
        <f>ROUND($G4*'Allocators Calc'!P64,0)</f>
        <v>0</v>
      </c>
      <c r="Z64">
        <f>ROUND($G4*'Allocators Calc'!Q64,0)</f>
        <v>0</v>
      </c>
      <c r="AA64">
        <f>ROUND($G4*'Allocators Calc'!R64,0)</f>
        <v>0</v>
      </c>
      <c r="AB64" s="13">
        <f>ROUND($G4*'Allocators Calc'!S64,0)</f>
        <v>0</v>
      </c>
      <c r="AC64">
        <f>ROUND($G4*'Allocators Calc'!T64,0)</f>
        <v>0</v>
      </c>
      <c r="AD64">
        <f>ROUND($G4*'Allocators Calc'!U64,0)</f>
        <v>0</v>
      </c>
      <c r="AE64">
        <f>ROUND($G4*'Allocators Calc'!V64,0)</f>
        <v>0</v>
      </c>
      <c r="AF64">
        <f>ROUND($G4*'Allocators Calc'!W64,0)</f>
        <v>0</v>
      </c>
      <c r="AG64" s="11"/>
      <c r="AH64">
        <f>ROUND($G4*'Allocators Calc'!Y64,0)</f>
        <v>0</v>
      </c>
      <c r="AI64">
        <f>ROUND($G4*'Allocators Calc'!Z64,0)</f>
        <v>0</v>
      </c>
      <c r="AJ64">
        <f>ROUND($G4*'Allocators Calc'!AA64,0)</f>
        <v>0</v>
      </c>
      <c r="AK64">
        <f>ROUND($G4*'Allocators Calc'!AB64,0)</f>
        <v>0</v>
      </c>
      <c r="AL64">
        <f>ROUND($G4*'Allocators Calc'!AC64,0)</f>
        <v>0</v>
      </c>
      <c r="AM64">
        <f>ROUND($G4*'Allocators Calc'!AD64,0)</f>
        <v>0</v>
      </c>
      <c r="AN64">
        <f>ROUND($G4*'Allocators Calc'!AE64,0)</f>
        <v>0</v>
      </c>
      <c r="AO64" s="11"/>
      <c r="AP64">
        <f>ROUND($G4*'Allocators Calc'!AG64,0)</f>
        <v>0</v>
      </c>
      <c r="AQ64">
        <f>ROUND($G4*'Allocators Calc'!AH64,0)</f>
        <v>0</v>
      </c>
      <c r="AR64">
        <f>ROUND($G4*'Allocators Calc'!AI64,0)</f>
        <v>0</v>
      </c>
      <c r="AS64">
        <f>ROUND($G4*'Allocators Calc'!AJ64,0)</f>
        <v>0</v>
      </c>
      <c r="AT64">
        <f>ROUND($G4*'Allocators Calc'!AK64,0)</f>
        <v>0</v>
      </c>
      <c r="AU64" s="13">
        <f>ROUND($G4*'Allocators Calc'!AL64,0)</f>
        <v>0</v>
      </c>
      <c r="AV64">
        <f>ROUND($G4*'Allocators Calc'!AM64,0)</f>
        <v>0</v>
      </c>
      <c r="AW64">
        <f>ROUND($G4*'Allocators Calc'!AN64,0)</f>
        <v>0</v>
      </c>
      <c r="AX64">
        <f>ROUND($G4*'Allocators Calc'!AO64,0)</f>
        <v>0</v>
      </c>
      <c r="AY64">
        <f>ROUND($G4*'Allocators Calc'!AP64,0)</f>
        <v>0</v>
      </c>
      <c r="AZ64">
        <f>ROUND($G4*'Allocators Calc'!AQ64,0)</f>
        <v>0</v>
      </c>
      <c r="BA64" s="13">
        <f>ROUND($G4*'Allocators Calc'!AR64,0)</f>
        <v>0</v>
      </c>
      <c r="BB64">
        <f>ROUND($G4*'Allocators Calc'!AS64,0)</f>
        <v>0</v>
      </c>
      <c r="BC64">
        <f>ROUND($G4*'Allocators Calc'!AT64,0)</f>
        <v>0</v>
      </c>
      <c r="BD64">
        <f>ROUND($G4*'Allocators Calc'!AU64,0)</f>
        <v>0</v>
      </c>
      <c r="BE64">
        <f>ROUND($G4*'Allocators Calc'!AV64,0)</f>
        <v>0</v>
      </c>
      <c r="BF64">
        <f>ROUND($G4*'Allocators Calc'!AW64,0)</f>
        <v>0</v>
      </c>
      <c r="BG64" s="13">
        <f>ROUND($G4*'Allocators Calc'!AX64,0)</f>
        <v>0</v>
      </c>
      <c r="BH64">
        <f>ROUND($G4*'Allocators Calc'!AY64,0)</f>
        <v>0</v>
      </c>
      <c r="BI64">
        <f>ROUND($G4*'Allocators Calc'!AZ64,0)</f>
        <v>0</v>
      </c>
      <c r="BJ64">
        <f>ROUND($G4*'Allocators Calc'!BA64,0)</f>
        <v>0</v>
      </c>
      <c r="BK64">
        <f>ROUND($G4*'Allocators Calc'!BB64,0)</f>
        <v>0</v>
      </c>
      <c r="BL64">
        <f>ROUND($G4*'Allocators Calc'!BC64,0)</f>
        <v>0</v>
      </c>
      <c r="BM64" s="13">
        <f>ROUND($G4*'Allocators Calc'!BD64,0)</f>
        <v>0</v>
      </c>
      <c r="BN64">
        <f>ROUND($G4*'Allocators Calc'!BE64,0)</f>
        <v>0</v>
      </c>
      <c r="BO64">
        <f>ROUND($G4*'Allocators Calc'!BF64,0)</f>
        <v>0</v>
      </c>
      <c r="BP64">
        <f>ROUND($G4*'Allocators Calc'!BG64,0)</f>
        <v>0</v>
      </c>
      <c r="BQ64">
        <f>ROUND($G4*'Allocators Calc'!BH64,0)</f>
        <v>0</v>
      </c>
      <c r="BR64">
        <f>ROUND($G4*'Allocators Calc'!BI64,0)</f>
        <v>0</v>
      </c>
      <c r="BS64" s="13">
        <f>ROUND($G4*'Allocators Calc'!BJ64,0)</f>
        <v>0</v>
      </c>
      <c r="BT64">
        <f>ROUND($G4*'Allocators Calc'!BK64,0)</f>
        <v>0</v>
      </c>
      <c r="BU64">
        <f>ROUND($G4*'Allocators Calc'!BL64,0)</f>
        <v>0</v>
      </c>
      <c r="BV64">
        <f>ROUND($G4*'Allocators Calc'!BM64,0)</f>
        <v>0</v>
      </c>
      <c r="BW64">
        <f>ROUND($G4*'Allocators Calc'!BN64,0)</f>
        <v>0</v>
      </c>
      <c r="BX64">
        <f>ROUND($G4*'Allocators Calc'!BO64,0)</f>
        <v>0</v>
      </c>
      <c r="BY64" s="13">
        <f>ROUND($G4*'Allocators Calc'!BP64,0)</f>
        <v>0</v>
      </c>
      <c r="BZ64">
        <f>ROUND($G4*'Allocators Calc'!BQ64,0)</f>
        <v>0</v>
      </c>
      <c r="CA64">
        <f>ROUND($G4*'Allocators Calc'!BR64,0)</f>
        <v>0</v>
      </c>
      <c r="CB64">
        <f>ROUND($G4*'Allocators Calc'!BS64,0)</f>
        <v>0</v>
      </c>
      <c r="CC64">
        <f>ROUND($G4*'Allocators Calc'!BT64,0)</f>
        <v>0</v>
      </c>
      <c r="CD64">
        <f>ROUND($G4*'Allocators Calc'!BU64,0)</f>
        <v>0</v>
      </c>
      <c r="CE64" s="13">
        <f>ROUND($G4*'Allocators Calc'!BV64,0)</f>
        <v>0</v>
      </c>
      <c r="CF64" s="11"/>
      <c r="CG64">
        <f>ROUND($G4*'Allocators Calc'!BX64,0)</f>
        <v>0</v>
      </c>
      <c r="CH64">
        <f>ROUND($G4*'Allocators Calc'!BY64,0)</f>
        <v>0</v>
      </c>
      <c r="CI64">
        <f>ROUND($G4*'Allocators Calc'!BZ64,0)</f>
        <v>0</v>
      </c>
      <c r="CJ64">
        <f>ROUND($G4*'Allocators Calc'!CA64,0)</f>
        <v>0</v>
      </c>
      <c r="CK64">
        <f>ROUND($G4*'Allocators Calc'!CB64,0)</f>
        <v>0</v>
      </c>
      <c r="CL64">
        <f>ROUND($G4*'Allocators Calc'!CC64,0)</f>
        <v>0</v>
      </c>
      <c r="CM64">
        <f>ROUND($G4*'Allocators Calc'!CD64,0)</f>
        <v>0</v>
      </c>
      <c r="CN64">
        <f>ROUND($G4*'Allocators Calc'!CE64,0)</f>
        <v>0</v>
      </c>
      <c r="CO64">
        <f>ROUND($G4*'Allocators Calc'!CF64,0)</f>
        <v>0</v>
      </c>
      <c r="CP64">
        <f>ROUND($G4*'Allocators Calc'!CG64,0)</f>
        <v>0</v>
      </c>
      <c r="CQ64" s="11"/>
      <c r="CR64">
        <f>ROUND($G4*'Allocators Calc'!CI64,0)</f>
        <v>0</v>
      </c>
      <c r="CS64">
        <f>ROUND($G4*'Allocators Calc'!CJ64,0)</f>
        <v>0</v>
      </c>
      <c r="CT64" s="13">
        <f>ROUND($G4*'Allocators Calc'!CK64,0)</f>
        <v>0</v>
      </c>
      <c r="CU64">
        <f>ROUND($G4*'Allocators Calc'!CL64,0)</f>
        <v>0</v>
      </c>
      <c r="CV64">
        <f>ROUND($G4*'Allocators Calc'!CM64,0)</f>
        <v>0</v>
      </c>
      <c r="CW64" s="13">
        <f>ROUND($G4*'Allocators Calc'!CN64,0)</f>
        <v>0</v>
      </c>
      <c r="CX64" s="11"/>
      <c r="CY64">
        <f>ROUND($G4*'Allocators Calc'!CP64,0)</f>
        <v>0</v>
      </c>
      <c r="CZ64">
        <f>ROUND($G4*'Allocators Calc'!CQ64,0)</f>
        <v>0</v>
      </c>
      <c r="DA64" s="11"/>
      <c r="DB64">
        <f>ROUND($G4*'Allocators Calc'!CS64,0)</f>
        <v>387926</v>
      </c>
      <c r="DC64">
        <f>ROUND($G4*'Allocators Calc'!CT64,0)</f>
        <v>24146</v>
      </c>
      <c r="DD64">
        <f>ROUND($G4*'Allocators Calc'!CU64,0)</f>
        <v>153770</v>
      </c>
      <c r="DE64">
        <f>ROUND($G4*'Allocators Calc'!CV64,0)</f>
        <v>240503</v>
      </c>
      <c r="DF64">
        <f>ROUND($G4*'Allocators Calc'!CW64,0)</f>
        <v>2787244</v>
      </c>
      <c r="DG64">
        <f>ROUND($G4*'Allocators Calc'!CX64,0)</f>
        <v>283694</v>
      </c>
      <c r="DH64">
        <f>ROUND($G4*'Allocators Calc'!CY64,0)</f>
        <v>6366067</v>
      </c>
      <c r="DI64" s="10">
        <f t="shared" si="36"/>
        <v>1868.3959999978542</v>
      </c>
      <c r="DJ64">
        <f>ROUND($G4*'Allocators Calc'!DA64,0)</f>
        <v>276874</v>
      </c>
      <c r="DK64" s="11"/>
      <c r="DL64" s="3">
        <f t="shared" si="37"/>
        <v>10522092.395999998</v>
      </c>
      <c r="DM64" s="3">
        <f t="shared" si="38"/>
        <v>10522092.395999998</v>
      </c>
      <c r="DN64" s="3">
        <f t="shared" si="2"/>
        <v>0</v>
      </c>
    </row>
    <row r="65" spans="11:119" x14ac:dyDescent="0.2">
      <c r="K65" t="s">
        <v>234</v>
      </c>
      <c r="L65">
        <f>ROUND($G5*'Allocators Calc'!C65,0)</f>
        <v>0</v>
      </c>
      <c r="M65">
        <f>ROUND($G5*'Allocators Calc'!D65,0)</f>
        <v>0</v>
      </c>
      <c r="N65">
        <f>ROUND($G5*'Allocators Calc'!E65,0)</f>
        <v>0</v>
      </c>
      <c r="O65" s="13">
        <f>ROUND($G5*'Allocators Calc'!F65,0)</f>
        <v>0</v>
      </c>
      <c r="P65" s="15">
        <f>ROUND($G5*'Allocators Calc'!G65,0)</f>
        <v>0</v>
      </c>
      <c r="Q65">
        <f>ROUND($G5*'Allocators Calc'!H65,0)</f>
        <v>0</v>
      </c>
      <c r="R65">
        <f>ROUND($G5*'Allocators Calc'!I65,0)</f>
        <v>0</v>
      </c>
      <c r="S65">
        <f>ROUND($G5*'Allocators Calc'!J65,0)</f>
        <v>0</v>
      </c>
      <c r="T65" s="13">
        <f>ROUND($G5*'Allocators Calc'!K65,0)</f>
        <v>0</v>
      </c>
      <c r="U65">
        <f>ROUND($G5*'Allocators Calc'!L65,0)</f>
        <v>0</v>
      </c>
      <c r="V65">
        <f>ROUND($G5*'Allocators Calc'!M65,0)</f>
        <v>0</v>
      </c>
      <c r="W65">
        <f>ROUND($G5*'Allocators Calc'!N65,0)</f>
        <v>0</v>
      </c>
      <c r="X65" s="13">
        <f>ROUND($G5*'Allocators Calc'!O65,0)</f>
        <v>0</v>
      </c>
      <c r="Y65">
        <f>ROUND($G5*'Allocators Calc'!P65,0)</f>
        <v>0</v>
      </c>
      <c r="Z65">
        <f>ROUND($G5*'Allocators Calc'!Q65,0)</f>
        <v>0</v>
      </c>
      <c r="AA65">
        <f>ROUND($G5*'Allocators Calc'!R65,0)</f>
        <v>0</v>
      </c>
      <c r="AB65" s="13">
        <f>ROUND($G5*'Allocators Calc'!S65,0)</f>
        <v>0</v>
      </c>
      <c r="AC65">
        <f>ROUND($G5*'Allocators Calc'!T65,0)</f>
        <v>0</v>
      </c>
      <c r="AD65">
        <f>ROUND($G5*'Allocators Calc'!U65,0)</f>
        <v>0</v>
      </c>
      <c r="AE65">
        <f>ROUND($G5*'Allocators Calc'!V65,0)</f>
        <v>0</v>
      </c>
      <c r="AF65">
        <f>ROUND($G5*'Allocators Calc'!W65,0)</f>
        <v>0</v>
      </c>
      <c r="AG65" s="11"/>
      <c r="AH65">
        <f>ROUND($G5*'Allocators Calc'!Y65,0)</f>
        <v>0</v>
      </c>
      <c r="AI65">
        <f>ROUND($G5*'Allocators Calc'!Z65,0)</f>
        <v>0</v>
      </c>
      <c r="AJ65">
        <f>ROUND($G5*'Allocators Calc'!AA65,0)</f>
        <v>0</v>
      </c>
      <c r="AK65">
        <f>ROUND($G5*'Allocators Calc'!AB65,0)</f>
        <v>0</v>
      </c>
      <c r="AL65">
        <f>ROUND($G5*'Allocators Calc'!AC65,0)</f>
        <v>0</v>
      </c>
      <c r="AM65">
        <f>ROUND($G5*'Allocators Calc'!AD65,0)</f>
        <v>0</v>
      </c>
      <c r="AN65">
        <f>ROUND($G5*'Allocators Calc'!AE65,0)</f>
        <v>0</v>
      </c>
      <c r="AO65" s="11"/>
      <c r="AP65">
        <f>ROUND($G5*'Allocators Calc'!AG65,0)</f>
        <v>0</v>
      </c>
      <c r="AQ65">
        <f>ROUND($G5*'Allocators Calc'!AH65,0)</f>
        <v>0</v>
      </c>
      <c r="AR65">
        <f>ROUND($G5*'Allocators Calc'!AI65,0)</f>
        <v>0</v>
      </c>
      <c r="AS65">
        <f>ROUND($G5*'Allocators Calc'!AJ65,0)</f>
        <v>0</v>
      </c>
      <c r="AT65">
        <f>ROUND($G5*'Allocators Calc'!AK65,0)</f>
        <v>0</v>
      </c>
      <c r="AU65" s="13">
        <f>ROUND($G5*'Allocators Calc'!AL65,0)</f>
        <v>0</v>
      </c>
      <c r="AV65">
        <f>ROUND($G5*'Allocators Calc'!AM65,0)</f>
        <v>0</v>
      </c>
      <c r="AW65">
        <f>ROUND($G5*'Allocators Calc'!AN65,0)</f>
        <v>0</v>
      </c>
      <c r="AX65">
        <f>ROUND($G5*'Allocators Calc'!AO65,0)</f>
        <v>0</v>
      </c>
      <c r="AY65">
        <f>ROUND($G5*'Allocators Calc'!AP65,0)</f>
        <v>0</v>
      </c>
      <c r="AZ65">
        <f>ROUND($G5*'Allocators Calc'!AQ65,0)</f>
        <v>0</v>
      </c>
      <c r="BA65" s="13">
        <f>ROUND($G5*'Allocators Calc'!AR65,0)</f>
        <v>0</v>
      </c>
      <c r="BB65">
        <f>ROUND($G5*'Allocators Calc'!AS65,0)</f>
        <v>0</v>
      </c>
      <c r="BC65">
        <f>ROUND($G5*'Allocators Calc'!AT65,0)</f>
        <v>0</v>
      </c>
      <c r="BD65">
        <f>ROUND($G5*'Allocators Calc'!AU65,0)</f>
        <v>0</v>
      </c>
      <c r="BE65">
        <f>ROUND($G5*'Allocators Calc'!AV65,0)</f>
        <v>0</v>
      </c>
      <c r="BF65">
        <f>ROUND($G5*'Allocators Calc'!AW65,0)</f>
        <v>0</v>
      </c>
      <c r="BG65" s="13">
        <f>ROUND($G5*'Allocators Calc'!AX65,0)</f>
        <v>0</v>
      </c>
      <c r="BH65">
        <f>ROUND($G5*'Allocators Calc'!AY65,0)</f>
        <v>0</v>
      </c>
      <c r="BI65">
        <f>ROUND($G5*'Allocators Calc'!AZ65,0)</f>
        <v>0</v>
      </c>
      <c r="BJ65">
        <f>ROUND($G5*'Allocators Calc'!BA65,0)</f>
        <v>0</v>
      </c>
      <c r="BK65">
        <f>ROUND($G5*'Allocators Calc'!BB65,0)</f>
        <v>0</v>
      </c>
      <c r="BL65">
        <f>ROUND($G5*'Allocators Calc'!BC65,0)</f>
        <v>0</v>
      </c>
      <c r="BM65" s="13">
        <f>ROUND($G5*'Allocators Calc'!BD65,0)</f>
        <v>0</v>
      </c>
      <c r="BN65">
        <f>ROUND($G5*'Allocators Calc'!BE65,0)</f>
        <v>0</v>
      </c>
      <c r="BO65">
        <f>ROUND($G5*'Allocators Calc'!BF65,0)</f>
        <v>0</v>
      </c>
      <c r="BP65">
        <f>ROUND($G5*'Allocators Calc'!BG65,0)</f>
        <v>0</v>
      </c>
      <c r="BQ65">
        <f>ROUND($G5*'Allocators Calc'!BH65,0)</f>
        <v>0</v>
      </c>
      <c r="BR65">
        <f>ROUND($G5*'Allocators Calc'!BI65,0)</f>
        <v>0</v>
      </c>
      <c r="BS65" s="13">
        <f>ROUND($G5*'Allocators Calc'!BJ65,0)</f>
        <v>0</v>
      </c>
      <c r="BT65">
        <f>ROUND($G5*'Allocators Calc'!BK65,0)</f>
        <v>0</v>
      </c>
      <c r="BU65">
        <f>ROUND($G5*'Allocators Calc'!BL65,0)</f>
        <v>0</v>
      </c>
      <c r="BV65">
        <f>ROUND($G5*'Allocators Calc'!BM65,0)</f>
        <v>0</v>
      </c>
      <c r="BW65">
        <f>ROUND($G5*'Allocators Calc'!BN65,0)</f>
        <v>0</v>
      </c>
      <c r="BX65">
        <f>ROUND($G5*'Allocators Calc'!BO65,0)</f>
        <v>0</v>
      </c>
      <c r="BY65" s="13">
        <f>ROUND($G5*'Allocators Calc'!BP65,0)</f>
        <v>0</v>
      </c>
      <c r="BZ65">
        <f>ROUND($G5*'Allocators Calc'!BQ65,0)</f>
        <v>0</v>
      </c>
      <c r="CA65">
        <f>ROUND($G5*'Allocators Calc'!BR65,0)</f>
        <v>0</v>
      </c>
      <c r="CB65">
        <f>ROUND($G5*'Allocators Calc'!BS65,0)</f>
        <v>0</v>
      </c>
      <c r="CC65">
        <f>ROUND($G5*'Allocators Calc'!BT65,0)</f>
        <v>0</v>
      </c>
      <c r="CD65">
        <f>ROUND($G5*'Allocators Calc'!BU65,0)</f>
        <v>0</v>
      </c>
      <c r="CE65" s="13">
        <f>ROUND($G5*'Allocators Calc'!BV65,0)</f>
        <v>0</v>
      </c>
      <c r="CF65" s="11"/>
      <c r="CG65">
        <f>ROUND($G5*'Allocators Calc'!BX65,0)</f>
        <v>0</v>
      </c>
      <c r="CH65">
        <f>ROUND($G5*'Allocators Calc'!BY65,0)</f>
        <v>0</v>
      </c>
      <c r="CI65">
        <f>ROUND($G5*'Allocators Calc'!BZ65,0)</f>
        <v>0</v>
      </c>
      <c r="CJ65">
        <f>ROUND($G5*'Allocators Calc'!CA65,0)</f>
        <v>0</v>
      </c>
      <c r="CK65">
        <f>ROUND($G5*'Allocators Calc'!CB65,0)</f>
        <v>0</v>
      </c>
      <c r="CL65">
        <f>ROUND($G5*'Allocators Calc'!CC65,0)</f>
        <v>0</v>
      </c>
      <c r="CM65">
        <f>ROUND($G5*'Allocators Calc'!CD65,0)</f>
        <v>0</v>
      </c>
      <c r="CN65">
        <f>ROUND($G5*'Allocators Calc'!CE65,0)</f>
        <v>0</v>
      </c>
      <c r="CO65">
        <f>ROUND($G5*'Allocators Calc'!CF65,0)</f>
        <v>0</v>
      </c>
      <c r="CP65">
        <f>ROUND($G5*'Allocators Calc'!CG65,0)</f>
        <v>0</v>
      </c>
      <c r="CQ65" s="11"/>
      <c r="CR65">
        <f>ROUND($G5*'Allocators Calc'!CI65,0)</f>
        <v>0</v>
      </c>
      <c r="CS65">
        <f>ROUND($G5*'Allocators Calc'!CJ65,0)</f>
        <v>0</v>
      </c>
      <c r="CT65" s="13">
        <f>ROUND($G5*'Allocators Calc'!CK65,0)</f>
        <v>0</v>
      </c>
      <c r="CU65">
        <f>ROUND($G5*'Allocators Calc'!CL65,0)</f>
        <v>0</v>
      </c>
      <c r="CV65">
        <f>ROUND($G5*'Allocators Calc'!CM65,0)</f>
        <v>0</v>
      </c>
      <c r="CW65" s="13">
        <f>ROUND($G5*'Allocators Calc'!CN65,0)</f>
        <v>0</v>
      </c>
      <c r="CX65" s="11"/>
      <c r="CY65">
        <f>ROUND($G5*'Allocators Calc'!CP65,0)</f>
        <v>0</v>
      </c>
      <c r="CZ65">
        <f>ROUND($G5*'Allocators Calc'!CQ65,0)</f>
        <v>0</v>
      </c>
      <c r="DA65" s="11"/>
      <c r="DB65">
        <f>ROUND($G5*'Allocators Calc'!CS65,0)</f>
        <v>363351</v>
      </c>
      <c r="DC65">
        <f>ROUND($G5*'Allocators Calc'!CT65,0)</f>
        <v>24285</v>
      </c>
      <c r="DD65">
        <f>ROUND($G5*'Allocators Calc'!CU65,0)</f>
        <v>142520</v>
      </c>
      <c r="DE65">
        <f>ROUND($G5*'Allocators Calc'!CV65,0)</f>
        <v>231733</v>
      </c>
      <c r="DF65">
        <f>ROUND($G5*'Allocators Calc'!CW65,0)</f>
        <v>2790191</v>
      </c>
      <c r="DG65">
        <f>ROUND($G5*'Allocators Calc'!CX65,0)</f>
        <v>285330</v>
      </c>
      <c r="DH65">
        <f>ROUND($G5*'Allocators Calc'!CY65,0)</f>
        <v>6338153</v>
      </c>
      <c r="DI65" s="10">
        <f t="shared" si="36"/>
        <v>1722.054999999702</v>
      </c>
      <c r="DJ65">
        <f>ROUND($G5*'Allocators Calc'!DA65,0)</f>
        <v>292672</v>
      </c>
      <c r="DK65" s="11"/>
      <c r="DL65" s="3">
        <f t="shared" si="37"/>
        <v>10469957.055</v>
      </c>
      <c r="DM65" s="3">
        <f t="shared" si="38"/>
        <v>10469957.055</v>
      </c>
      <c r="DN65" s="3">
        <f t="shared" si="2"/>
        <v>0</v>
      </c>
    </row>
    <row r="66" spans="11:119" x14ac:dyDescent="0.2">
      <c r="K66" t="s">
        <v>235</v>
      </c>
      <c r="L66">
        <f>ROUND($G6*'Allocators Calc'!C66,0)</f>
        <v>0</v>
      </c>
      <c r="M66">
        <f>ROUND($G6*'Allocators Calc'!D66,0)</f>
        <v>0</v>
      </c>
      <c r="N66">
        <f>ROUND($G6*'Allocators Calc'!E66,0)</f>
        <v>0</v>
      </c>
      <c r="O66" s="13">
        <f>ROUND($G6*'Allocators Calc'!F66,0)</f>
        <v>0</v>
      </c>
      <c r="P66" s="15">
        <f>ROUND($G6*'Allocators Calc'!G66,0)</f>
        <v>0</v>
      </c>
      <c r="Q66">
        <f>ROUND($G6*'Allocators Calc'!H66,0)</f>
        <v>0</v>
      </c>
      <c r="R66">
        <f>ROUND($G6*'Allocators Calc'!I66,0)</f>
        <v>0</v>
      </c>
      <c r="S66">
        <f>ROUND($G6*'Allocators Calc'!J66,0)</f>
        <v>0</v>
      </c>
      <c r="T66" s="13">
        <f>ROUND($G6*'Allocators Calc'!K66,0)</f>
        <v>0</v>
      </c>
      <c r="U66">
        <f>ROUND($G6*'Allocators Calc'!L66,0)</f>
        <v>0</v>
      </c>
      <c r="V66">
        <f>ROUND($G6*'Allocators Calc'!M66,0)</f>
        <v>0</v>
      </c>
      <c r="W66">
        <f>ROUND($G6*'Allocators Calc'!N66,0)</f>
        <v>0</v>
      </c>
      <c r="X66" s="13">
        <f>ROUND($G6*'Allocators Calc'!O66,0)</f>
        <v>0</v>
      </c>
      <c r="Y66">
        <f>ROUND($G6*'Allocators Calc'!P66,0)</f>
        <v>0</v>
      </c>
      <c r="Z66">
        <f>ROUND($G6*'Allocators Calc'!Q66,0)</f>
        <v>0</v>
      </c>
      <c r="AA66">
        <f>ROUND($G6*'Allocators Calc'!R66,0)</f>
        <v>0</v>
      </c>
      <c r="AB66" s="13">
        <f>ROUND($G6*'Allocators Calc'!S66,0)</f>
        <v>0</v>
      </c>
      <c r="AC66">
        <f>ROUND($G6*'Allocators Calc'!T66,0)</f>
        <v>0</v>
      </c>
      <c r="AD66">
        <f>ROUND($G6*'Allocators Calc'!U66,0)</f>
        <v>0</v>
      </c>
      <c r="AE66">
        <f>ROUND($G6*'Allocators Calc'!V66,0)</f>
        <v>0</v>
      </c>
      <c r="AF66">
        <f>ROUND($G6*'Allocators Calc'!W66,0)</f>
        <v>0</v>
      </c>
      <c r="AG66" s="11"/>
      <c r="AH66">
        <f>ROUND($G6*'Allocators Calc'!Y66,0)</f>
        <v>0</v>
      </c>
      <c r="AI66">
        <f>ROUND($G6*'Allocators Calc'!Z66,0)</f>
        <v>0</v>
      </c>
      <c r="AJ66">
        <f>ROUND($G6*'Allocators Calc'!AA66,0)</f>
        <v>0</v>
      </c>
      <c r="AK66">
        <f>ROUND($G6*'Allocators Calc'!AB66,0)</f>
        <v>0</v>
      </c>
      <c r="AL66">
        <f>ROUND($G6*'Allocators Calc'!AC66,0)</f>
        <v>0</v>
      </c>
      <c r="AM66">
        <f>ROUND($G6*'Allocators Calc'!AD66,0)</f>
        <v>0</v>
      </c>
      <c r="AN66">
        <f>ROUND($G6*'Allocators Calc'!AE66,0)</f>
        <v>0</v>
      </c>
      <c r="AO66" s="11"/>
      <c r="AP66">
        <f>ROUND($G6*'Allocators Calc'!AG66,0)</f>
        <v>0</v>
      </c>
      <c r="AQ66">
        <f>ROUND($G6*'Allocators Calc'!AH66,0)</f>
        <v>0</v>
      </c>
      <c r="AR66">
        <f>ROUND($G6*'Allocators Calc'!AI66,0)</f>
        <v>0</v>
      </c>
      <c r="AS66">
        <f>ROUND($G6*'Allocators Calc'!AJ66,0)</f>
        <v>0</v>
      </c>
      <c r="AT66">
        <f>ROUND($G6*'Allocators Calc'!AK66,0)</f>
        <v>0</v>
      </c>
      <c r="AU66" s="13">
        <f>ROUND($G6*'Allocators Calc'!AL66,0)</f>
        <v>0</v>
      </c>
      <c r="AV66">
        <f>ROUND($G6*'Allocators Calc'!AM66,0)</f>
        <v>0</v>
      </c>
      <c r="AW66">
        <f>ROUND($G6*'Allocators Calc'!AN66,0)</f>
        <v>0</v>
      </c>
      <c r="AX66">
        <f>ROUND($G6*'Allocators Calc'!AO66,0)</f>
        <v>0</v>
      </c>
      <c r="AY66">
        <f>ROUND($G6*'Allocators Calc'!AP66,0)</f>
        <v>0</v>
      </c>
      <c r="AZ66">
        <f>ROUND($G6*'Allocators Calc'!AQ66,0)</f>
        <v>0</v>
      </c>
      <c r="BA66" s="13">
        <f>ROUND($G6*'Allocators Calc'!AR66,0)</f>
        <v>0</v>
      </c>
      <c r="BB66">
        <f>ROUND($G6*'Allocators Calc'!AS66,0)</f>
        <v>0</v>
      </c>
      <c r="BC66">
        <f>ROUND($G6*'Allocators Calc'!AT66,0)</f>
        <v>0</v>
      </c>
      <c r="BD66">
        <f>ROUND($G6*'Allocators Calc'!AU66,0)</f>
        <v>0</v>
      </c>
      <c r="BE66">
        <f>ROUND($G6*'Allocators Calc'!AV66,0)</f>
        <v>0</v>
      </c>
      <c r="BF66">
        <f>ROUND($G6*'Allocators Calc'!AW66,0)</f>
        <v>0</v>
      </c>
      <c r="BG66" s="13">
        <f>ROUND($G6*'Allocators Calc'!AX66,0)</f>
        <v>0</v>
      </c>
      <c r="BH66">
        <f>ROUND($G6*'Allocators Calc'!AY66,0)</f>
        <v>0</v>
      </c>
      <c r="BI66">
        <f>ROUND($G6*'Allocators Calc'!AZ66,0)</f>
        <v>0</v>
      </c>
      <c r="BJ66">
        <f>ROUND($G6*'Allocators Calc'!BA66,0)</f>
        <v>0</v>
      </c>
      <c r="BK66">
        <f>ROUND($G6*'Allocators Calc'!BB66,0)</f>
        <v>0</v>
      </c>
      <c r="BL66">
        <f>ROUND($G6*'Allocators Calc'!BC66,0)</f>
        <v>0</v>
      </c>
      <c r="BM66" s="13">
        <f>ROUND($G6*'Allocators Calc'!BD66,0)</f>
        <v>0</v>
      </c>
      <c r="BN66">
        <f>ROUND($G6*'Allocators Calc'!BE66,0)</f>
        <v>0</v>
      </c>
      <c r="BO66">
        <f>ROUND($G6*'Allocators Calc'!BF66,0)</f>
        <v>0</v>
      </c>
      <c r="BP66">
        <f>ROUND($G6*'Allocators Calc'!BG66,0)</f>
        <v>0</v>
      </c>
      <c r="BQ66">
        <f>ROUND($G6*'Allocators Calc'!BH66,0)</f>
        <v>0</v>
      </c>
      <c r="BR66">
        <f>ROUND($G6*'Allocators Calc'!BI66,0)</f>
        <v>0</v>
      </c>
      <c r="BS66" s="13">
        <f>ROUND($G6*'Allocators Calc'!BJ66,0)</f>
        <v>0</v>
      </c>
      <c r="BT66">
        <f>ROUND($G6*'Allocators Calc'!BK66,0)</f>
        <v>0</v>
      </c>
      <c r="BU66">
        <f>ROUND($G6*'Allocators Calc'!BL66,0)</f>
        <v>0</v>
      </c>
      <c r="BV66">
        <f>ROUND($G6*'Allocators Calc'!BM66,0)</f>
        <v>0</v>
      </c>
      <c r="BW66">
        <f>ROUND($G6*'Allocators Calc'!BN66,0)</f>
        <v>0</v>
      </c>
      <c r="BX66">
        <f>ROUND($G6*'Allocators Calc'!BO66,0)</f>
        <v>0</v>
      </c>
      <c r="BY66" s="13">
        <f>ROUND($G6*'Allocators Calc'!BP66,0)</f>
        <v>0</v>
      </c>
      <c r="BZ66">
        <f>ROUND($G6*'Allocators Calc'!BQ66,0)</f>
        <v>0</v>
      </c>
      <c r="CA66">
        <f>ROUND($G6*'Allocators Calc'!BR66,0)</f>
        <v>0</v>
      </c>
      <c r="CB66">
        <f>ROUND($G6*'Allocators Calc'!BS66,0)</f>
        <v>0</v>
      </c>
      <c r="CC66">
        <f>ROUND($G6*'Allocators Calc'!BT66,0)</f>
        <v>0</v>
      </c>
      <c r="CD66">
        <f>ROUND($G6*'Allocators Calc'!BU66,0)</f>
        <v>0</v>
      </c>
      <c r="CE66" s="13">
        <f>ROUND($G6*'Allocators Calc'!BV66,0)</f>
        <v>0</v>
      </c>
      <c r="CF66" s="11"/>
      <c r="CG66">
        <f>ROUND($G6*'Allocators Calc'!BX66,0)</f>
        <v>0</v>
      </c>
      <c r="CH66">
        <f>ROUND($G6*'Allocators Calc'!BY66,0)</f>
        <v>0</v>
      </c>
      <c r="CI66">
        <f>ROUND($G6*'Allocators Calc'!BZ66,0)</f>
        <v>0</v>
      </c>
      <c r="CJ66">
        <f>ROUND($G6*'Allocators Calc'!CA66,0)</f>
        <v>0</v>
      </c>
      <c r="CK66">
        <f>ROUND($G6*'Allocators Calc'!CB66,0)</f>
        <v>0</v>
      </c>
      <c r="CL66">
        <f>ROUND($G6*'Allocators Calc'!CC66,0)</f>
        <v>0</v>
      </c>
      <c r="CM66">
        <f>ROUND($G6*'Allocators Calc'!CD66,0)</f>
        <v>0</v>
      </c>
      <c r="CN66">
        <f>ROUND($G6*'Allocators Calc'!CE66,0)</f>
        <v>0</v>
      </c>
      <c r="CO66">
        <f>ROUND($G6*'Allocators Calc'!CF66,0)</f>
        <v>0</v>
      </c>
      <c r="CP66">
        <f>ROUND($G6*'Allocators Calc'!CG66,0)</f>
        <v>0</v>
      </c>
      <c r="CQ66" s="11"/>
      <c r="CR66">
        <f>ROUND($G6*'Allocators Calc'!CI66,0)</f>
        <v>0</v>
      </c>
      <c r="CS66">
        <f>ROUND($G6*'Allocators Calc'!CJ66,0)</f>
        <v>0</v>
      </c>
      <c r="CT66" s="13">
        <f>ROUND($G6*'Allocators Calc'!CK66,0)</f>
        <v>0</v>
      </c>
      <c r="CU66">
        <f>ROUND($G6*'Allocators Calc'!CL66,0)</f>
        <v>0</v>
      </c>
      <c r="CV66">
        <f>ROUND($G6*'Allocators Calc'!CM66,0)</f>
        <v>0</v>
      </c>
      <c r="CW66" s="13">
        <f>ROUND($G6*'Allocators Calc'!CN66,0)</f>
        <v>0</v>
      </c>
      <c r="CX66" s="11"/>
      <c r="CY66">
        <f>ROUND($G6*'Allocators Calc'!CP66,0)</f>
        <v>0</v>
      </c>
      <c r="CZ66">
        <f>ROUND($G6*'Allocators Calc'!CQ66,0)</f>
        <v>0</v>
      </c>
      <c r="DA66" s="11"/>
      <c r="DB66">
        <f>ROUND($G6*'Allocators Calc'!CS66,0)</f>
        <v>319040</v>
      </c>
      <c r="DC66">
        <f>ROUND($G6*'Allocators Calc'!CT66,0)</f>
        <v>24473</v>
      </c>
      <c r="DD66">
        <f>ROUND($G6*'Allocators Calc'!CU66,0)</f>
        <v>133595</v>
      </c>
      <c r="DE66">
        <f>ROUND($G6*'Allocators Calc'!CV66,0)</f>
        <v>234012</v>
      </c>
      <c r="DF66">
        <f>ROUND($G6*'Allocators Calc'!CW66,0)</f>
        <v>2776488</v>
      </c>
      <c r="DG66">
        <f>ROUND($G6*'Allocators Calc'!CX66,0)</f>
        <v>283651</v>
      </c>
      <c r="DH66">
        <f>ROUND($G6*'Allocators Calc'!CY66,0)</f>
        <v>6360661</v>
      </c>
      <c r="DI66" s="10">
        <f t="shared" si="36"/>
        <v>1722.4030000008643</v>
      </c>
      <c r="DJ66">
        <f>ROUND($G6*'Allocators Calc'!DA66,0)</f>
        <v>313538</v>
      </c>
      <c r="DK66" s="11"/>
      <c r="DL66" s="3">
        <f t="shared" si="37"/>
        <v>10447180.403000001</v>
      </c>
      <c r="DM66" s="3">
        <f t="shared" si="38"/>
        <v>10447180.403000001</v>
      </c>
      <c r="DN66" s="3">
        <f t="shared" si="2"/>
        <v>0</v>
      </c>
    </row>
    <row r="67" spans="11:119" x14ac:dyDescent="0.2">
      <c r="K67" t="s">
        <v>236</v>
      </c>
      <c r="L67">
        <f>ROUND($G7*'Allocators Calc'!C67,0)</f>
        <v>0</v>
      </c>
      <c r="M67">
        <f>ROUND($G7*'Allocators Calc'!D67,0)</f>
        <v>0</v>
      </c>
      <c r="N67">
        <f>ROUND($G7*'Allocators Calc'!E67,0)</f>
        <v>0</v>
      </c>
      <c r="O67" s="13">
        <f>ROUND($G7*'Allocators Calc'!F67,0)</f>
        <v>0</v>
      </c>
      <c r="P67" s="15">
        <f>ROUND($G7*'Allocators Calc'!G67,0)</f>
        <v>0</v>
      </c>
      <c r="Q67">
        <f>ROUND($G7*'Allocators Calc'!H67,0)</f>
        <v>0</v>
      </c>
      <c r="R67">
        <f>ROUND($G7*'Allocators Calc'!I67,0)</f>
        <v>0</v>
      </c>
      <c r="S67">
        <f>ROUND($G7*'Allocators Calc'!J67,0)</f>
        <v>0</v>
      </c>
      <c r="T67" s="13">
        <f>ROUND($G7*'Allocators Calc'!K67,0)</f>
        <v>0</v>
      </c>
      <c r="U67">
        <f>ROUND($G7*'Allocators Calc'!L67,0)</f>
        <v>0</v>
      </c>
      <c r="V67">
        <f>ROUND($G7*'Allocators Calc'!M67,0)</f>
        <v>0</v>
      </c>
      <c r="W67">
        <f>ROUND($G7*'Allocators Calc'!N67,0)</f>
        <v>0</v>
      </c>
      <c r="X67" s="13">
        <f>ROUND($G7*'Allocators Calc'!O67,0)</f>
        <v>0</v>
      </c>
      <c r="Y67">
        <f>ROUND($G7*'Allocators Calc'!P67,0)</f>
        <v>0</v>
      </c>
      <c r="Z67">
        <f>ROUND($G7*'Allocators Calc'!Q67,0)</f>
        <v>0</v>
      </c>
      <c r="AA67">
        <f>ROUND($G7*'Allocators Calc'!R67,0)</f>
        <v>0</v>
      </c>
      <c r="AB67" s="13">
        <f>ROUND($G7*'Allocators Calc'!S67,0)</f>
        <v>0</v>
      </c>
      <c r="AC67">
        <f>ROUND($G7*'Allocators Calc'!T67,0)</f>
        <v>0</v>
      </c>
      <c r="AD67">
        <f>ROUND($G7*'Allocators Calc'!U67,0)</f>
        <v>0</v>
      </c>
      <c r="AE67">
        <f>ROUND($G7*'Allocators Calc'!V67,0)</f>
        <v>0</v>
      </c>
      <c r="AF67">
        <f>ROUND($G7*'Allocators Calc'!W67,0)</f>
        <v>0</v>
      </c>
      <c r="AG67" s="11"/>
      <c r="AH67">
        <f>ROUND($G7*'Allocators Calc'!Y67,0)</f>
        <v>0</v>
      </c>
      <c r="AI67">
        <f>ROUND($G7*'Allocators Calc'!Z67,0)</f>
        <v>0</v>
      </c>
      <c r="AJ67">
        <f>ROUND($G7*'Allocators Calc'!AA67,0)</f>
        <v>0</v>
      </c>
      <c r="AK67">
        <f>ROUND($G7*'Allocators Calc'!AB67,0)</f>
        <v>0</v>
      </c>
      <c r="AL67">
        <f>ROUND($G7*'Allocators Calc'!AC67,0)</f>
        <v>0</v>
      </c>
      <c r="AM67">
        <f>ROUND($G7*'Allocators Calc'!AD67,0)</f>
        <v>0</v>
      </c>
      <c r="AN67">
        <f>ROUND($G7*'Allocators Calc'!AE67,0)</f>
        <v>0</v>
      </c>
      <c r="AO67" s="11"/>
      <c r="AP67">
        <f>ROUND($G7*'Allocators Calc'!AG67,0)</f>
        <v>0</v>
      </c>
      <c r="AQ67">
        <f>ROUND($G7*'Allocators Calc'!AH67,0)</f>
        <v>0</v>
      </c>
      <c r="AR67">
        <f>ROUND($G7*'Allocators Calc'!AI67,0)</f>
        <v>0</v>
      </c>
      <c r="AS67">
        <f>ROUND($G7*'Allocators Calc'!AJ67,0)</f>
        <v>0</v>
      </c>
      <c r="AT67">
        <f>ROUND($G7*'Allocators Calc'!AK67,0)</f>
        <v>0</v>
      </c>
      <c r="AU67" s="13">
        <f>ROUND($G7*'Allocators Calc'!AL67,0)</f>
        <v>0</v>
      </c>
      <c r="AV67">
        <f>ROUND($G7*'Allocators Calc'!AM67,0)</f>
        <v>0</v>
      </c>
      <c r="AW67">
        <f>ROUND($G7*'Allocators Calc'!AN67,0)</f>
        <v>0</v>
      </c>
      <c r="AX67">
        <f>ROUND($G7*'Allocators Calc'!AO67,0)</f>
        <v>0</v>
      </c>
      <c r="AY67">
        <f>ROUND($G7*'Allocators Calc'!AP67,0)</f>
        <v>0</v>
      </c>
      <c r="AZ67">
        <f>ROUND($G7*'Allocators Calc'!AQ67,0)</f>
        <v>0</v>
      </c>
      <c r="BA67" s="13">
        <f>ROUND($G7*'Allocators Calc'!AR67,0)</f>
        <v>0</v>
      </c>
      <c r="BB67">
        <f>ROUND($G7*'Allocators Calc'!AS67,0)</f>
        <v>0</v>
      </c>
      <c r="BC67">
        <f>ROUND($G7*'Allocators Calc'!AT67,0)</f>
        <v>0</v>
      </c>
      <c r="BD67">
        <f>ROUND($G7*'Allocators Calc'!AU67,0)</f>
        <v>0</v>
      </c>
      <c r="BE67">
        <f>ROUND($G7*'Allocators Calc'!AV67,0)</f>
        <v>0</v>
      </c>
      <c r="BF67">
        <f>ROUND($G7*'Allocators Calc'!AW67,0)</f>
        <v>0</v>
      </c>
      <c r="BG67" s="13">
        <f>ROUND($G7*'Allocators Calc'!AX67,0)</f>
        <v>0</v>
      </c>
      <c r="BH67">
        <f>ROUND($G7*'Allocators Calc'!AY67,0)</f>
        <v>0</v>
      </c>
      <c r="BI67">
        <f>ROUND($G7*'Allocators Calc'!AZ67,0)</f>
        <v>0</v>
      </c>
      <c r="BJ67">
        <f>ROUND($G7*'Allocators Calc'!BA67,0)</f>
        <v>0</v>
      </c>
      <c r="BK67">
        <f>ROUND($G7*'Allocators Calc'!BB67,0)</f>
        <v>0</v>
      </c>
      <c r="BL67">
        <f>ROUND($G7*'Allocators Calc'!BC67,0)</f>
        <v>0</v>
      </c>
      <c r="BM67" s="13">
        <f>ROUND($G7*'Allocators Calc'!BD67,0)</f>
        <v>0</v>
      </c>
      <c r="BN67">
        <f>ROUND($G7*'Allocators Calc'!BE67,0)</f>
        <v>0</v>
      </c>
      <c r="BO67">
        <f>ROUND($G7*'Allocators Calc'!BF67,0)</f>
        <v>0</v>
      </c>
      <c r="BP67">
        <f>ROUND($G7*'Allocators Calc'!BG67,0)</f>
        <v>0</v>
      </c>
      <c r="BQ67">
        <f>ROUND($G7*'Allocators Calc'!BH67,0)</f>
        <v>0</v>
      </c>
      <c r="BR67">
        <f>ROUND($G7*'Allocators Calc'!BI67,0)</f>
        <v>0</v>
      </c>
      <c r="BS67" s="13">
        <f>ROUND($G7*'Allocators Calc'!BJ67,0)</f>
        <v>0</v>
      </c>
      <c r="BT67">
        <f>ROUND($G7*'Allocators Calc'!BK67,0)</f>
        <v>0</v>
      </c>
      <c r="BU67">
        <f>ROUND($G7*'Allocators Calc'!BL67,0)</f>
        <v>0</v>
      </c>
      <c r="BV67">
        <f>ROUND($G7*'Allocators Calc'!BM67,0)</f>
        <v>0</v>
      </c>
      <c r="BW67">
        <f>ROUND($G7*'Allocators Calc'!BN67,0)</f>
        <v>0</v>
      </c>
      <c r="BX67">
        <f>ROUND($G7*'Allocators Calc'!BO67,0)</f>
        <v>0</v>
      </c>
      <c r="BY67" s="13">
        <f>ROUND($G7*'Allocators Calc'!BP67,0)</f>
        <v>0</v>
      </c>
      <c r="BZ67">
        <f>ROUND($G7*'Allocators Calc'!BQ67,0)</f>
        <v>0</v>
      </c>
      <c r="CA67">
        <f>ROUND($G7*'Allocators Calc'!BR67,0)</f>
        <v>0</v>
      </c>
      <c r="CB67">
        <f>ROUND($G7*'Allocators Calc'!BS67,0)</f>
        <v>0</v>
      </c>
      <c r="CC67">
        <f>ROUND($G7*'Allocators Calc'!BT67,0)</f>
        <v>0</v>
      </c>
      <c r="CD67">
        <f>ROUND($G7*'Allocators Calc'!BU67,0)</f>
        <v>0</v>
      </c>
      <c r="CE67" s="13">
        <f>ROUND($G7*'Allocators Calc'!BV67,0)</f>
        <v>0</v>
      </c>
      <c r="CF67" s="11"/>
      <c r="CG67">
        <f>ROUND($G7*'Allocators Calc'!BX67,0)</f>
        <v>0</v>
      </c>
      <c r="CH67">
        <f>ROUND($G7*'Allocators Calc'!BY67,0)</f>
        <v>0</v>
      </c>
      <c r="CI67">
        <f>ROUND($G7*'Allocators Calc'!BZ67,0)</f>
        <v>0</v>
      </c>
      <c r="CJ67">
        <f>ROUND($G7*'Allocators Calc'!CA67,0)</f>
        <v>0</v>
      </c>
      <c r="CK67">
        <f>ROUND($G7*'Allocators Calc'!CB67,0)</f>
        <v>0</v>
      </c>
      <c r="CL67">
        <f>ROUND($G7*'Allocators Calc'!CC67,0)</f>
        <v>0</v>
      </c>
      <c r="CM67">
        <f>ROUND($G7*'Allocators Calc'!CD67,0)</f>
        <v>0</v>
      </c>
      <c r="CN67">
        <f>ROUND($G7*'Allocators Calc'!CE67,0)</f>
        <v>0</v>
      </c>
      <c r="CO67">
        <f>ROUND($G7*'Allocators Calc'!CF67,0)</f>
        <v>0</v>
      </c>
      <c r="CP67">
        <f>ROUND($G7*'Allocators Calc'!CG67,0)</f>
        <v>0</v>
      </c>
      <c r="CQ67" s="11"/>
      <c r="CR67">
        <f>ROUND($G7*'Allocators Calc'!CI67,0)</f>
        <v>0</v>
      </c>
      <c r="CS67">
        <f>ROUND($G7*'Allocators Calc'!CJ67,0)</f>
        <v>0</v>
      </c>
      <c r="CT67" s="13">
        <f>ROUND($G7*'Allocators Calc'!CK67,0)</f>
        <v>0</v>
      </c>
      <c r="CU67">
        <f>ROUND($G7*'Allocators Calc'!CL67,0)</f>
        <v>0</v>
      </c>
      <c r="CV67">
        <f>ROUND($G7*'Allocators Calc'!CM67,0)</f>
        <v>0</v>
      </c>
      <c r="CW67" s="13">
        <f>ROUND($G7*'Allocators Calc'!CN67,0)</f>
        <v>0</v>
      </c>
      <c r="CX67" s="11"/>
      <c r="CY67">
        <f>ROUND($G7*'Allocators Calc'!CP67,0)</f>
        <v>0</v>
      </c>
      <c r="CZ67">
        <f>ROUND($G7*'Allocators Calc'!CQ67,0)</f>
        <v>0</v>
      </c>
      <c r="DA67" s="11"/>
      <c r="DB67">
        <f>ROUND($G7*'Allocators Calc'!CS67,0)</f>
        <v>289471</v>
      </c>
      <c r="DC67">
        <f>ROUND($G7*'Allocators Calc'!CT67,0)</f>
        <v>24160</v>
      </c>
      <c r="DD67">
        <f>ROUND($G7*'Allocators Calc'!CU67,0)</f>
        <v>118484</v>
      </c>
      <c r="DE67">
        <f>ROUND($G7*'Allocators Calc'!CV67,0)</f>
        <v>212255</v>
      </c>
      <c r="DF67">
        <f>ROUND($G7*'Allocators Calc'!CW67,0)</f>
        <v>2775161</v>
      </c>
      <c r="DG67">
        <f>ROUND($G7*'Allocators Calc'!CX67,0)</f>
        <v>262533</v>
      </c>
      <c r="DH67">
        <f>ROUND($G7*'Allocators Calc'!CY67,0)</f>
        <v>6398494</v>
      </c>
      <c r="DI67" s="10">
        <f t="shared" si="36"/>
        <v>1358.5989999994636</v>
      </c>
      <c r="DJ67">
        <f>ROUND($G7*'Allocators Calc'!DA67,0)</f>
        <v>334254</v>
      </c>
      <c r="DK67" s="11"/>
      <c r="DL67" s="3">
        <f t="shared" si="37"/>
        <v>10416170.598999999</v>
      </c>
      <c r="DM67" s="3">
        <f t="shared" si="38"/>
        <v>10416170.598999999</v>
      </c>
      <c r="DN67" s="3">
        <f t="shared" si="2"/>
        <v>0</v>
      </c>
    </row>
    <row r="68" spans="11:119" x14ac:dyDescent="0.2">
      <c r="K68" t="s">
        <v>237</v>
      </c>
      <c r="L68">
        <f>ROUND($G8*'Allocators Calc'!C68,0)</f>
        <v>0</v>
      </c>
      <c r="M68">
        <f>ROUND($G8*'Allocators Calc'!D68,0)</f>
        <v>0</v>
      </c>
      <c r="N68">
        <f>ROUND($G8*'Allocators Calc'!E68,0)</f>
        <v>0</v>
      </c>
      <c r="O68" s="13">
        <f>ROUND($G8*'Allocators Calc'!F68,0)</f>
        <v>0</v>
      </c>
      <c r="P68" s="15">
        <f>ROUND($G8*'Allocators Calc'!G68,0)</f>
        <v>0</v>
      </c>
      <c r="Q68">
        <f>ROUND($G8*'Allocators Calc'!H68,0)</f>
        <v>0</v>
      </c>
      <c r="R68">
        <f>ROUND($G8*'Allocators Calc'!I68,0)</f>
        <v>0</v>
      </c>
      <c r="S68">
        <f>ROUND($G8*'Allocators Calc'!J68,0)</f>
        <v>0</v>
      </c>
      <c r="T68" s="13">
        <f>ROUND($G8*'Allocators Calc'!K68,0)</f>
        <v>0</v>
      </c>
      <c r="U68">
        <f>ROUND($G8*'Allocators Calc'!L68,0)</f>
        <v>0</v>
      </c>
      <c r="V68">
        <f>ROUND($G8*'Allocators Calc'!M68,0)</f>
        <v>0</v>
      </c>
      <c r="W68">
        <f>ROUND($G8*'Allocators Calc'!N68,0)</f>
        <v>0</v>
      </c>
      <c r="X68" s="13">
        <f>ROUND($G8*'Allocators Calc'!O68,0)</f>
        <v>0</v>
      </c>
      <c r="Y68">
        <f>ROUND($G8*'Allocators Calc'!P68,0)</f>
        <v>0</v>
      </c>
      <c r="Z68">
        <f>ROUND($G8*'Allocators Calc'!Q68,0)</f>
        <v>0</v>
      </c>
      <c r="AA68">
        <f>ROUND($G8*'Allocators Calc'!R68,0)</f>
        <v>0</v>
      </c>
      <c r="AB68" s="13">
        <f>ROUND($G8*'Allocators Calc'!S68,0)</f>
        <v>0</v>
      </c>
      <c r="AC68">
        <f>ROUND($G8*'Allocators Calc'!T68,0)</f>
        <v>0</v>
      </c>
      <c r="AD68">
        <f>ROUND($G8*'Allocators Calc'!U68,0)</f>
        <v>0</v>
      </c>
      <c r="AE68">
        <f>ROUND($G8*'Allocators Calc'!V68,0)</f>
        <v>0</v>
      </c>
      <c r="AF68">
        <f>ROUND($G8*'Allocators Calc'!W68,0)</f>
        <v>0</v>
      </c>
      <c r="AG68" s="11"/>
      <c r="AH68">
        <f>ROUND($G8*'Allocators Calc'!Y68,0)</f>
        <v>0</v>
      </c>
      <c r="AI68">
        <f>ROUND($G8*'Allocators Calc'!Z68,0)</f>
        <v>0</v>
      </c>
      <c r="AJ68">
        <f>ROUND($G8*'Allocators Calc'!AA68,0)</f>
        <v>0</v>
      </c>
      <c r="AK68">
        <f>ROUND($G8*'Allocators Calc'!AB68,0)</f>
        <v>0</v>
      </c>
      <c r="AL68">
        <f>ROUND($G8*'Allocators Calc'!AC68,0)</f>
        <v>0</v>
      </c>
      <c r="AM68">
        <f>ROUND($G8*'Allocators Calc'!AD68,0)</f>
        <v>0</v>
      </c>
      <c r="AN68">
        <f>ROUND($G8*'Allocators Calc'!AE68,0)</f>
        <v>0</v>
      </c>
      <c r="AO68" s="11"/>
      <c r="AP68">
        <f>ROUND($G8*'Allocators Calc'!AG68,0)</f>
        <v>0</v>
      </c>
      <c r="AQ68">
        <f>ROUND($G8*'Allocators Calc'!AH68,0)</f>
        <v>0</v>
      </c>
      <c r="AR68">
        <f>ROUND($G8*'Allocators Calc'!AI68,0)</f>
        <v>0</v>
      </c>
      <c r="AS68">
        <f>ROUND($G8*'Allocators Calc'!AJ68,0)</f>
        <v>0</v>
      </c>
      <c r="AT68">
        <f>ROUND($G8*'Allocators Calc'!AK68,0)</f>
        <v>0</v>
      </c>
      <c r="AU68" s="13">
        <f>ROUND($G8*'Allocators Calc'!AL68,0)</f>
        <v>0</v>
      </c>
      <c r="AV68">
        <f>ROUND($G8*'Allocators Calc'!AM68,0)</f>
        <v>0</v>
      </c>
      <c r="AW68">
        <f>ROUND($G8*'Allocators Calc'!AN68,0)</f>
        <v>0</v>
      </c>
      <c r="AX68">
        <f>ROUND($G8*'Allocators Calc'!AO68,0)</f>
        <v>0</v>
      </c>
      <c r="AY68">
        <f>ROUND($G8*'Allocators Calc'!AP68,0)</f>
        <v>0</v>
      </c>
      <c r="AZ68">
        <f>ROUND($G8*'Allocators Calc'!AQ68,0)</f>
        <v>0</v>
      </c>
      <c r="BA68" s="13">
        <f>ROUND($G8*'Allocators Calc'!AR68,0)</f>
        <v>0</v>
      </c>
      <c r="BB68">
        <f>ROUND($G8*'Allocators Calc'!AS68,0)</f>
        <v>0</v>
      </c>
      <c r="BC68">
        <f>ROUND($G8*'Allocators Calc'!AT68,0)</f>
        <v>0</v>
      </c>
      <c r="BD68">
        <f>ROUND($G8*'Allocators Calc'!AU68,0)</f>
        <v>0</v>
      </c>
      <c r="BE68">
        <f>ROUND($G8*'Allocators Calc'!AV68,0)</f>
        <v>0</v>
      </c>
      <c r="BF68">
        <f>ROUND($G8*'Allocators Calc'!AW68,0)</f>
        <v>0</v>
      </c>
      <c r="BG68" s="13">
        <f>ROUND($G8*'Allocators Calc'!AX68,0)</f>
        <v>0</v>
      </c>
      <c r="BH68">
        <f>ROUND($G8*'Allocators Calc'!AY68,0)</f>
        <v>0</v>
      </c>
      <c r="BI68">
        <f>ROUND($G8*'Allocators Calc'!AZ68,0)</f>
        <v>0</v>
      </c>
      <c r="BJ68">
        <f>ROUND($G8*'Allocators Calc'!BA68,0)</f>
        <v>0</v>
      </c>
      <c r="BK68">
        <f>ROUND($G8*'Allocators Calc'!BB68,0)</f>
        <v>0</v>
      </c>
      <c r="BL68">
        <f>ROUND($G8*'Allocators Calc'!BC68,0)</f>
        <v>0</v>
      </c>
      <c r="BM68" s="13">
        <f>ROUND($G8*'Allocators Calc'!BD68,0)</f>
        <v>0</v>
      </c>
      <c r="BN68">
        <f>ROUND($G8*'Allocators Calc'!BE68,0)</f>
        <v>0</v>
      </c>
      <c r="BO68">
        <f>ROUND($G8*'Allocators Calc'!BF68,0)</f>
        <v>0</v>
      </c>
      <c r="BP68">
        <f>ROUND($G8*'Allocators Calc'!BG68,0)</f>
        <v>0</v>
      </c>
      <c r="BQ68">
        <f>ROUND($G8*'Allocators Calc'!BH68,0)</f>
        <v>0</v>
      </c>
      <c r="BR68">
        <f>ROUND($G8*'Allocators Calc'!BI68,0)</f>
        <v>0</v>
      </c>
      <c r="BS68" s="13">
        <f>ROUND($G8*'Allocators Calc'!BJ68,0)</f>
        <v>0</v>
      </c>
      <c r="BT68">
        <f>ROUND($G8*'Allocators Calc'!BK68,0)</f>
        <v>0</v>
      </c>
      <c r="BU68">
        <f>ROUND($G8*'Allocators Calc'!BL68,0)</f>
        <v>0</v>
      </c>
      <c r="BV68">
        <f>ROUND($G8*'Allocators Calc'!BM68,0)</f>
        <v>0</v>
      </c>
      <c r="BW68">
        <f>ROUND($G8*'Allocators Calc'!BN68,0)</f>
        <v>0</v>
      </c>
      <c r="BX68">
        <f>ROUND($G8*'Allocators Calc'!BO68,0)</f>
        <v>0</v>
      </c>
      <c r="BY68" s="13">
        <f>ROUND($G8*'Allocators Calc'!BP68,0)</f>
        <v>0</v>
      </c>
      <c r="BZ68">
        <f>ROUND($G8*'Allocators Calc'!BQ68,0)</f>
        <v>0</v>
      </c>
      <c r="CA68">
        <f>ROUND($G8*'Allocators Calc'!BR68,0)</f>
        <v>0</v>
      </c>
      <c r="CB68">
        <f>ROUND($G8*'Allocators Calc'!BS68,0)</f>
        <v>0</v>
      </c>
      <c r="CC68">
        <f>ROUND($G8*'Allocators Calc'!BT68,0)</f>
        <v>0</v>
      </c>
      <c r="CD68">
        <f>ROUND($G8*'Allocators Calc'!BU68,0)</f>
        <v>0</v>
      </c>
      <c r="CE68" s="13">
        <f>ROUND($G8*'Allocators Calc'!BV68,0)</f>
        <v>0</v>
      </c>
      <c r="CF68" s="11"/>
      <c r="CG68">
        <f>ROUND($G8*'Allocators Calc'!BX68,0)</f>
        <v>0</v>
      </c>
      <c r="CH68">
        <f>ROUND($G8*'Allocators Calc'!BY68,0)</f>
        <v>0</v>
      </c>
      <c r="CI68">
        <f>ROUND($G8*'Allocators Calc'!BZ68,0)</f>
        <v>0</v>
      </c>
      <c r="CJ68">
        <f>ROUND($G8*'Allocators Calc'!CA68,0)</f>
        <v>0</v>
      </c>
      <c r="CK68">
        <f>ROUND($G8*'Allocators Calc'!CB68,0)</f>
        <v>0</v>
      </c>
      <c r="CL68">
        <f>ROUND($G8*'Allocators Calc'!CC68,0)</f>
        <v>0</v>
      </c>
      <c r="CM68">
        <f>ROUND($G8*'Allocators Calc'!CD68,0)</f>
        <v>0</v>
      </c>
      <c r="CN68">
        <f>ROUND($G8*'Allocators Calc'!CE68,0)</f>
        <v>0</v>
      </c>
      <c r="CO68">
        <f>ROUND($G8*'Allocators Calc'!CF68,0)</f>
        <v>0</v>
      </c>
      <c r="CP68">
        <f>ROUND($G8*'Allocators Calc'!CG68,0)</f>
        <v>0</v>
      </c>
      <c r="CQ68" s="11"/>
      <c r="CR68">
        <f>ROUND($G8*'Allocators Calc'!CI68,0)</f>
        <v>0</v>
      </c>
      <c r="CS68">
        <f>ROUND($G8*'Allocators Calc'!CJ68,0)</f>
        <v>0</v>
      </c>
      <c r="CT68" s="13">
        <f>ROUND($G8*'Allocators Calc'!CK68,0)</f>
        <v>0</v>
      </c>
      <c r="CU68">
        <f>ROUND($G8*'Allocators Calc'!CL68,0)</f>
        <v>0</v>
      </c>
      <c r="CV68">
        <f>ROUND($G8*'Allocators Calc'!CM68,0)</f>
        <v>0</v>
      </c>
      <c r="CW68" s="13">
        <f>ROUND($G8*'Allocators Calc'!CN68,0)</f>
        <v>0</v>
      </c>
      <c r="CX68" s="11"/>
      <c r="CY68">
        <f>ROUND($G8*'Allocators Calc'!CP68,0)</f>
        <v>0</v>
      </c>
      <c r="CZ68">
        <f>ROUND($G8*'Allocators Calc'!CQ68,0)</f>
        <v>0</v>
      </c>
      <c r="DA68" s="11"/>
      <c r="DB68">
        <f>ROUND($G8*'Allocators Calc'!CS68,0)</f>
        <v>286210</v>
      </c>
      <c r="DC68">
        <f>ROUND($G8*'Allocators Calc'!CT68,0)</f>
        <v>24081</v>
      </c>
      <c r="DD68">
        <f>ROUND($G8*'Allocators Calc'!CU68,0)</f>
        <v>118165</v>
      </c>
      <c r="DE68">
        <f>ROUND($G8*'Allocators Calc'!CV68,0)</f>
        <v>226751</v>
      </c>
      <c r="DF68">
        <f>ROUND($G8*'Allocators Calc'!CW68,0)</f>
        <v>2735008</v>
      </c>
      <c r="DG68">
        <f>ROUND($G8*'Allocators Calc'!CX68,0)</f>
        <v>263187</v>
      </c>
      <c r="DH68">
        <f>ROUND($G8*'Allocators Calc'!CY68,0)</f>
        <v>6393201</v>
      </c>
      <c r="DI68" s="10">
        <f t="shared" si="36"/>
        <v>1424.1919999998063</v>
      </c>
      <c r="DJ68">
        <f>ROUND($G8*'Allocators Calc'!DA68,0)</f>
        <v>364934</v>
      </c>
      <c r="DK68" s="11"/>
      <c r="DL68" s="3">
        <f t="shared" si="37"/>
        <v>10412961.192</v>
      </c>
      <c r="DM68" s="3">
        <f t="shared" si="38"/>
        <v>10412961.192</v>
      </c>
      <c r="DN68" s="3">
        <f t="shared" ref="DN68:DN74" si="39">DL68-DM68</f>
        <v>0</v>
      </c>
    </row>
    <row r="69" spans="11:119" x14ac:dyDescent="0.2">
      <c r="K69" t="s">
        <v>238</v>
      </c>
      <c r="L69">
        <f>ROUND($G9*'Allocators Calc'!C69,0)</f>
        <v>0</v>
      </c>
      <c r="M69">
        <f>ROUND($G9*'Allocators Calc'!D69,0)</f>
        <v>0</v>
      </c>
      <c r="N69">
        <f>ROUND($G9*'Allocators Calc'!E69,0)</f>
        <v>0</v>
      </c>
      <c r="O69" s="13">
        <f>ROUND($G9*'Allocators Calc'!F69,0)</f>
        <v>0</v>
      </c>
      <c r="P69" s="15">
        <f>ROUND($G9*'Allocators Calc'!G69,0)</f>
        <v>0</v>
      </c>
      <c r="Q69">
        <f>ROUND($G9*'Allocators Calc'!H69,0)</f>
        <v>0</v>
      </c>
      <c r="R69">
        <f>ROUND($G9*'Allocators Calc'!I69,0)</f>
        <v>0</v>
      </c>
      <c r="S69">
        <f>ROUND($G9*'Allocators Calc'!J69,0)</f>
        <v>0</v>
      </c>
      <c r="T69" s="13">
        <f>ROUND($G9*'Allocators Calc'!K69,0)</f>
        <v>0</v>
      </c>
      <c r="U69">
        <f>ROUND($G9*'Allocators Calc'!L69,0)</f>
        <v>0</v>
      </c>
      <c r="V69">
        <f>ROUND($G9*'Allocators Calc'!M69,0)</f>
        <v>0</v>
      </c>
      <c r="W69">
        <f>ROUND($G9*'Allocators Calc'!N69,0)</f>
        <v>0</v>
      </c>
      <c r="X69" s="13">
        <f>ROUND($G9*'Allocators Calc'!O69,0)</f>
        <v>0</v>
      </c>
      <c r="Y69">
        <f>ROUND($G9*'Allocators Calc'!P69,0)</f>
        <v>0</v>
      </c>
      <c r="Z69">
        <f>ROUND($G9*'Allocators Calc'!Q69,0)</f>
        <v>0</v>
      </c>
      <c r="AA69">
        <f>ROUND($G9*'Allocators Calc'!R69,0)</f>
        <v>0</v>
      </c>
      <c r="AB69" s="13">
        <f>ROUND($G9*'Allocators Calc'!S69,0)</f>
        <v>0</v>
      </c>
      <c r="AC69">
        <f>ROUND($G9*'Allocators Calc'!T69,0)</f>
        <v>0</v>
      </c>
      <c r="AD69">
        <f>ROUND($G9*'Allocators Calc'!U69,0)</f>
        <v>0</v>
      </c>
      <c r="AE69">
        <f>ROUND($G9*'Allocators Calc'!V69,0)</f>
        <v>0</v>
      </c>
      <c r="AF69">
        <f>ROUND($G9*'Allocators Calc'!W69,0)</f>
        <v>0</v>
      </c>
      <c r="AG69" s="11"/>
      <c r="AH69">
        <f>ROUND($G9*'Allocators Calc'!Y69,0)</f>
        <v>0</v>
      </c>
      <c r="AI69">
        <f>ROUND($G9*'Allocators Calc'!Z69,0)</f>
        <v>0</v>
      </c>
      <c r="AJ69">
        <f>ROUND($G9*'Allocators Calc'!AA69,0)</f>
        <v>0</v>
      </c>
      <c r="AK69">
        <f>ROUND($G9*'Allocators Calc'!AB69,0)</f>
        <v>0</v>
      </c>
      <c r="AL69">
        <f>ROUND($G9*'Allocators Calc'!AC69,0)</f>
        <v>0</v>
      </c>
      <c r="AM69">
        <f>ROUND($G9*'Allocators Calc'!AD69,0)</f>
        <v>0</v>
      </c>
      <c r="AN69">
        <f>ROUND($G9*'Allocators Calc'!AE69,0)</f>
        <v>0</v>
      </c>
      <c r="AO69" s="11"/>
      <c r="AP69">
        <f>ROUND($G9*'Allocators Calc'!AG69,0)</f>
        <v>0</v>
      </c>
      <c r="AQ69">
        <f>ROUND($G9*'Allocators Calc'!AH69,0)</f>
        <v>0</v>
      </c>
      <c r="AR69">
        <f>ROUND($G9*'Allocators Calc'!AI69,0)</f>
        <v>0</v>
      </c>
      <c r="AS69">
        <f>ROUND($G9*'Allocators Calc'!AJ69,0)</f>
        <v>0</v>
      </c>
      <c r="AT69">
        <f>ROUND($G9*'Allocators Calc'!AK69,0)</f>
        <v>0</v>
      </c>
      <c r="AU69" s="13">
        <f>ROUND($G9*'Allocators Calc'!AL69,0)</f>
        <v>0</v>
      </c>
      <c r="AV69">
        <f>ROUND($G9*'Allocators Calc'!AM69,0)</f>
        <v>0</v>
      </c>
      <c r="AW69">
        <f>ROUND($G9*'Allocators Calc'!AN69,0)</f>
        <v>0</v>
      </c>
      <c r="AX69">
        <f>ROUND($G9*'Allocators Calc'!AO69,0)</f>
        <v>0</v>
      </c>
      <c r="AY69">
        <f>ROUND($G9*'Allocators Calc'!AP69,0)</f>
        <v>0</v>
      </c>
      <c r="AZ69">
        <f>ROUND($G9*'Allocators Calc'!AQ69,0)</f>
        <v>0</v>
      </c>
      <c r="BA69" s="13">
        <f>ROUND($G9*'Allocators Calc'!AR69,0)</f>
        <v>0</v>
      </c>
      <c r="BB69">
        <f>ROUND($G9*'Allocators Calc'!AS69,0)</f>
        <v>0</v>
      </c>
      <c r="BC69">
        <f>ROUND($G9*'Allocators Calc'!AT69,0)</f>
        <v>0</v>
      </c>
      <c r="BD69">
        <f>ROUND($G9*'Allocators Calc'!AU69,0)</f>
        <v>0</v>
      </c>
      <c r="BE69">
        <f>ROUND($G9*'Allocators Calc'!AV69,0)</f>
        <v>0</v>
      </c>
      <c r="BF69">
        <f>ROUND($G9*'Allocators Calc'!AW69,0)</f>
        <v>0</v>
      </c>
      <c r="BG69" s="13">
        <f>ROUND($G9*'Allocators Calc'!AX69,0)</f>
        <v>0</v>
      </c>
      <c r="BH69">
        <f>ROUND($G9*'Allocators Calc'!AY69,0)</f>
        <v>0</v>
      </c>
      <c r="BI69">
        <f>ROUND($G9*'Allocators Calc'!AZ69,0)</f>
        <v>0</v>
      </c>
      <c r="BJ69">
        <f>ROUND($G9*'Allocators Calc'!BA69,0)</f>
        <v>0</v>
      </c>
      <c r="BK69">
        <f>ROUND($G9*'Allocators Calc'!BB69,0)</f>
        <v>0</v>
      </c>
      <c r="BL69">
        <f>ROUND($G9*'Allocators Calc'!BC69,0)</f>
        <v>0</v>
      </c>
      <c r="BM69" s="13">
        <f>ROUND($G9*'Allocators Calc'!BD69,0)</f>
        <v>0</v>
      </c>
      <c r="BN69">
        <f>ROUND($G9*'Allocators Calc'!BE69,0)</f>
        <v>0</v>
      </c>
      <c r="BO69">
        <f>ROUND($G9*'Allocators Calc'!BF69,0)</f>
        <v>0</v>
      </c>
      <c r="BP69">
        <f>ROUND($G9*'Allocators Calc'!BG69,0)</f>
        <v>0</v>
      </c>
      <c r="BQ69">
        <f>ROUND($G9*'Allocators Calc'!BH69,0)</f>
        <v>0</v>
      </c>
      <c r="BR69">
        <f>ROUND($G9*'Allocators Calc'!BI69,0)</f>
        <v>0</v>
      </c>
      <c r="BS69" s="13">
        <f>ROUND($G9*'Allocators Calc'!BJ69,0)</f>
        <v>0</v>
      </c>
      <c r="BT69">
        <f>ROUND($G9*'Allocators Calc'!BK69,0)</f>
        <v>0</v>
      </c>
      <c r="BU69">
        <f>ROUND($G9*'Allocators Calc'!BL69,0)</f>
        <v>0</v>
      </c>
      <c r="BV69">
        <f>ROUND($G9*'Allocators Calc'!BM69,0)</f>
        <v>0</v>
      </c>
      <c r="BW69">
        <f>ROUND($G9*'Allocators Calc'!BN69,0)</f>
        <v>0</v>
      </c>
      <c r="BX69">
        <f>ROUND($G9*'Allocators Calc'!BO69,0)</f>
        <v>0</v>
      </c>
      <c r="BY69" s="13">
        <f>ROUND($G9*'Allocators Calc'!BP69,0)</f>
        <v>0</v>
      </c>
      <c r="BZ69">
        <f>ROUND($G9*'Allocators Calc'!BQ69,0)</f>
        <v>0</v>
      </c>
      <c r="CA69">
        <f>ROUND($G9*'Allocators Calc'!BR69,0)</f>
        <v>0</v>
      </c>
      <c r="CB69">
        <f>ROUND($G9*'Allocators Calc'!BS69,0)</f>
        <v>0</v>
      </c>
      <c r="CC69">
        <f>ROUND($G9*'Allocators Calc'!BT69,0)</f>
        <v>0</v>
      </c>
      <c r="CD69">
        <f>ROUND($G9*'Allocators Calc'!BU69,0)</f>
        <v>0</v>
      </c>
      <c r="CE69" s="13">
        <f>ROUND($G9*'Allocators Calc'!BV69,0)</f>
        <v>0</v>
      </c>
      <c r="CF69" s="11"/>
      <c r="CG69">
        <f>ROUND($G9*'Allocators Calc'!BX69,0)</f>
        <v>0</v>
      </c>
      <c r="CH69">
        <f>ROUND($G9*'Allocators Calc'!BY69,0)</f>
        <v>0</v>
      </c>
      <c r="CI69">
        <f>ROUND($G9*'Allocators Calc'!BZ69,0)</f>
        <v>0</v>
      </c>
      <c r="CJ69">
        <f>ROUND($G9*'Allocators Calc'!CA69,0)</f>
        <v>0</v>
      </c>
      <c r="CK69">
        <f>ROUND($G9*'Allocators Calc'!CB69,0)</f>
        <v>0</v>
      </c>
      <c r="CL69">
        <f>ROUND($G9*'Allocators Calc'!CC69,0)</f>
        <v>0</v>
      </c>
      <c r="CM69">
        <f>ROUND($G9*'Allocators Calc'!CD69,0)</f>
        <v>0</v>
      </c>
      <c r="CN69">
        <f>ROUND($G9*'Allocators Calc'!CE69,0)</f>
        <v>0</v>
      </c>
      <c r="CO69">
        <f>ROUND($G9*'Allocators Calc'!CF69,0)</f>
        <v>0</v>
      </c>
      <c r="CP69">
        <f>ROUND($G9*'Allocators Calc'!CG69,0)</f>
        <v>0</v>
      </c>
      <c r="CQ69" s="11"/>
      <c r="CR69">
        <f>ROUND($G9*'Allocators Calc'!CI69,0)</f>
        <v>0</v>
      </c>
      <c r="CS69">
        <f>ROUND($G9*'Allocators Calc'!CJ69,0)</f>
        <v>0</v>
      </c>
      <c r="CT69" s="13">
        <f>ROUND($G9*'Allocators Calc'!CK69,0)</f>
        <v>0</v>
      </c>
      <c r="CU69">
        <f>ROUND($G9*'Allocators Calc'!CL69,0)</f>
        <v>0</v>
      </c>
      <c r="CV69">
        <f>ROUND($G9*'Allocators Calc'!CM69,0)</f>
        <v>0</v>
      </c>
      <c r="CW69" s="13">
        <f>ROUND($G9*'Allocators Calc'!CN69,0)</f>
        <v>0</v>
      </c>
      <c r="CX69" s="11"/>
      <c r="CY69">
        <f>ROUND($G9*'Allocators Calc'!CP69,0)</f>
        <v>0</v>
      </c>
      <c r="CZ69">
        <f>ROUND($G9*'Allocators Calc'!CQ69,0)</f>
        <v>0</v>
      </c>
      <c r="DA69" s="11"/>
      <c r="DB69">
        <f>ROUND($G9*'Allocators Calc'!CS69,0)</f>
        <v>261175</v>
      </c>
      <c r="DC69">
        <f>ROUND($G9*'Allocators Calc'!CT69,0)</f>
        <v>24379</v>
      </c>
      <c r="DD69">
        <f>ROUND($G9*'Allocators Calc'!CU69,0)</f>
        <v>115378</v>
      </c>
      <c r="DE69">
        <f>ROUND($G9*'Allocators Calc'!CV69,0)</f>
        <v>214106</v>
      </c>
      <c r="DF69">
        <f>ROUND($G9*'Allocators Calc'!CW69,0)</f>
        <v>2686838</v>
      </c>
      <c r="DG69">
        <f>ROUND($G9*'Allocators Calc'!CX69,0)</f>
        <v>264677</v>
      </c>
      <c r="DH69">
        <f>ROUND($G9*'Allocators Calc'!CY69,0)</f>
        <v>6434701</v>
      </c>
      <c r="DI69" s="10">
        <f t="shared" si="36"/>
        <v>1511.0140000004321</v>
      </c>
      <c r="DJ69">
        <f>ROUND($G9*'Allocators Calc'!DA69,0)</f>
        <v>406587</v>
      </c>
      <c r="DK69" s="11"/>
      <c r="DL69" s="3">
        <f t="shared" si="37"/>
        <v>10409352.014</v>
      </c>
      <c r="DM69" s="3">
        <f t="shared" si="38"/>
        <v>10409352.014</v>
      </c>
      <c r="DN69" s="3">
        <f t="shared" si="39"/>
        <v>0</v>
      </c>
    </row>
    <row r="70" spans="11:119" x14ac:dyDescent="0.2">
      <c r="K70" t="s">
        <v>239</v>
      </c>
      <c r="L70">
        <f>ROUND($G10*'Allocators Calc'!C70,0)</f>
        <v>0</v>
      </c>
      <c r="M70">
        <f>ROUND($G10*'Allocators Calc'!D70,0)</f>
        <v>0</v>
      </c>
      <c r="N70">
        <f>ROUND($G10*'Allocators Calc'!E70,0)</f>
        <v>0</v>
      </c>
      <c r="O70" s="13">
        <f>ROUND($G10*'Allocators Calc'!F70,0)</f>
        <v>0</v>
      </c>
      <c r="P70" s="15">
        <f>ROUND($G10*'Allocators Calc'!G70,0)</f>
        <v>0</v>
      </c>
      <c r="Q70">
        <f>ROUND($G10*'Allocators Calc'!H70,0)</f>
        <v>0</v>
      </c>
      <c r="R70">
        <f>ROUND($G10*'Allocators Calc'!I70,0)</f>
        <v>0</v>
      </c>
      <c r="S70">
        <f>ROUND($G10*'Allocators Calc'!J70,0)</f>
        <v>0</v>
      </c>
      <c r="T70" s="13">
        <f>ROUND($G10*'Allocators Calc'!K70,0)</f>
        <v>0</v>
      </c>
      <c r="U70">
        <f>ROUND($G10*'Allocators Calc'!L70,0)</f>
        <v>0</v>
      </c>
      <c r="V70">
        <f>ROUND($G10*'Allocators Calc'!M70,0)</f>
        <v>0</v>
      </c>
      <c r="W70">
        <f>ROUND($G10*'Allocators Calc'!N70,0)</f>
        <v>0</v>
      </c>
      <c r="X70" s="13">
        <f>ROUND($G10*'Allocators Calc'!O70,0)</f>
        <v>0</v>
      </c>
      <c r="Y70">
        <f>ROUND($G10*'Allocators Calc'!P70,0)</f>
        <v>0</v>
      </c>
      <c r="Z70">
        <f>ROUND($G10*'Allocators Calc'!Q70,0)</f>
        <v>0</v>
      </c>
      <c r="AA70">
        <f>ROUND($G10*'Allocators Calc'!R70,0)</f>
        <v>0</v>
      </c>
      <c r="AB70" s="13">
        <f>ROUND($G10*'Allocators Calc'!S70,0)</f>
        <v>0</v>
      </c>
      <c r="AC70">
        <f>ROUND($G10*'Allocators Calc'!T70,0)</f>
        <v>0</v>
      </c>
      <c r="AD70">
        <f>ROUND($G10*'Allocators Calc'!U70,0)</f>
        <v>0</v>
      </c>
      <c r="AE70">
        <f>ROUND($G10*'Allocators Calc'!V70,0)</f>
        <v>0</v>
      </c>
      <c r="AF70">
        <f>ROUND($G10*'Allocators Calc'!W70,0)</f>
        <v>0</v>
      </c>
      <c r="AG70" s="11"/>
      <c r="AH70">
        <f>ROUND($G10*'Allocators Calc'!Y70,0)</f>
        <v>0</v>
      </c>
      <c r="AI70">
        <f>ROUND($G10*'Allocators Calc'!Z70,0)</f>
        <v>0</v>
      </c>
      <c r="AJ70">
        <f>ROUND($G10*'Allocators Calc'!AA70,0)</f>
        <v>0</v>
      </c>
      <c r="AK70">
        <f>ROUND($G10*'Allocators Calc'!AB70,0)</f>
        <v>0</v>
      </c>
      <c r="AL70">
        <f>ROUND($G10*'Allocators Calc'!AC70,0)</f>
        <v>0</v>
      </c>
      <c r="AM70">
        <f>ROUND($G10*'Allocators Calc'!AD70,0)</f>
        <v>0</v>
      </c>
      <c r="AN70">
        <f>ROUND($G10*'Allocators Calc'!AE70,0)</f>
        <v>0</v>
      </c>
      <c r="AO70" s="11"/>
      <c r="AP70">
        <f>ROUND($G10*'Allocators Calc'!AG70,0)</f>
        <v>0</v>
      </c>
      <c r="AQ70">
        <f>ROUND($G10*'Allocators Calc'!AH70,0)</f>
        <v>0</v>
      </c>
      <c r="AR70">
        <f>ROUND($G10*'Allocators Calc'!AI70,0)</f>
        <v>0</v>
      </c>
      <c r="AS70">
        <f>ROUND($G10*'Allocators Calc'!AJ70,0)</f>
        <v>0</v>
      </c>
      <c r="AT70">
        <f>ROUND($G10*'Allocators Calc'!AK70,0)</f>
        <v>0</v>
      </c>
      <c r="AU70" s="13">
        <f>ROUND($G10*'Allocators Calc'!AL70,0)</f>
        <v>0</v>
      </c>
      <c r="AV70">
        <f>ROUND($G10*'Allocators Calc'!AM70,0)</f>
        <v>0</v>
      </c>
      <c r="AW70">
        <f>ROUND($G10*'Allocators Calc'!AN70,0)</f>
        <v>0</v>
      </c>
      <c r="AX70">
        <f>ROUND($G10*'Allocators Calc'!AO70,0)</f>
        <v>0</v>
      </c>
      <c r="AY70">
        <f>ROUND($G10*'Allocators Calc'!AP70,0)</f>
        <v>0</v>
      </c>
      <c r="AZ70">
        <f>ROUND($G10*'Allocators Calc'!AQ70,0)</f>
        <v>0</v>
      </c>
      <c r="BA70" s="13">
        <f>ROUND($G10*'Allocators Calc'!AR70,0)</f>
        <v>0</v>
      </c>
      <c r="BB70">
        <f>ROUND($G10*'Allocators Calc'!AS70,0)</f>
        <v>0</v>
      </c>
      <c r="BC70">
        <f>ROUND($G10*'Allocators Calc'!AT70,0)</f>
        <v>0</v>
      </c>
      <c r="BD70">
        <f>ROUND($G10*'Allocators Calc'!AU70,0)</f>
        <v>0</v>
      </c>
      <c r="BE70">
        <f>ROUND($G10*'Allocators Calc'!AV70,0)</f>
        <v>0</v>
      </c>
      <c r="BF70">
        <f>ROUND($G10*'Allocators Calc'!AW70,0)</f>
        <v>0</v>
      </c>
      <c r="BG70" s="13">
        <f>ROUND($G10*'Allocators Calc'!AX70,0)</f>
        <v>0</v>
      </c>
      <c r="BH70">
        <f>ROUND($G10*'Allocators Calc'!AY70,0)</f>
        <v>0</v>
      </c>
      <c r="BI70">
        <f>ROUND($G10*'Allocators Calc'!AZ70,0)</f>
        <v>0</v>
      </c>
      <c r="BJ70">
        <f>ROUND($G10*'Allocators Calc'!BA70,0)</f>
        <v>0</v>
      </c>
      <c r="BK70">
        <f>ROUND($G10*'Allocators Calc'!BB70,0)</f>
        <v>0</v>
      </c>
      <c r="BL70">
        <f>ROUND($G10*'Allocators Calc'!BC70,0)</f>
        <v>0</v>
      </c>
      <c r="BM70" s="13">
        <f>ROUND($G10*'Allocators Calc'!BD70,0)</f>
        <v>0</v>
      </c>
      <c r="BN70">
        <f>ROUND($G10*'Allocators Calc'!BE70,0)</f>
        <v>0</v>
      </c>
      <c r="BO70">
        <f>ROUND($G10*'Allocators Calc'!BF70,0)</f>
        <v>0</v>
      </c>
      <c r="BP70">
        <f>ROUND($G10*'Allocators Calc'!BG70,0)</f>
        <v>0</v>
      </c>
      <c r="BQ70">
        <f>ROUND($G10*'Allocators Calc'!BH70,0)</f>
        <v>0</v>
      </c>
      <c r="BR70">
        <f>ROUND($G10*'Allocators Calc'!BI70,0)</f>
        <v>0</v>
      </c>
      <c r="BS70" s="13">
        <f>ROUND($G10*'Allocators Calc'!BJ70,0)</f>
        <v>0</v>
      </c>
      <c r="BT70">
        <f>ROUND($G10*'Allocators Calc'!BK70,0)</f>
        <v>0</v>
      </c>
      <c r="BU70">
        <f>ROUND($G10*'Allocators Calc'!BL70,0)</f>
        <v>0</v>
      </c>
      <c r="BV70">
        <f>ROUND($G10*'Allocators Calc'!BM70,0)</f>
        <v>0</v>
      </c>
      <c r="BW70">
        <f>ROUND($G10*'Allocators Calc'!BN70,0)</f>
        <v>0</v>
      </c>
      <c r="BX70">
        <f>ROUND($G10*'Allocators Calc'!BO70,0)</f>
        <v>0</v>
      </c>
      <c r="BY70" s="13">
        <f>ROUND($G10*'Allocators Calc'!BP70,0)</f>
        <v>0</v>
      </c>
      <c r="BZ70">
        <f>ROUND($G10*'Allocators Calc'!BQ70,0)</f>
        <v>0</v>
      </c>
      <c r="CA70">
        <f>ROUND($G10*'Allocators Calc'!BR70,0)</f>
        <v>0</v>
      </c>
      <c r="CB70">
        <f>ROUND($G10*'Allocators Calc'!BS70,0)</f>
        <v>0</v>
      </c>
      <c r="CC70">
        <f>ROUND($G10*'Allocators Calc'!BT70,0)</f>
        <v>0</v>
      </c>
      <c r="CD70">
        <f>ROUND($G10*'Allocators Calc'!BU70,0)</f>
        <v>0</v>
      </c>
      <c r="CE70" s="13">
        <f>ROUND($G10*'Allocators Calc'!BV70,0)</f>
        <v>0</v>
      </c>
      <c r="CF70" s="11"/>
      <c r="CG70">
        <f>ROUND($G10*'Allocators Calc'!BX70,0)</f>
        <v>0</v>
      </c>
      <c r="CH70">
        <f>ROUND($G10*'Allocators Calc'!BY70,0)</f>
        <v>0</v>
      </c>
      <c r="CI70">
        <f>ROUND($G10*'Allocators Calc'!BZ70,0)</f>
        <v>0</v>
      </c>
      <c r="CJ70">
        <f>ROUND($G10*'Allocators Calc'!CA70,0)</f>
        <v>0</v>
      </c>
      <c r="CK70">
        <f>ROUND($G10*'Allocators Calc'!CB70,0)</f>
        <v>0</v>
      </c>
      <c r="CL70">
        <f>ROUND($G10*'Allocators Calc'!CC70,0)</f>
        <v>0</v>
      </c>
      <c r="CM70">
        <f>ROUND($G10*'Allocators Calc'!CD70,0)</f>
        <v>0</v>
      </c>
      <c r="CN70">
        <f>ROUND($G10*'Allocators Calc'!CE70,0)</f>
        <v>0</v>
      </c>
      <c r="CO70">
        <f>ROUND($G10*'Allocators Calc'!CF70,0)</f>
        <v>0</v>
      </c>
      <c r="CP70">
        <f>ROUND($G10*'Allocators Calc'!CG70,0)</f>
        <v>0</v>
      </c>
      <c r="CQ70" s="11"/>
      <c r="CR70">
        <f>ROUND($G10*'Allocators Calc'!CI70,0)</f>
        <v>0</v>
      </c>
      <c r="CS70">
        <f>ROUND($G10*'Allocators Calc'!CJ70,0)</f>
        <v>0</v>
      </c>
      <c r="CT70" s="13">
        <f>ROUND($G10*'Allocators Calc'!CK70,0)</f>
        <v>0</v>
      </c>
      <c r="CU70">
        <f>ROUND($G10*'Allocators Calc'!CL70,0)</f>
        <v>0</v>
      </c>
      <c r="CV70">
        <f>ROUND($G10*'Allocators Calc'!CM70,0)</f>
        <v>0</v>
      </c>
      <c r="CW70" s="13">
        <f>ROUND($G10*'Allocators Calc'!CN70,0)</f>
        <v>0</v>
      </c>
      <c r="CX70" s="11"/>
      <c r="CY70">
        <f>ROUND($G10*'Allocators Calc'!CP70,0)</f>
        <v>0</v>
      </c>
      <c r="CZ70">
        <f>ROUND($G10*'Allocators Calc'!CQ70,0)</f>
        <v>0</v>
      </c>
      <c r="DA70" s="11"/>
      <c r="DB70">
        <f>ROUND($G10*'Allocators Calc'!CS70,0)</f>
        <v>259092</v>
      </c>
      <c r="DC70">
        <f>ROUND($G10*'Allocators Calc'!CT70,0)</f>
        <v>24117</v>
      </c>
      <c r="DD70">
        <f>ROUND($G10*'Allocators Calc'!CU70,0)</f>
        <v>125551</v>
      </c>
      <c r="DE70">
        <f>ROUND($G10*'Allocators Calc'!CV70,0)</f>
        <v>210178</v>
      </c>
      <c r="DF70">
        <f>ROUND($G10*'Allocators Calc'!CW70,0)</f>
        <v>2659812</v>
      </c>
      <c r="DG70">
        <f>ROUND($G10*'Allocators Calc'!CX70,0)</f>
        <v>321700</v>
      </c>
      <c r="DH70">
        <f>ROUND($G10*'Allocators Calc'!CY70,0)</f>
        <v>6418917</v>
      </c>
      <c r="DI70" s="10">
        <f t="shared" si="36"/>
        <v>1396.7939999997616</v>
      </c>
      <c r="DJ70">
        <f>ROUND($G10*'Allocators Calc'!DA70,0)</f>
        <v>420529</v>
      </c>
      <c r="DK70" s="11"/>
      <c r="DL70" s="3">
        <f t="shared" si="37"/>
        <v>10441292.794</v>
      </c>
      <c r="DM70" s="3">
        <f t="shared" si="38"/>
        <v>10441292.794</v>
      </c>
      <c r="DN70" s="3">
        <f t="shared" si="39"/>
        <v>0</v>
      </c>
    </row>
    <row r="71" spans="11:119" x14ac:dyDescent="0.2">
      <c r="K71" t="s">
        <v>240</v>
      </c>
      <c r="L71">
        <f>ROUND($G11*'Allocators Calc'!C71,0)</f>
        <v>0</v>
      </c>
      <c r="M71">
        <f>ROUND($G11*'Allocators Calc'!D71,0)</f>
        <v>0</v>
      </c>
      <c r="N71">
        <f>ROUND($G11*'Allocators Calc'!E71,0)</f>
        <v>0</v>
      </c>
      <c r="O71" s="13">
        <f>ROUND($G11*'Allocators Calc'!F71,0)</f>
        <v>0</v>
      </c>
      <c r="P71" s="15">
        <f>ROUND($G11*'Allocators Calc'!G71,0)</f>
        <v>0</v>
      </c>
      <c r="Q71">
        <f>ROUND($G11*'Allocators Calc'!H71,0)</f>
        <v>0</v>
      </c>
      <c r="R71">
        <f>ROUND($G11*'Allocators Calc'!I71,0)</f>
        <v>0</v>
      </c>
      <c r="S71">
        <f>ROUND($G11*'Allocators Calc'!J71,0)</f>
        <v>0</v>
      </c>
      <c r="T71" s="13">
        <f>ROUND($G11*'Allocators Calc'!K71,0)</f>
        <v>0</v>
      </c>
      <c r="U71">
        <f>ROUND($G11*'Allocators Calc'!L71,0)</f>
        <v>0</v>
      </c>
      <c r="V71">
        <f>ROUND($G11*'Allocators Calc'!M71,0)</f>
        <v>0</v>
      </c>
      <c r="W71">
        <f>ROUND($G11*'Allocators Calc'!N71,0)</f>
        <v>0</v>
      </c>
      <c r="X71" s="13">
        <f>ROUND($G11*'Allocators Calc'!O71,0)</f>
        <v>0</v>
      </c>
      <c r="Y71">
        <f>ROUND($G11*'Allocators Calc'!P71,0)</f>
        <v>0</v>
      </c>
      <c r="Z71">
        <f>ROUND($G11*'Allocators Calc'!Q71,0)</f>
        <v>0</v>
      </c>
      <c r="AA71">
        <f>ROUND($G11*'Allocators Calc'!R71,0)</f>
        <v>0</v>
      </c>
      <c r="AB71" s="13">
        <f>ROUND($G11*'Allocators Calc'!S71,0)</f>
        <v>0</v>
      </c>
      <c r="AC71">
        <f>ROUND($G11*'Allocators Calc'!T71,0)</f>
        <v>0</v>
      </c>
      <c r="AD71">
        <f>ROUND($G11*'Allocators Calc'!U71,0)</f>
        <v>0</v>
      </c>
      <c r="AE71">
        <f>ROUND($G11*'Allocators Calc'!V71,0)</f>
        <v>0</v>
      </c>
      <c r="AF71">
        <f>ROUND($G11*'Allocators Calc'!W71,0)</f>
        <v>0</v>
      </c>
      <c r="AG71" s="11"/>
      <c r="AH71">
        <f>ROUND($G11*'Allocators Calc'!Y71,0)</f>
        <v>0</v>
      </c>
      <c r="AI71">
        <f>ROUND($G11*'Allocators Calc'!Z71,0)</f>
        <v>0</v>
      </c>
      <c r="AJ71">
        <f>ROUND($G11*'Allocators Calc'!AA71,0)</f>
        <v>0</v>
      </c>
      <c r="AK71">
        <f>ROUND($G11*'Allocators Calc'!AB71,0)</f>
        <v>0</v>
      </c>
      <c r="AL71">
        <f>ROUND($G11*'Allocators Calc'!AC71,0)</f>
        <v>0</v>
      </c>
      <c r="AM71">
        <f>ROUND($G11*'Allocators Calc'!AD71,0)</f>
        <v>0</v>
      </c>
      <c r="AN71">
        <f>ROUND($G11*'Allocators Calc'!AE71,0)</f>
        <v>0</v>
      </c>
      <c r="AO71" s="11"/>
      <c r="AP71">
        <f>ROUND($G11*'Allocators Calc'!AG71,0)</f>
        <v>0</v>
      </c>
      <c r="AQ71">
        <f>ROUND($G11*'Allocators Calc'!AH71,0)</f>
        <v>0</v>
      </c>
      <c r="AR71">
        <f>ROUND($G11*'Allocators Calc'!AI71,0)</f>
        <v>0</v>
      </c>
      <c r="AS71">
        <f>ROUND($G11*'Allocators Calc'!AJ71,0)</f>
        <v>0</v>
      </c>
      <c r="AT71">
        <f>ROUND($G11*'Allocators Calc'!AK71,0)</f>
        <v>0</v>
      </c>
      <c r="AU71" s="13">
        <f>ROUND($G11*'Allocators Calc'!AL71,0)</f>
        <v>0</v>
      </c>
      <c r="AV71">
        <f>ROUND($G11*'Allocators Calc'!AM71,0)</f>
        <v>0</v>
      </c>
      <c r="AW71">
        <f>ROUND($G11*'Allocators Calc'!AN71,0)</f>
        <v>0</v>
      </c>
      <c r="AX71">
        <f>ROUND($G11*'Allocators Calc'!AO71,0)</f>
        <v>0</v>
      </c>
      <c r="AY71">
        <f>ROUND($G11*'Allocators Calc'!AP71,0)</f>
        <v>0</v>
      </c>
      <c r="AZ71">
        <f>ROUND($G11*'Allocators Calc'!AQ71,0)</f>
        <v>0</v>
      </c>
      <c r="BA71" s="13">
        <f>ROUND($G11*'Allocators Calc'!AR71,0)</f>
        <v>0</v>
      </c>
      <c r="BB71">
        <f>ROUND($G11*'Allocators Calc'!AS71,0)</f>
        <v>0</v>
      </c>
      <c r="BC71">
        <f>ROUND($G11*'Allocators Calc'!AT71,0)</f>
        <v>0</v>
      </c>
      <c r="BD71">
        <f>ROUND($G11*'Allocators Calc'!AU71,0)</f>
        <v>0</v>
      </c>
      <c r="BE71">
        <f>ROUND($G11*'Allocators Calc'!AV71,0)</f>
        <v>0</v>
      </c>
      <c r="BF71">
        <f>ROUND($G11*'Allocators Calc'!AW71,0)</f>
        <v>0</v>
      </c>
      <c r="BG71" s="13">
        <f>ROUND($G11*'Allocators Calc'!AX71,0)</f>
        <v>0</v>
      </c>
      <c r="BH71">
        <f>ROUND($G11*'Allocators Calc'!AY71,0)</f>
        <v>0</v>
      </c>
      <c r="BI71">
        <f>ROUND($G11*'Allocators Calc'!AZ71,0)</f>
        <v>0</v>
      </c>
      <c r="BJ71">
        <f>ROUND($G11*'Allocators Calc'!BA71,0)</f>
        <v>0</v>
      </c>
      <c r="BK71">
        <f>ROUND($G11*'Allocators Calc'!BB71,0)</f>
        <v>0</v>
      </c>
      <c r="BL71">
        <f>ROUND($G11*'Allocators Calc'!BC71,0)</f>
        <v>0</v>
      </c>
      <c r="BM71" s="13">
        <f>ROUND($G11*'Allocators Calc'!BD71,0)</f>
        <v>0</v>
      </c>
      <c r="BN71">
        <f>ROUND($G11*'Allocators Calc'!BE71,0)</f>
        <v>0</v>
      </c>
      <c r="BO71">
        <f>ROUND($G11*'Allocators Calc'!BF71,0)</f>
        <v>0</v>
      </c>
      <c r="BP71">
        <f>ROUND($G11*'Allocators Calc'!BG71,0)</f>
        <v>0</v>
      </c>
      <c r="BQ71">
        <f>ROUND($G11*'Allocators Calc'!BH71,0)</f>
        <v>0</v>
      </c>
      <c r="BR71">
        <f>ROUND($G11*'Allocators Calc'!BI71,0)</f>
        <v>0</v>
      </c>
      <c r="BS71" s="13">
        <f>ROUND($G11*'Allocators Calc'!BJ71,0)</f>
        <v>0</v>
      </c>
      <c r="BT71">
        <f>ROUND($G11*'Allocators Calc'!BK71,0)</f>
        <v>0</v>
      </c>
      <c r="BU71">
        <f>ROUND($G11*'Allocators Calc'!BL71,0)</f>
        <v>0</v>
      </c>
      <c r="BV71">
        <f>ROUND($G11*'Allocators Calc'!BM71,0)</f>
        <v>0</v>
      </c>
      <c r="BW71">
        <f>ROUND($G11*'Allocators Calc'!BN71,0)</f>
        <v>0</v>
      </c>
      <c r="BX71">
        <f>ROUND($G11*'Allocators Calc'!BO71,0)</f>
        <v>0</v>
      </c>
      <c r="BY71" s="13">
        <f>ROUND($G11*'Allocators Calc'!BP71,0)</f>
        <v>0</v>
      </c>
      <c r="BZ71">
        <f>ROUND($G11*'Allocators Calc'!BQ71,0)</f>
        <v>0</v>
      </c>
      <c r="CA71">
        <f>ROUND($G11*'Allocators Calc'!BR71,0)</f>
        <v>0</v>
      </c>
      <c r="CB71">
        <f>ROUND($G11*'Allocators Calc'!BS71,0)</f>
        <v>0</v>
      </c>
      <c r="CC71">
        <f>ROUND($G11*'Allocators Calc'!BT71,0)</f>
        <v>0</v>
      </c>
      <c r="CD71">
        <f>ROUND($G11*'Allocators Calc'!BU71,0)</f>
        <v>0</v>
      </c>
      <c r="CE71" s="13">
        <f>ROUND($G11*'Allocators Calc'!BV71,0)</f>
        <v>0</v>
      </c>
      <c r="CF71" s="11"/>
      <c r="CG71">
        <f>ROUND($G11*'Allocators Calc'!BX71,0)</f>
        <v>0</v>
      </c>
      <c r="CH71">
        <f>ROUND($G11*'Allocators Calc'!BY71,0)</f>
        <v>0</v>
      </c>
      <c r="CI71">
        <f>ROUND($G11*'Allocators Calc'!BZ71,0)</f>
        <v>0</v>
      </c>
      <c r="CJ71">
        <f>ROUND($G11*'Allocators Calc'!CA71,0)</f>
        <v>0</v>
      </c>
      <c r="CK71">
        <f>ROUND($G11*'Allocators Calc'!CB71,0)</f>
        <v>0</v>
      </c>
      <c r="CL71">
        <f>ROUND($G11*'Allocators Calc'!CC71,0)</f>
        <v>0</v>
      </c>
      <c r="CM71">
        <f>ROUND($G11*'Allocators Calc'!CD71,0)</f>
        <v>0</v>
      </c>
      <c r="CN71">
        <f>ROUND($G11*'Allocators Calc'!CE71,0)</f>
        <v>0</v>
      </c>
      <c r="CO71">
        <f>ROUND($G11*'Allocators Calc'!CF71,0)</f>
        <v>0</v>
      </c>
      <c r="CP71">
        <f>ROUND($G11*'Allocators Calc'!CG71,0)</f>
        <v>0</v>
      </c>
      <c r="CQ71" s="11"/>
      <c r="CR71">
        <f>ROUND($G11*'Allocators Calc'!CI71,0)</f>
        <v>0</v>
      </c>
      <c r="CS71">
        <f>ROUND($G11*'Allocators Calc'!CJ71,0)</f>
        <v>0</v>
      </c>
      <c r="CT71" s="13">
        <f>ROUND($G11*'Allocators Calc'!CK71,0)</f>
        <v>0</v>
      </c>
      <c r="CU71">
        <f>ROUND($G11*'Allocators Calc'!CL71,0)</f>
        <v>0</v>
      </c>
      <c r="CV71">
        <f>ROUND($G11*'Allocators Calc'!CM71,0)</f>
        <v>0</v>
      </c>
      <c r="CW71" s="13">
        <f>ROUND($G11*'Allocators Calc'!CN71,0)</f>
        <v>0</v>
      </c>
      <c r="CX71" s="11"/>
      <c r="CY71">
        <f>ROUND($G11*'Allocators Calc'!CP71,0)</f>
        <v>0</v>
      </c>
      <c r="CZ71">
        <f>ROUND($G11*'Allocators Calc'!CQ71,0)</f>
        <v>0</v>
      </c>
      <c r="DA71" s="11"/>
      <c r="DB71">
        <f>ROUND($G11*'Allocators Calc'!CS71,0)</f>
        <v>327260</v>
      </c>
      <c r="DC71">
        <f>ROUND($G11*'Allocators Calc'!CT71,0)</f>
        <v>24247</v>
      </c>
      <c r="DD71">
        <f>ROUND($G11*'Allocators Calc'!CU71,0)</f>
        <v>130369</v>
      </c>
      <c r="DE71">
        <f>ROUND($G11*'Allocators Calc'!CV71,0)</f>
        <v>237380</v>
      </c>
      <c r="DF71">
        <f>ROUND($G11*'Allocators Calc'!CW71,0)</f>
        <v>2863933</v>
      </c>
      <c r="DG71">
        <f>ROUND($G11*'Allocators Calc'!CX71,0)</f>
        <v>281653</v>
      </c>
      <c r="DH71">
        <f>ROUND($G11*'Allocators Calc'!CY71,0)</f>
        <v>6561709</v>
      </c>
      <c r="DI71" s="10">
        <f t="shared" si="36"/>
        <v>946.58500000089407</v>
      </c>
      <c r="DJ71">
        <f>ROUND($G11*'Allocators Calc'!DA71,0)</f>
        <v>213358</v>
      </c>
      <c r="DK71" s="11"/>
      <c r="DL71" s="3">
        <f t="shared" si="37"/>
        <v>10640855.585000001</v>
      </c>
      <c r="DM71" s="3">
        <f t="shared" si="38"/>
        <v>10640855.585000001</v>
      </c>
      <c r="DN71" s="3">
        <f t="shared" si="39"/>
        <v>0</v>
      </c>
    </row>
    <row r="72" spans="11:119" x14ac:dyDescent="0.2">
      <c r="K72" t="s">
        <v>241</v>
      </c>
      <c r="L72">
        <f>ROUND($G12*'Allocators Calc'!C72,0)</f>
        <v>0</v>
      </c>
      <c r="M72">
        <f>ROUND($G12*'Allocators Calc'!D72,0)</f>
        <v>0</v>
      </c>
      <c r="N72">
        <f>ROUND($G12*'Allocators Calc'!E72,0)</f>
        <v>0</v>
      </c>
      <c r="O72" s="13">
        <f>ROUND($G12*'Allocators Calc'!F72,0)</f>
        <v>0</v>
      </c>
      <c r="P72" s="15">
        <f>ROUND($G12*'Allocators Calc'!G72,0)</f>
        <v>0</v>
      </c>
      <c r="Q72">
        <f>ROUND($G12*'Allocators Calc'!H72,0)</f>
        <v>0</v>
      </c>
      <c r="R72">
        <f>ROUND($G12*'Allocators Calc'!I72,0)</f>
        <v>0</v>
      </c>
      <c r="S72">
        <f>ROUND($G12*'Allocators Calc'!J72,0)</f>
        <v>0</v>
      </c>
      <c r="T72" s="13">
        <f>ROUND($G12*'Allocators Calc'!K72,0)</f>
        <v>0</v>
      </c>
      <c r="U72">
        <f>ROUND($G12*'Allocators Calc'!L72,0)</f>
        <v>0</v>
      </c>
      <c r="V72">
        <f>ROUND($G12*'Allocators Calc'!M72,0)</f>
        <v>0</v>
      </c>
      <c r="W72">
        <f>ROUND($G12*'Allocators Calc'!N72,0)</f>
        <v>0</v>
      </c>
      <c r="X72" s="13">
        <f>ROUND($G12*'Allocators Calc'!O72,0)</f>
        <v>0</v>
      </c>
      <c r="Y72">
        <f>ROUND($G12*'Allocators Calc'!P72,0)</f>
        <v>0</v>
      </c>
      <c r="Z72">
        <f>ROUND($G12*'Allocators Calc'!Q72,0)</f>
        <v>0</v>
      </c>
      <c r="AA72">
        <f>ROUND($G12*'Allocators Calc'!R72,0)</f>
        <v>0</v>
      </c>
      <c r="AB72" s="13">
        <f>ROUND($G12*'Allocators Calc'!S72,0)</f>
        <v>0</v>
      </c>
      <c r="AC72">
        <f>ROUND($G12*'Allocators Calc'!T72,0)</f>
        <v>0</v>
      </c>
      <c r="AD72">
        <f>ROUND($G12*'Allocators Calc'!U72,0)</f>
        <v>0</v>
      </c>
      <c r="AE72">
        <f>ROUND($G12*'Allocators Calc'!V72,0)</f>
        <v>0</v>
      </c>
      <c r="AF72">
        <f>ROUND($G12*'Allocators Calc'!W72,0)</f>
        <v>0</v>
      </c>
      <c r="AG72" s="11"/>
      <c r="AH72">
        <f>ROUND($G12*'Allocators Calc'!Y72,0)</f>
        <v>0</v>
      </c>
      <c r="AI72">
        <f>ROUND($G12*'Allocators Calc'!Z72,0)</f>
        <v>0</v>
      </c>
      <c r="AJ72">
        <f>ROUND($G12*'Allocators Calc'!AA72,0)</f>
        <v>0</v>
      </c>
      <c r="AK72">
        <f>ROUND($G12*'Allocators Calc'!AB72,0)</f>
        <v>0</v>
      </c>
      <c r="AL72">
        <f>ROUND($G12*'Allocators Calc'!AC72,0)</f>
        <v>0</v>
      </c>
      <c r="AM72">
        <f>ROUND($G12*'Allocators Calc'!AD72,0)</f>
        <v>0</v>
      </c>
      <c r="AN72">
        <f>ROUND($G12*'Allocators Calc'!AE72,0)</f>
        <v>0</v>
      </c>
      <c r="AO72" s="11"/>
      <c r="AP72">
        <f>ROUND($G12*'Allocators Calc'!AG72,0)</f>
        <v>0</v>
      </c>
      <c r="AQ72">
        <f>ROUND($G12*'Allocators Calc'!AH72,0)</f>
        <v>0</v>
      </c>
      <c r="AR72">
        <f>ROUND($G12*'Allocators Calc'!AI72,0)</f>
        <v>0</v>
      </c>
      <c r="AS72">
        <f>ROUND($G12*'Allocators Calc'!AJ72,0)</f>
        <v>0</v>
      </c>
      <c r="AT72">
        <f>ROUND($G12*'Allocators Calc'!AK72,0)</f>
        <v>0</v>
      </c>
      <c r="AU72" s="13">
        <f>ROUND($G12*'Allocators Calc'!AL72,0)</f>
        <v>0</v>
      </c>
      <c r="AV72">
        <f>ROUND($G12*'Allocators Calc'!AM72,0)</f>
        <v>0</v>
      </c>
      <c r="AW72">
        <f>ROUND($G12*'Allocators Calc'!AN72,0)</f>
        <v>0</v>
      </c>
      <c r="AX72">
        <f>ROUND($G12*'Allocators Calc'!AO72,0)</f>
        <v>0</v>
      </c>
      <c r="AY72">
        <f>ROUND($G12*'Allocators Calc'!AP72,0)</f>
        <v>0</v>
      </c>
      <c r="AZ72">
        <f>ROUND($G12*'Allocators Calc'!AQ72,0)</f>
        <v>0</v>
      </c>
      <c r="BA72" s="13">
        <f>ROUND($G12*'Allocators Calc'!AR72,0)</f>
        <v>0</v>
      </c>
      <c r="BB72">
        <f>ROUND($G12*'Allocators Calc'!AS72,0)</f>
        <v>0</v>
      </c>
      <c r="BC72">
        <f>ROUND($G12*'Allocators Calc'!AT72,0)</f>
        <v>0</v>
      </c>
      <c r="BD72">
        <f>ROUND($G12*'Allocators Calc'!AU72,0)</f>
        <v>0</v>
      </c>
      <c r="BE72">
        <f>ROUND($G12*'Allocators Calc'!AV72,0)</f>
        <v>0</v>
      </c>
      <c r="BF72">
        <f>ROUND($G12*'Allocators Calc'!AW72,0)</f>
        <v>0</v>
      </c>
      <c r="BG72" s="13">
        <f>ROUND($G12*'Allocators Calc'!AX72,0)</f>
        <v>0</v>
      </c>
      <c r="BH72">
        <f>ROUND($G12*'Allocators Calc'!AY72,0)</f>
        <v>0</v>
      </c>
      <c r="BI72">
        <f>ROUND($G12*'Allocators Calc'!AZ72,0)</f>
        <v>0</v>
      </c>
      <c r="BJ72">
        <f>ROUND($G12*'Allocators Calc'!BA72,0)</f>
        <v>0</v>
      </c>
      <c r="BK72">
        <f>ROUND($G12*'Allocators Calc'!BB72,0)</f>
        <v>0</v>
      </c>
      <c r="BL72">
        <f>ROUND($G12*'Allocators Calc'!BC72,0)</f>
        <v>0</v>
      </c>
      <c r="BM72" s="13">
        <f>ROUND($G12*'Allocators Calc'!BD72,0)</f>
        <v>0</v>
      </c>
      <c r="BN72">
        <f>ROUND($G12*'Allocators Calc'!BE72,0)</f>
        <v>0</v>
      </c>
      <c r="BO72">
        <f>ROUND($G12*'Allocators Calc'!BF72,0)</f>
        <v>0</v>
      </c>
      <c r="BP72">
        <f>ROUND($G12*'Allocators Calc'!BG72,0)</f>
        <v>0</v>
      </c>
      <c r="BQ72">
        <f>ROUND($G12*'Allocators Calc'!BH72,0)</f>
        <v>0</v>
      </c>
      <c r="BR72">
        <f>ROUND($G12*'Allocators Calc'!BI72,0)</f>
        <v>0</v>
      </c>
      <c r="BS72" s="13">
        <f>ROUND($G12*'Allocators Calc'!BJ72,0)</f>
        <v>0</v>
      </c>
      <c r="BT72">
        <f>ROUND($G12*'Allocators Calc'!BK72,0)</f>
        <v>0</v>
      </c>
      <c r="BU72">
        <f>ROUND($G12*'Allocators Calc'!BL72,0)</f>
        <v>0</v>
      </c>
      <c r="BV72">
        <f>ROUND($G12*'Allocators Calc'!BM72,0)</f>
        <v>0</v>
      </c>
      <c r="BW72">
        <f>ROUND($G12*'Allocators Calc'!BN72,0)</f>
        <v>0</v>
      </c>
      <c r="BX72">
        <f>ROUND($G12*'Allocators Calc'!BO72,0)</f>
        <v>0</v>
      </c>
      <c r="BY72" s="13">
        <f>ROUND($G12*'Allocators Calc'!BP72,0)</f>
        <v>0</v>
      </c>
      <c r="BZ72">
        <f>ROUND($G12*'Allocators Calc'!BQ72,0)</f>
        <v>0</v>
      </c>
      <c r="CA72">
        <f>ROUND($G12*'Allocators Calc'!BR72,0)</f>
        <v>0</v>
      </c>
      <c r="CB72">
        <f>ROUND($G12*'Allocators Calc'!BS72,0)</f>
        <v>0</v>
      </c>
      <c r="CC72">
        <f>ROUND($G12*'Allocators Calc'!BT72,0)</f>
        <v>0</v>
      </c>
      <c r="CD72">
        <f>ROUND($G12*'Allocators Calc'!BU72,0)</f>
        <v>0</v>
      </c>
      <c r="CE72" s="13">
        <f>ROUND($G12*'Allocators Calc'!BV72,0)</f>
        <v>0</v>
      </c>
      <c r="CF72" s="11"/>
      <c r="CG72">
        <f>ROUND($G12*'Allocators Calc'!BX72,0)</f>
        <v>0</v>
      </c>
      <c r="CH72">
        <f>ROUND($G12*'Allocators Calc'!BY72,0)</f>
        <v>0</v>
      </c>
      <c r="CI72">
        <f>ROUND($G12*'Allocators Calc'!BZ72,0)</f>
        <v>0</v>
      </c>
      <c r="CJ72">
        <f>ROUND($G12*'Allocators Calc'!CA72,0)</f>
        <v>0</v>
      </c>
      <c r="CK72">
        <f>ROUND($G12*'Allocators Calc'!CB72,0)</f>
        <v>0</v>
      </c>
      <c r="CL72">
        <f>ROUND($G12*'Allocators Calc'!CC72,0)</f>
        <v>0</v>
      </c>
      <c r="CM72">
        <f>ROUND($G12*'Allocators Calc'!CD72,0)</f>
        <v>0</v>
      </c>
      <c r="CN72">
        <f>ROUND($G12*'Allocators Calc'!CE72,0)</f>
        <v>0</v>
      </c>
      <c r="CO72">
        <f>ROUND($G12*'Allocators Calc'!CF72,0)</f>
        <v>0</v>
      </c>
      <c r="CP72">
        <f>ROUND($G12*'Allocators Calc'!CG72,0)</f>
        <v>0</v>
      </c>
      <c r="CQ72" s="11"/>
      <c r="CR72">
        <f>ROUND($G12*'Allocators Calc'!CI72,0)</f>
        <v>0</v>
      </c>
      <c r="CS72">
        <f>ROUND($G12*'Allocators Calc'!CJ72,0)</f>
        <v>0</v>
      </c>
      <c r="CT72" s="13">
        <f>ROUND($G12*'Allocators Calc'!CK72,0)</f>
        <v>0</v>
      </c>
      <c r="CU72">
        <f>ROUND($G12*'Allocators Calc'!CL72,0)</f>
        <v>0</v>
      </c>
      <c r="CV72">
        <f>ROUND($G12*'Allocators Calc'!CM72,0)</f>
        <v>0</v>
      </c>
      <c r="CW72" s="13">
        <f>ROUND($G12*'Allocators Calc'!CN72,0)</f>
        <v>0</v>
      </c>
      <c r="CX72" s="11"/>
      <c r="CY72">
        <f>ROUND($G12*'Allocators Calc'!CP72,0)</f>
        <v>0</v>
      </c>
      <c r="CZ72">
        <f>ROUND($G12*'Allocators Calc'!CQ72,0)</f>
        <v>0</v>
      </c>
      <c r="DA72" s="11"/>
      <c r="DB72">
        <f>ROUND($G12*'Allocators Calc'!CS72,0)</f>
        <v>337900</v>
      </c>
      <c r="DC72">
        <f>ROUND($G12*'Allocators Calc'!CT72,0)</f>
        <v>24300</v>
      </c>
      <c r="DD72">
        <f>ROUND($G12*'Allocators Calc'!CU72,0)</f>
        <v>134751</v>
      </c>
      <c r="DE72">
        <f>ROUND($G12*'Allocators Calc'!CV72,0)</f>
        <v>226719</v>
      </c>
      <c r="DF72">
        <f>ROUND($G12*'Allocators Calc'!CW72,0)</f>
        <v>2848860</v>
      </c>
      <c r="DG72">
        <f>ROUND($G12*'Allocators Calc'!CX72,0)</f>
        <v>285507</v>
      </c>
      <c r="DH72">
        <f>ROUND($G12*'Allocators Calc'!CY72,0)</f>
        <v>6575979</v>
      </c>
      <c r="DI72" s="10">
        <f t="shared" si="36"/>
        <v>874.91199999861419</v>
      </c>
      <c r="DJ72">
        <f>ROUND($G12*'Allocators Calc'!DA72,0)</f>
        <v>221535</v>
      </c>
      <c r="DK72" s="11"/>
      <c r="DL72" s="3">
        <f t="shared" si="37"/>
        <v>10656425.911999999</v>
      </c>
      <c r="DM72" s="3">
        <f t="shared" si="38"/>
        <v>10656425.911999999</v>
      </c>
      <c r="DN72" s="3">
        <f t="shared" si="39"/>
        <v>0</v>
      </c>
    </row>
    <row r="73" spans="11:119" x14ac:dyDescent="0.2">
      <c r="K73" t="s">
        <v>242</v>
      </c>
      <c r="L73">
        <f>ROUND($G13*'Allocators Calc'!C73,0)</f>
        <v>0</v>
      </c>
      <c r="M73">
        <f>ROUND($G13*'Allocators Calc'!D73,0)</f>
        <v>0</v>
      </c>
      <c r="N73">
        <f>ROUND($G13*'Allocators Calc'!E73,0)</f>
        <v>0</v>
      </c>
      <c r="O73" s="13">
        <f>ROUND($G13*'Allocators Calc'!F73,0)</f>
        <v>0</v>
      </c>
      <c r="P73" s="15">
        <f>ROUND($G13*'Allocators Calc'!G73,0)</f>
        <v>0</v>
      </c>
      <c r="Q73">
        <f>ROUND($G13*'Allocators Calc'!H73,0)</f>
        <v>0</v>
      </c>
      <c r="R73">
        <f>ROUND($G13*'Allocators Calc'!I73,0)</f>
        <v>0</v>
      </c>
      <c r="S73">
        <f>ROUND($G13*'Allocators Calc'!J73,0)</f>
        <v>0</v>
      </c>
      <c r="T73" s="13">
        <f>ROUND($G13*'Allocators Calc'!K73,0)</f>
        <v>0</v>
      </c>
      <c r="U73">
        <f>ROUND($G13*'Allocators Calc'!L73,0)</f>
        <v>0</v>
      </c>
      <c r="V73">
        <f>ROUND($G13*'Allocators Calc'!M73,0)</f>
        <v>0</v>
      </c>
      <c r="W73">
        <f>ROUND($G13*'Allocators Calc'!N73,0)</f>
        <v>0</v>
      </c>
      <c r="X73" s="13">
        <f>ROUND($G13*'Allocators Calc'!O73,0)</f>
        <v>0</v>
      </c>
      <c r="Y73">
        <f>ROUND($G13*'Allocators Calc'!P73,0)</f>
        <v>0</v>
      </c>
      <c r="Z73">
        <f>ROUND($G13*'Allocators Calc'!Q73,0)</f>
        <v>0</v>
      </c>
      <c r="AA73">
        <f>ROUND($G13*'Allocators Calc'!R73,0)</f>
        <v>0</v>
      </c>
      <c r="AB73" s="13">
        <f>ROUND($G13*'Allocators Calc'!S73,0)</f>
        <v>0</v>
      </c>
      <c r="AC73">
        <f>ROUND($G13*'Allocators Calc'!T73,0)</f>
        <v>0</v>
      </c>
      <c r="AD73">
        <f>ROUND($G13*'Allocators Calc'!U73,0)</f>
        <v>0</v>
      </c>
      <c r="AE73">
        <f>ROUND($G13*'Allocators Calc'!V73,0)</f>
        <v>0</v>
      </c>
      <c r="AF73">
        <f>ROUND($G13*'Allocators Calc'!W73,0)</f>
        <v>0</v>
      </c>
      <c r="AG73" s="11"/>
      <c r="AH73">
        <f>ROUND($G13*'Allocators Calc'!Y73,0)</f>
        <v>0</v>
      </c>
      <c r="AI73">
        <f>ROUND($G13*'Allocators Calc'!Z73,0)</f>
        <v>0</v>
      </c>
      <c r="AJ73">
        <f>ROUND($G13*'Allocators Calc'!AA73,0)</f>
        <v>0</v>
      </c>
      <c r="AK73">
        <f>ROUND($G13*'Allocators Calc'!AB73,0)</f>
        <v>0</v>
      </c>
      <c r="AL73">
        <f>ROUND($G13*'Allocators Calc'!AC73,0)</f>
        <v>0</v>
      </c>
      <c r="AM73">
        <f>ROUND($G13*'Allocators Calc'!AD73,0)</f>
        <v>0</v>
      </c>
      <c r="AN73">
        <f>ROUND($G13*'Allocators Calc'!AE73,0)</f>
        <v>0</v>
      </c>
      <c r="AO73" s="11"/>
      <c r="AP73">
        <f>ROUND($G13*'Allocators Calc'!AG73,0)</f>
        <v>0</v>
      </c>
      <c r="AQ73">
        <f>ROUND($G13*'Allocators Calc'!AH73,0)</f>
        <v>0</v>
      </c>
      <c r="AR73">
        <f>ROUND($G13*'Allocators Calc'!AI73,0)</f>
        <v>0</v>
      </c>
      <c r="AS73">
        <f>ROUND($G13*'Allocators Calc'!AJ73,0)</f>
        <v>0</v>
      </c>
      <c r="AT73">
        <f>ROUND($G13*'Allocators Calc'!AK73,0)</f>
        <v>0</v>
      </c>
      <c r="AU73" s="13">
        <f>ROUND($G13*'Allocators Calc'!AL73,0)</f>
        <v>0</v>
      </c>
      <c r="AV73">
        <f>ROUND($G13*'Allocators Calc'!AM73,0)</f>
        <v>0</v>
      </c>
      <c r="AW73">
        <f>ROUND($G13*'Allocators Calc'!AN73,0)</f>
        <v>0</v>
      </c>
      <c r="AX73">
        <f>ROUND($G13*'Allocators Calc'!AO73,0)</f>
        <v>0</v>
      </c>
      <c r="AY73">
        <f>ROUND($G13*'Allocators Calc'!AP73,0)</f>
        <v>0</v>
      </c>
      <c r="AZ73">
        <f>ROUND($G13*'Allocators Calc'!AQ73,0)</f>
        <v>0</v>
      </c>
      <c r="BA73" s="13">
        <f>ROUND($G13*'Allocators Calc'!AR73,0)</f>
        <v>0</v>
      </c>
      <c r="BB73">
        <f>ROUND($G13*'Allocators Calc'!AS73,0)</f>
        <v>0</v>
      </c>
      <c r="BC73">
        <f>ROUND($G13*'Allocators Calc'!AT73,0)</f>
        <v>0</v>
      </c>
      <c r="BD73">
        <f>ROUND($G13*'Allocators Calc'!AU73,0)</f>
        <v>0</v>
      </c>
      <c r="BE73">
        <f>ROUND($G13*'Allocators Calc'!AV73,0)</f>
        <v>0</v>
      </c>
      <c r="BF73">
        <f>ROUND($G13*'Allocators Calc'!AW73,0)</f>
        <v>0</v>
      </c>
      <c r="BG73" s="13">
        <f>ROUND($G13*'Allocators Calc'!AX73,0)</f>
        <v>0</v>
      </c>
      <c r="BH73">
        <f>ROUND($G13*'Allocators Calc'!AY73,0)</f>
        <v>0</v>
      </c>
      <c r="BI73">
        <f>ROUND($G13*'Allocators Calc'!AZ73,0)</f>
        <v>0</v>
      </c>
      <c r="BJ73">
        <f>ROUND($G13*'Allocators Calc'!BA73,0)</f>
        <v>0</v>
      </c>
      <c r="BK73">
        <f>ROUND($G13*'Allocators Calc'!BB73,0)</f>
        <v>0</v>
      </c>
      <c r="BL73">
        <f>ROUND($G13*'Allocators Calc'!BC73,0)</f>
        <v>0</v>
      </c>
      <c r="BM73" s="13">
        <f>ROUND($G13*'Allocators Calc'!BD73,0)</f>
        <v>0</v>
      </c>
      <c r="BN73">
        <f>ROUND($G13*'Allocators Calc'!BE73,0)</f>
        <v>0</v>
      </c>
      <c r="BO73">
        <f>ROUND($G13*'Allocators Calc'!BF73,0)</f>
        <v>0</v>
      </c>
      <c r="BP73">
        <f>ROUND($G13*'Allocators Calc'!BG73,0)</f>
        <v>0</v>
      </c>
      <c r="BQ73">
        <f>ROUND($G13*'Allocators Calc'!BH73,0)</f>
        <v>0</v>
      </c>
      <c r="BR73">
        <f>ROUND($G13*'Allocators Calc'!BI73,0)</f>
        <v>0</v>
      </c>
      <c r="BS73" s="13">
        <f>ROUND($G13*'Allocators Calc'!BJ73,0)</f>
        <v>0</v>
      </c>
      <c r="BT73">
        <f>ROUND($G13*'Allocators Calc'!BK73,0)</f>
        <v>0</v>
      </c>
      <c r="BU73">
        <f>ROUND($G13*'Allocators Calc'!BL73,0)</f>
        <v>0</v>
      </c>
      <c r="BV73">
        <f>ROUND($G13*'Allocators Calc'!BM73,0)</f>
        <v>0</v>
      </c>
      <c r="BW73">
        <f>ROUND($G13*'Allocators Calc'!BN73,0)</f>
        <v>0</v>
      </c>
      <c r="BX73">
        <f>ROUND($G13*'Allocators Calc'!BO73,0)</f>
        <v>0</v>
      </c>
      <c r="BY73" s="13">
        <f>ROUND($G13*'Allocators Calc'!BP73,0)</f>
        <v>0</v>
      </c>
      <c r="BZ73">
        <f>ROUND($G13*'Allocators Calc'!BQ73,0)</f>
        <v>0</v>
      </c>
      <c r="CA73">
        <f>ROUND($G13*'Allocators Calc'!BR73,0)</f>
        <v>0</v>
      </c>
      <c r="CB73">
        <f>ROUND($G13*'Allocators Calc'!BS73,0)</f>
        <v>0</v>
      </c>
      <c r="CC73">
        <f>ROUND($G13*'Allocators Calc'!BT73,0)</f>
        <v>0</v>
      </c>
      <c r="CD73">
        <f>ROUND($G13*'Allocators Calc'!BU73,0)</f>
        <v>0</v>
      </c>
      <c r="CE73" s="13">
        <f>ROUND($G13*'Allocators Calc'!BV73,0)</f>
        <v>0</v>
      </c>
      <c r="CF73" s="11"/>
      <c r="CG73">
        <f>ROUND($G13*'Allocators Calc'!BX73,0)</f>
        <v>0</v>
      </c>
      <c r="CH73">
        <f>ROUND($G13*'Allocators Calc'!BY73,0)</f>
        <v>0</v>
      </c>
      <c r="CI73">
        <f>ROUND($G13*'Allocators Calc'!BZ73,0)</f>
        <v>0</v>
      </c>
      <c r="CJ73">
        <f>ROUND($G13*'Allocators Calc'!CA73,0)</f>
        <v>0</v>
      </c>
      <c r="CK73">
        <f>ROUND($G13*'Allocators Calc'!CB73,0)</f>
        <v>0</v>
      </c>
      <c r="CL73">
        <f>ROUND($G13*'Allocators Calc'!CC73,0)</f>
        <v>0</v>
      </c>
      <c r="CM73">
        <f>ROUND($G13*'Allocators Calc'!CD73,0)</f>
        <v>0</v>
      </c>
      <c r="CN73">
        <f>ROUND($G13*'Allocators Calc'!CE73,0)</f>
        <v>0</v>
      </c>
      <c r="CO73">
        <f>ROUND($G13*'Allocators Calc'!CF73,0)</f>
        <v>0</v>
      </c>
      <c r="CP73">
        <f>ROUND($G13*'Allocators Calc'!CG73,0)</f>
        <v>0</v>
      </c>
      <c r="CQ73" s="11"/>
      <c r="CR73">
        <f>ROUND($G13*'Allocators Calc'!CI73,0)</f>
        <v>0</v>
      </c>
      <c r="CS73">
        <f>ROUND($G13*'Allocators Calc'!CJ73,0)</f>
        <v>0</v>
      </c>
      <c r="CT73" s="13">
        <f>ROUND($G13*'Allocators Calc'!CK73,0)</f>
        <v>0</v>
      </c>
      <c r="CU73">
        <f>ROUND($G13*'Allocators Calc'!CL73,0)</f>
        <v>0</v>
      </c>
      <c r="CV73">
        <f>ROUND($G13*'Allocators Calc'!CM73,0)</f>
        <v>0</v>
      </c>
      <c r="CW73" s="13">
        <f>ROUND($G13*'Allocators Calc'!CN73,0)</f>
        <v>0</v>
      </c>
      <c r="CX73" s="11"/>
      <c r="CY73">
        <f>ROUND($G13*'Allocators Calc'!CP73,0)</f>
        <v>0</v>
      </c>
      <c r="CZ73">
        <f>ROUND($G13*'Allocators Calc'!CQ73,0)</f>
        <v>0</v>
      </c>
      <c r="DA73" s="11"/>
      <c r="DB73">
        <f>ROUND($G13*'Allocators Calc'!CS73,0)</f>
        <v>396961</v>
      </c>
      <c r="DC73">
        <f>ROUND($G13*'Allocators Calc'!CT73,0)</f>
        <v>24173</v>
      </c>
      <c r="DD73">
        <f>ROUND($G13*'Allocators Calc'!CU73,0)</f>
        <v>146320</v>
      </c>
      <c r="DE73">
        <f>ROUND($G13*'Allocators Calc'!CV73,0)</f>
        <v>235910</v>
      </c>
      <c r="DF73">
        <f>ROUND($G13*'Allocators Calc'!CW73,0)</f>
        <v>2828029</v>
      </c>
      <c r="DG73">
        <f>ROUND($G13*'Allocators Calc'!CX73,0)</f>
        <v>284019</v>
      </c>
      <c r="DH73">
        <f>ROUND($G13*'Allocators Calc'!CY73,0)</f>
        <v>6477817</v>
      </c>
      <c r="DI73" s="10">
        <f t="shared" si="36"/>
        <v>915.08899999968708</v>
      </c>
      <c r="DJ73">
        <f>ROUND($G13*'Allocators Calc'!DA73,0)</f>
        <v>235806</v>
      </c>
      <c r="DK73" s="11"/>
      <c r="DL73" s="3">
        <f t="shared" si="37"/>
        <v>10629950.089</v>
      </c>
      <c r="DM73" s="3">
        <f t="shared" si="38"/>
        <v>10629950.089</v>
      </c>
      <c r="DN73" s="3">
        <f t="shared" si="39"/>
        <v>0</v>
      </c>
    </row>
    <row r="74" spans="11:119" x14ac:dyDescent="0.2">
      <c r="K74" t="s">
        <v>243</v>
      </c>
      <c r="L74">
        <f>ROUND($G14*'Allocators Calc'!C74,0)</f>
        <v>0</v>
      </c>
      <c r="M74">
        <f>ROUND($G14*'Allocators Calc'!D74,0)</f>
        <v>0</v>
      </c>
      <c r="N74">
        <f>ROUND($G14*'Allocators Calc'!E74,0)</f>
        <v>0</v>
      </c>
      <c r="O74" s="13">
        <f>ROUND($G14*'Allocators Calc'!F74,0)</f>
        <v>0</v>
      </c>
      <c r="P74" s="15">
        <f>ROUND($G14*'Allocators Calc'!G74,0)</f>
        <v>0</v>
      </c>
      <c r="Q74">
        <f>ROUND($G14*'Allocators Calc'!H74,0)</f>
        <v>0</v>
      </c>
      <c r="R74">
        <f>ROUND($G14*'Allocators Calc'!I74,0)</f>
        <v>0</v>
      </c>
      <c r="S74">
        <f>ROUND($G14*'Allocators Calc'!J74,0)</f>
        <v>0</v>
      </c>
      <c r="T74" s="13">
        <f>ROUND($G14*'Allocators Calc'!K74,0)</f>
        <v>0</v>
      </c>
      <c r="U74">
        <f>ROUND($G14*'Allocators Calc'!L74,0)</f>
        <v>0</v>
      </c>
      <c r="V74">
        <f>ROUND($G14*'Allocators Calc'!M74,0)</f>
        <v>0</v>
      </c>
      <c r="W74">
        <f>ROUND($G14*'Allocators Calc'!N74,0)</f>
        <v>0</v>
      </c>
      <c r="X74" s="13">
        <f>ROUND($G14*'Allocators Calc'!O74,0)</f>
        <v>0</v>
      </c>
      <c r="Y74">
        <f>ROUND($G14*'Allocators Calc'!P74,0)</f>
        <v>0</v>
      </c>
      <c r="Z74">
        <f>ROUND($G14*'Allocators Calc'!Q74,0)</f>
        <v>0</v>
      </c>
      <c r="AA74">
        <f>ROUND($G14*'Allocators Calc'!R74,0)</f>
        <v>0</v>
      </c>
      <c r="AB74" s="13">
        <f>ROUND($G14*'Allocators Calc'!S74,0)</f>
        <v>0</v>
      </c>
      <c r="AC74">
        <f>ROUND($G14*'Allocators Calc'!T74,0)</f>
        <v>0</v>
      </c>
      <c r="AD74">
        <f>ROUND($G14*'Allocators Calc'!U74,0)</f>
        <v>0</v>
      </c>
      <c r="AE74">
        <f>ROUND($G14*'Allocators Calc'!V74,0)</f>
        <v>0</v>
      </c>
      <c r="AF74">
        <f>ROUND($G14*'Allocators Calc'!W74,0)</f>
        <v>0</v>
      </c>
      <c r="AG74" s="11"/>
      <c r="AH74">
        <f>ROUND($G14*'Allocators Calc'!Y74,0)</f>
        <v>0</v>
      </c>
      <c r="AI74">
        <f>ROUND($G14*'Allocators Calc'!Z74,0)</f>
        <v>0</v>
      </c>
      <c r="AJ74">
        <f>ROUND($G14*'Allocators Calc'!AA74,0)</f>
        <v>0</v>
      </c>
      <c r="AK74">
        <f>ROUND($G14*'Allocators Calc'!AB74,0)</f>
        <v>0</v>
      </c>
      <c r="AL74">
        <f>ROUND($G14*'Allocators Calc'!AC74,0)</f>
        <v>0</v>
      </c>
      <c r="AM74">
        <f>ROUND($G14*'Allocators Calc'!AD74,0)</f>
        <v>0</v>
      </c>
      <c r="AN74">
        <f>ROUND($G14*'Allocators Calc'!AE74,0)</f>
        <v>0</v>
      </c>
      <c r="AO74" s="11"/>
      <c r="AP74">
        <f>ROUND($G14*'Allocators Calc'!AG74,0)</f>
        <v>0</v>
      </c>
      <c r="AQ74">
        <f>ROUND($G14*'Allocators Calc'!AH74,0)</f>
        <v>0</v>
      </c>
      <c r="AR74">
        <f>ROUND($G14*'Allocators Calc'!AI74,0)</f>
        <v>0</v>
      </c>
      <c r="AS74">
        <f>ROUND($G14*'Allocators Calc'!AJ74,0)</f>
        <v>0</v>
      </c>
      <c r="AT74">
        <f>ROUND($G14*'Allocators Calc'!AK74,0)</f>
        <v>0</v>
      </c>
      <c r="AU74" s="13">
        <f>ROUND($G14*'Allocators Calc'!AL74,0)</f>
        <v>0</v>
      </c>
      <c r="AV74">
        <f>ROUND($G14*'Allocators Calc'!AM74,0)</f>
        <v>0</v>
      </c>
      <c r="AW74">
        <f>ROUND($G14*'Allocators Calc'!AN74,0)</f>
        <v>0</v>
      </c>
      <c r="AX74">
        <f>ROUND($G14*'Allocators Calc'!AO74,0)</f>
        <v>0</v>
      </c>
      <c r="AY74">
        <f>ROUND($G14*'Allocators Calc'!AP74,0)</f>
        <v>0</v>
      </c>
      <c r="AZ74">
        <f>ROUND($G14*'Allocators Calc'!AQ74,0)</f>
        <v>0</v>
      </c>
      <c r="BA74" s="13">
        <f>ROUND($G14*'Allocators Calc'!AR74,0)</f>
        <v>0</v>
      </c>
      <c r="BB74">
        <f>ROUND($G14*'Allocators Calc'!AS74,0)</f>
        <v>0</v>
      </c>
      <c r="BC74">
        <f>ROUND($G14*'Allocators Calc'!AT74,0)</f>
        <v>0</v>
      </c>
      <c r="BD74">
        <f>ROUND($G14*'Allocators Calc'!AU74,0)</f>
        <v>0</v>
      </c>
      <c r="BE74">
        <f>ROUND($G14*'Allocators Calc'!AV74,0)</f>
        <v>0</v>
      </c>
      <c r="BF74">
        <f>ROUND($G14*'Allocators Calc'!AW74,0)</f>
        <v>0</v>
      </c>
      <c r="BG74" s="13">
        <f>ROUND($G14*'Allocators Calc'!AX74,0)</f>
        <v>0</v>
      </c>
      <c r="BH74">
        <f>ROUND($G14*'Allocators Calc'!AY74,0)</f>
        <v>0</v>
      </c>
      <c r="BI74">
        <f>ROUND($G14*'Allocators Calc'!AZ74,0)</f>
        <v>0</v>
      </c>
      <c r="BJ74">
        <f>ROUND($G14*'Allocators Calc'!BA74,0)</f>
        <v>0</v>
      </c>
      <c r="BK74">
        <f>ROUND($G14*'Allocators Calc'!BB74,0)</f>
        <v>0</v>
      </c>
      <c r="BL74">
        <f>ROUND($G14*'Allocators Calc'!BC74,0)</f>
        <v>0</v>
      </c>
      <c r="BM74" s="13">
        <f>ROUND($G14*'Allocators Calc'!BD74,0)</f>
        <v>0</v>
      </c>
      <c r="BN74">
        <f>ROUND($G14*'Allocators Calc'!BE74,0)</f>
        <v>0</v>
      </c>
      <c r="BO74">
        <f>ROUND($G14*'Allocators Calc'!BF74,0)</f>
        <v>0</v>
      </c>
      <c r="BP74">
        <f>ROUND($G14*'Allocators Calc'!BG74,0)</f>
        <v>0</v>
      </c>
      <c r="BQ74">
        <f>ROUND($G14*'Allocators Calc'!BH74,0)</f>
        <v>0</v>
      </c>
      <c r="BR74">
        <f>ROUND($G14*'Allocators Calc'!BI74,0)</f>
        <v>0</v>
      </c>
      <c r="BS74" s="13">
        <f>ROUND($G14*'Allocators Calc'!BJ74,0)</f>
        <v>0</v>
      </c>
      <c r="BT74">
        <f>ROUND($G14*'Allocators Calc'!BK74,0)</f>
        <v>0</v>
      </c>
      <c r="BU74">
        <f>ROUND($G14*'Allocators Calc'!BL74,0)</f>
        <v>0</v>
      </c>
      <c r="BV74">
        <f>ROUND($G14*'Allocators Calc'!BM74,0)</f>
        <v>0</v>
      </c>
      <c r="BW74">
        <f>ROUND($G14*'Allocators Calc'!BN74,0)</f>
        <v>0</v>
      </c>
      <c r="BX74">
        <f>ROUND($G14*'Allocators Calc'!BO74,0)</f>
        <v>0</v>
      </c>
      <c r="BY74" s="13">
        <f>ROUND($G14*'Allocators Calc'!BP74,0)</f>
        <v>0</v>
      </c>
      <c r="BZ74">
        <f>ROUND($G14*'Allocators Calc'!BQ74,0)</f>
        <v>0</v>
      </c>
      <c r="CA74">
        <f>ROUND($G14*'Allocators Calc'!BR74,0)</f>
        <v>0</v>
      </c>
      <c r="CB74">
        <f>ROUND($G14*'Allocators Calc'!BS74,0)</f>
        <v>0</v>
      </c>
      <c r="CC74">
        <f>ROUND($G14*'Allocators Calc'!BT74,0)</f>
        <v>0</v>
      </c>
      <c r="CD74">
        <f>ROUND($G14*'Allocators Calc'!BU74,0)</f>
        <v>0</v>
      </c>
      <c r="CE74" s="13">
        <f>ROUND($G14*'Allocators Calc'!BV74,0)</f>
        <v>0</v>
      </c>
      <c r="CF74" s="11"/>
      <c r="CG74">
        <f>ROUND($G14*'Allocators Calc'!BX74,0)</f>
        <v>0</v>
      </c>
      <c r="CH74">
        <f>ROUND($G14*'Allocators Calc'!BY74,0)</f>
        <v>0</v>
      </c>
      <c r="CI74">
        <f>ROUND($G14*'Allocators Calc'!BZ74,0)</f>
        <v>0</v>
      </c>
      <c r="CJ74">
        <f>ROUND($G14*'Allocators Calc'!CA74,0)</f>
        <v>0</v>
      </c>
      <c r="CK74">
        <f>ROUND($G14*'Allocators Calc'!CB74,0)</f>
        <v>0</v>
      </c>
      <c r="CL74">
        <f>ROUND($G14*'Allocators Calc'!CC74,0)</f>
        <v>0</v>
      </c>
      <c r="CM74">
        <f>ROUND($G14*'Allocators Calc'!CD74,0)</f>
        <v>0</v>
      </c>
      <c r="CN74">
        <f>ROUND($G14*'Allocators Calc'!CE74,0)</f>
        <v>0</v>
      </c>
      <c r="CO74">
        <f>ROUND($G14*'Allocators Calc'!CF74,0)</f>
        <v>0</v>
      </c>
      <c r="CP74">
        <f>ROUND($G14*'Allocators Calc'!CG74,0)</f>
        <v>0</v>
      </c>
      <c r="CQ74" s="11"/>
      <c r="CR74">
        <f>ROUND($G14*'Allocators Calc'!CI74,0)</f>
        <v>0</v>
      </c>
      <c r="CS74">
        <f>ROUND($G14*'Allocators Calc'!CJ74,0)</f>
        <v>0</v>
      </c>
      <c r="CT74" s="13">
        <f>ROUND($G14*'Allocators Calc'!CK74,0)</f>
        <v>0</v>
      </c>
      <c r="CU74">
        <f>ROUND($G14*'Allocators Calc'!CL74,0)</f>
        <v>0</v>
      </c>
      <c r="CV74">
        <f>ROUND($G14*'Allocators Calc'!CM74,0)</f>
        <v>0</v>
      </c>
      <c r="CW74" s="13">
        <f>ROUND($G14*'Allocators Calc'!CN74,0)</f>
        <v>0</v>
      </c>
      <c r="CX74" s="11"/>
      <c r="CY74">
        <f>ROUND($G14*'Allocators Calc'!CP74,0)</f>
        <v>0</v>
      </c>
      <c r="CZ74">
        <f>ROUND($G14*'Allocators Calc'!CQ74,0)</f>
        <v>0</v>
      </c>
      <c r="DA74" s="11"/>
      <c r="DB74">
        <f>ROUND($G14*'Allocators Calc'!CS74,0)</f>
        <v>444527</v>
      </c>
      <c r="DC74">
        <f>ROUND($G14*'Allocators Calc'!CT74,0)</f>
        <v>24035</v>
      </c>
      <c r="DD74">
        <f>ROUND($G14*'Allocators Calc'!CU74,0)</f>
        <v>174960</v>
      </c>
      <c r="DE74">
        <f>ROUND($G14*'Allocators Calc'!CV74,0)</f>
        <v>258714</v>
      </c>
      <c r="DF74">
        <f>ROUND($G14*'Allocators Calc'!CW74,0)</f>
        <v>2803808</v>
      </c>
      <c r="DG74">
        <f>ROUND($G14*'Allocators Calc'!CX74,0)</f>
        <v>282392</v>
      </c>
      <c r="DH74">
        <f>ROUND($G14*'Allocators Calc'!CY74,0)</f>
        <v>6416062</v>
      </c>
      <c r="DI74" s="10">
        <f t="shared" si="36"/>
        <v>1287.2160000000149</v>
      </c>
      <c r="DJ74">
        <f>ROUND($G14*'Allocators Calc'!DA74,0)</f>
        <v>244272</v>
      </c>
      <c r="DK74" s="11"/>
      <c r="DL74" s="3">
        <f t="shared" si="37"/>
        <v>10650057.216</v>
      </c>
      <c r="DM74" s="3">
        <f t="shared" si="38"/>
        <v>10650057.216</v>
      </c>
      <c r="DN74" s="3">
        <f t="shared" si="39"/>
        <v>0</v>
      </c>
      <c r="DO74" s="3">
        <f>SUM(DM63:DM74)</f>
        <v>126249561.64000002</v>
      </c>
    </row>
    <row r="75" spans="11:119" x14ac:dyDescent="0.2">
      <c r="K75" s="11"/>
      <c r="L75" s="11"/>
      <c r="M75" s="11"/>
      <c r="N75" s="11"/>
      <c r="O75" s="14"/>
      <c r="P75" s="16"/>
      <c r="Q75" s="11"/>
      <c r="R75" s="11"/>
      <c r="S75" s="11"/>
      <c r="T75" s="14"/>
      <c r="U75" s="11"/>
      <c r="V75" s="11"/>
      <c r="W75" s="11"/>
      <c r="X75" s="14"/>
      <c r="Y75" s="11"/>
      <c r="Z75" s="11"/>
      <c r="AA75" s="11"/>
      <c r="AB75" s="14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4"/>
      <c r="AV75" s="11"/>
      <c r="AW75" s="11"/>
      <c r="AX75" s="11"/>
      <c r="AY75" s="11"/>
      <c r="AZ75" s="11"/>
      <c r="BA75" s="14"/>
      <c r="BB75" s="11"/>
      <c r="BC75" s="11"/>
      <c r="BD75" s="11"/>
      <c r="BE75" s="11"/>
      <c r="BF75" s="11"/>
      <c r="BG75" s="14"/>
      <c r="BH75" s="11"/>
      <c r="BI75" s="11"/>
      <c r="BJ75" s="11"/>
      <c r="BK75" s="11"/>
      <c r="BL75" s="11"/>
      <c r="BM75" s="14"/>
      <c r="BN75" s="11"/>
      <c r="BO75" s="11"/>
      <c r="BP75" s="11"/>
      <c r="BQ75" s="11"/>
      <c r="BR75" s="11"/>
      <c r="BS75" s="14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3"/>
      <c r="DM75" s="3"/>
    </row>
    <row r="76" spans="11:119" x14ac:dyDescent="0.2">
      <c r="DL76" s="3"/>
      <c r="DM76" s="3"/>
    </row>
    <row r="77" spans="11:119" x14ac:dyDescent="0.2">
      <c r="L77">
        <f>SUM(L3:L74)</f>
        <v>163851777</v>
      </c>
      <c r="M77">
        <f t="shared" ref="M77:AX77" si="40">SUM(M3:M74)</f>
        <v>227071639</v>
      </c>
      <c r="N77">
        <f t="shared" si="40"/>
        <v>240533650</v>
      </c>
      <c r="O77">
        <f t="shared" si="40"/>
        <v>366667737</v>
      </c>
      <c r="P77">
        <f t="shared" si="40"/>
        <v>5015284</v>
      </c>
      <c r="Q77">
        <f t="shared" si="40"/>
        <v>3482</v>
      </c>
      <c r="R77">
        <f t="shared" si="40"/>
        <v>0</v>
      </c>
      <c r="S77">
        <f t="shared" si="40"/>
        <v>0</v>
      </c>
      <c r="T77">
        <f t="shared" si="40"/>
        <v>0</v>
      </c>
      <c r="U77">
        <f t="shared" si="40"/>
        <v>15019493</v>
      </c>
      <c r="V77">
        <f t="shared" si="40"/>
        <v>8063516</v>
      </c>
      <c r="W77">
        <f t="shared" si="40"/>
        <v>983117</v>
      </c>
      <c r="X77">
        <f t="shared" si="40"/>
        <v>785223</v>
      </c>
      <c r="Y77">
        <f t="shared" si="40"/>
        <v>0</v>
      </c>
      <c r="Z77">
        <f t="shared" si="40"/>
        <v>0</v>
      </c>
      <c r="AA77">
        <f t="shared" si="40"/>
        <v>0</v>
      </c>
      <c r="AB77">
        <f t="shared" si="40"/>
        <v>0</v>
      </c>
      <c r="AC77">
        <f t="shared" si="40"/>
        <v>0</v>
      </c>
      <c r="AD77">
        <f t="shared" si="40"/>
        <v>0</v>
      </c>
      <c r="AE77">
        <f t="shared" si="40"/>
        <v>0</v>
      </c>
      <c r="AF77">
        <f t="shared" si="40"/>
        <v>0</v>
      </c>
      <c r="AH77" s="2">
        <f t="shared" si="40"/>
        <v>1420875552</v>
      </c>
      <c r="AI77" s="2">
        <f t="shared" si="40"/>
        <v>1153333103</v>
      </c>
      <c r="AJ77" s="2">
        <f t="shared" si="40"/>
        <v>115388260</v>
      </c>
      <c r="AK77" s="2">
        <f t="shared" si="40"/>
        <v>633047</v>
      </c>
      <c r="AL77" s="2">
        <f t="shared" si="40"/>
        <v>1860228340</v>
      </c>
      <c r="AM77" s="2">
        <f t="shared" si="40"/>
        <v>1828007428</v>
      </c>
      <c r="AN77" s="2">
        <f t="shared" si="40"/>
        <v>3609291516</v>
      </c>
      <c r="AP77">
        <f t="shared" si="40"/>
        <v>112498</v>
      </c>
      <c r="AQ77">
        <f t="shared" si="40"/>
        <v>240889</v>
      </c>
      <c r="AR77">
        <f t="shared" si="40"/>
        <v>438279</v>
      </c>
      <c r="AS77">
        <f t="shared" si="40"/>
        <v>95901096</v>
      </c>
      <c r="AT77">
        <f t="shared" si="40"/>
        <v>38809666</v>
      </c>
      <c r="AU77">
        <f t="shared" si="40"/>
        <v>40198078</v>
      </c>
      <c r="AV77">
        <f t="shared" si="40"/>
        <v>99968</v>
      </c>
      <c r="AW77">
        <f t="shared" si="40"/>
        <v>233261</v>
      </c>
      <c r="AX77">
        <f t="shared" si="40"/>
        <v>499845</v>
      </c>
      <c r="AY77">
        <f t="shared" ref="AY77:DJ77" si="41">SUM(AY3:AY74)</f>
        <v>240458677</v>
      </c>
      <c r="AZ77">
        <f t="shared" si="41"/>
        <v>39023461</v>
      </c>
      <c r="BA77">
        <f t="shared" si="41"/>
        <v>18367268</v>
      </c>
      <c r="BB77">
        <f t="shared" si="41"/>
        <v>670808</v>
      </c>
      <c r="BC77">
        <f t="shared" si="41"/>
        <v>1533656</v>
      </c>
      <c r="BD77">
        <f t="shared" si="41"/>
        <v>3070811</v>
      </c>
      <c r="BE77">
        <f t="shared" si="41"/>
        <v>345266117</v>
      </c>
      <c r="BF77">
        <f t="shared" si="41"/>
        <v>316452849</v>
      </c>
      <c r="BG77">
        <f t="shared" si="41"/>
        <v>27768580</v>
      </c>
      <c r="BH77">
        <f t="shared" si="41"/>
        <v>100589928</v>
      </c>
      <c r="BI77">
        <f t="shared" si="41"/>
        <v>198599957</v>
      </c>
      <c r="BJ77">
        <f t="shared" si="41"/>
        <v>301266387</v>
      </c>
      <c r="BK77">
        <f t="shared" si="41"/>
        <v>1899443294</v>
      </c>
      <c r="BL77">
        <f t="shared" si="41"/>
        <v>1047359504</v>
      </c>
      <c r="BM77">
        <f t="shared" si="41"/>
        <v>767477160</v>
      </c>
      <c r="BN77">
        <f t="shared" si="41"/>
        <v>716953</v>
      </c>
      <c r="BO77">
        <f t="shared" si="41"/>
        <v>1641404</v>
      </c>
      <c r="BP77">
        <f t="shared" si="41"/>
        <v>3432497</v>
      </c>
      <c r="BQ77">
        <f t="shared" si="41"/>
        <v>70237892</v>
      </c>
      <c r="BR77">
        <f t="shared" si="41"/>
        <v>39781119</v>
      </c>
      <c r="BS77">
        <f t="shared" si="41"/>
        <v>42415844</v>
      </c>
      <c r="BT77">
        <f t="shared" si="41"/>
        <v>143682</v>
      </c>
      <c r="BU77">
        <f t="shared" si="41"/>
        <v>400558</v>
      </c>
      <c r="BV77">
        <f t="shared" si="41"/>
        <v>817357</v>
      </c>
      <c r="BW77">
        <f t="shared" si="41"/>
        <v>5645809</v>
      </c>
      <c r="BX77">
        <f t="shared" si="41"/>
        <v>0</v>
      </c>
      <c r="BY77">
        <f t="shared" si="41"/>
        <v>0</v>
      </c>
      <c r="BZ77">
        <f t="shared" ref="BZ77:CE77" si="42">SUM(BZ3:BZ74)</f>
        <v>10431</v>
      </c>
      <c r="CA77">
        <f t="shared" si="42"/>
        <v>19562</v>
      </c>
      <c r="CB77">
        <f t="shared" si="42"/>
        <v>41495</v>
      </c>
      <c r="CC77">
        <f t="shared" si="42"/>
        <v>5658116</v>
      </c>
      <c r="CD77">
        <f t="shared" si="42"/>
        <v>0</v>
      </c>
      <c r="CE77">
        <f t="shared" si="42"/>
        <v>0</v>
      </c>
      <c r="CG77">
        <f t="shared" si="41"/>
        <v>0</v>
      </c>
      <c r="CH77">
        <f t="shared" si="41"/>
        <v>0</v>
      </c>
      <c r="CI77">
        <f t="shared" si="41"/>
        <v>0</v>
      </c>
      <c r="CJ77">
        <f t="shared" si="41"/>
        <v>0</v>
      </c>
      <c r="CK77">
        <f t="shared" si="41"/>
        <v>0</v>
      </c>
      <c r="CL77">
        <f t="shared" si="41"/>
        <v>0</v>
      </c>
      <c r="CM77">
        <f t="shared" si="41"/>
        <v>0</v>
      </c>
      <c r="CN77">
        <f t="shared" si="41"/>
        <v>0</v>
      </c>
      <c r="CO77">
        <f t="shared" si="41"/>
        <v>0</v>
      </c>
      <c r="CP77">
        <f t="shared" si="41"/>
        <v>0</v>
      </c>
      <c r="CR77">
        <f t="shared" si="41"/>
        <v>2610479185</v>
      </c>
      <c r="CS77">
        <f t="shared" si="41"/>
        <v>3756493364</v>
      </c>
      <c r="CT77">
        <f t="shared" si="41"/>
        <v>2170370232</v>
      </c>
      <c r="CU77">
        <f t="shared" si="41"/>
        <v>146889085</v>
      </c>
      <c r="CV77">
        <f t="shared" si="41"/>
        <v>287720199</v>
      </c>
      <c r="CW77">
        <f t="shared" si="41"/>
        <v>281762281</v>
      </c>
      <c r="CY77">
        <f t="shared" si="41"/>
        <v>20059932</v>
      </c>
      <c r="CZ77">
        <f t="shared" si="41"/>
        <v>160102388</v>
      </c>
      <c r="DB77">
        <f t="shared" si="41"/>
        <v>4093997</v>
      </c>
      <c r="DC77">
        <f t="shared" si="41"/>
        <v>290127</v>
      </c>
      <c r="DD77">
        <f t="shared" si="41"/>
        <v>3130048</v>
      </c>
      <c r="DE77">
        <f t="shared" si="41"/>
        <v>2790992</v>
      </c>
      <c r="DF77">
        <f t="shared" si="41"/>
        <v>33320064</v>
      </c>
      <c r="DG77">
        <f t="shared" si="41"/>
        <v>3377765</v>
      </c>
      <c r="DH77">
        <f t="shared" si="41"/>
        <v>85723824</v>
      </c>
      <c r="DI77">
        <f t="shared" si="41"/>
        <v>17183.639999998733</v>
      </c>
      <c r="DJ77">
        <f t="shared" si="41"/>
        <v>3776789</v>
      </c>
      <c r="DL77" s="3">
        <f>SUM(DL3:DL74)</f>
        <v>26240994375.639996</v>
      </c>
      <c r="DM77" s="3">
        <f>SUM(DM3:DM74)</f>
        <v>26240994367.131996</v>
      </c>
    </row>
    <row r="78" spans="11:119" x14ac:dyDescent="0.2">
      <c r="DL78" s="2">
        <f>SUM(L77:DJ77)</f>
        <v>26240994375.639999</v>
      </c>
    </row>
    <row r="80" spans="11:119" x14ac:dyDescent="0.2">
      <c r="CR80" s="2">
        <v>61567.379660181359</v>
      </c>
      <c r="CS80" s="2">
        <v>98686.106177330381</v>
      </c>
      <c r="CT80" s="2">
        <v>90991.135599999994</v>
      </c>
      <c r="CU80" s="2">
        <v>7057.6203398186399</v>
      </c>
      <c r="CV80" s="2">
        <v>14142.893822669623</v>
      </c>
      <c r="CW80" s="2">
        <v>3164.8643999999999</v>
      </c>
    </row>
    <row r="81" spans="96:101" x14ac:dyDescent="0.2">
      <c r="CR81" s="2">
        <v>52172.189848178532</v>
      </c>
      <c r="CS81" s="2">
        <v>76989.901489954937</v>
      </c>
      <c r="CT81" s="2">
        <v>62139.596720000001</v>
      </c>
      <c r="CU81" s="2">
        <v>6558.810151821468</v>
      </c>
      <c r="CV81" s="2">
        <v>10655.098510045069</v>
      </c>
      <c r="CW81" s="2">
        <v>2967.40328</v>
      </c>
    </row>
    <row r="82" spans="96:101" x14ac:dyDescent="0.2">
      <c r="CR82" s="2">
        <v>78370.617097214505</v>
      </c>
      <c r="CS82" s="2">
        <v>107226.57040367964</v>
      </c>
      <c r="CT82" s="2">
        <v>61856.902529999999</v>
      </c>
      <c r="CU82" s="2">
        <v>9882.3829027854899</v>
      </c>
      <c r="CV82" s="2">
        <v>10377.429596320366</v>
      </c>
      <c r="CW82" s="2">
        <v>4687.0974699999997</v>
      </c>
    </row>
    <row r="83" spans="96:101" x14ac:dyDescent="0.2">
      <c r="CR83" s="2">
        <v>57929.259869828653</v>
      </c>
      <c r="CS83" s="2">
        <v>74976.655146796154</v>
      </c>
      <c r="CT83" s="2">
        <v>32534.292130000002</v>
      </c>
      <c r="CU83" s="2">
        <v>7332.7401301713453</v>
      </c>
      <c r="CV83" s="2">
        <v>5586.3448532038447</v>
      </c>
      <c r="CW83" s="2">
        <v>3664.7078700000002</v>
      </c>
    </row>
    <row r="84" spans="96:101" x14ac:dyDescent="0.2">
      <c r="CR84" s="2">
        <v>68170.882327515807</v>
      </c>
      <c r="CS84" s="2">
        <v>79010.628494586097</v>
      </c>
      <c r="CT84" s="2">
        <v>21251.780480000001</v>
      </c>
      <c r="CU84" s="2">
        <v>6478.1176724841907</v>
      </c>
      <c r="CV84" s="2">
        <v>2616.3715054139011</v>
      </c>
      <c r="CW84" s="2">
        <v>3717.2195200000001</v>
      </c>
    </row>
    <row r="85" spans="96:101" x14ac:dyDescent="0.2">
      <c r="CR85" s="2">
        <v>75844.594856832584</v>
      </c>
      <c r="CS85" s="2">
        <v>108698.73120320402</v>
      </c>
      <c r="CT85" s="2">
        <v>47002.148979999998</v>
      </c>
      <c r="CU85" s="2">
        <v>6860.4051431674234</v>
      </c>
      <c r="CV85" s="2">
        <v>3791.2687967959805</v>
      </c>
      <c r="CW85" s="2">
        <v>3923.8510199999996</v>
      </c>
    </row>
    <row r="86" spans="96:101" x14ac:dyDescent="0.2">
      <c r="CR86" s="2">
        <v>71931.315053221464</v>
      </c>
      <c r="CS86" s="2">
        <v>115161.97624372388</v>
      </c>
      <c r="CT86" s="2">
        <v>61329.900289999998</v>
      </c>
      <c r="CU86" s="2">
        <v>7169.6849467785314</v>
      </c>
      <c r="CV86" s="2">
        <v>4450.0237562761149</v>
      </c>
      <c r="CW86" s="2">
        <v>3883.09971</v>
      </c>
    </row>
    <row r="87" spans="96:101" x14ac:dyDescent="0.2">
      <c r="CR87" s="2">
        <v>70072.070017483493</v>
      </c>
      <c r="CS87" s="2">
        <v>122107.98297375509</v>
      </c>
      <c r="CT87" s="2">
        <v>79662.457320000001</v>
      </c>
      <c r="CU87" s="2">
        <v>7793.9299825165026</v>
      </c>
      <c r="CV87" s="2">
        <v>5799.0170262449119</v>
      </c>
      <c r="CW87" s="2">
        <v>3989.54268</v>
      </c>
    </row>
    <row r="88" spans="96:101" x14ac:dyDescent="0.2">
      <c r="CR88" s="2">
        <v>37523.786309824412</v>
      </c>
      <c r="CS88" s="2">
        <v>60996.170385311532</v>
      </c>
      <c r="CT88" s="2">
        <v>33061.985679999998</v>
      </c>
      <c r="CU88" s="2">
        <v>4028.2136901755907</v>
      </c>
      <c r="CV88" s="2">
        <v>2577.8296146884704</v>
      </c>
      <c r="CW88" s="2">
        <v>2157.0143200000002</v>
      </c>
    </row>
    <row r="89" spans="96:101" x14ac:dyDescent="0.2">
      <c r="CR89" s="2">
        <v>43513.701387537592</v>
      </c>
      <c r="CS89" s="2">
        <v>52112.048111375771</v>
      </c>
      <c r="CT89" s="2">
        <v>14368.748100000001</v>
      </c>
      <c r="CU89" s="2">
        <v>4227.2986124624067</v>
      </c>
      <c r="CV89" s="2">
        <v>1623.9518886242297</v>
      </c>
      <c r="CW89" s="2">
        <v>2572.2518999999998</v>
      </c>
    </row>
    <row r="90" spans="96:101" x14ac:dyDescent="0.2">
      <c r="CR90" s="2">
        <v>41040.326980284422</v>
      </c>
      <c r="CS90" s="2">
        <v>50007.05038055357</v>
      </c>
      <c r="CT90" s="2">
        <v>18212.815600000002</v>
      </c>
      <c r="CU90" s="2">
        <v>4831.6730197155784</v>
      </c>
      <c r="CV90" s="2">
        <v>2709.9496194464332</v>
      </c>
      <c r="CW90" s="2">
        <v>2587.1844000000001</v>
      </c>
    </row>
    <row r="91" spans="96:101" x14ac:dyDescent="0.2">
      <c r="CR91" s="2">
        <v>61646.085077625627</v>
      </c>
      <c r="CS91" s="2">
        <v>93315.770163192457</v>
      </c>
      <c r="CT91" s="2">
        <v>71191.069300000003</v>
      </c>
      <c r="CU91" s="2">
        <v>7248.9149223743771</v>
      </c>
      <c r="CV91" s="2">
        <v>10732.229836807543</v>
      </c>
      <c r="CW91" s="2">
        <v>3319.9306999999999</v>
      </c>
    </row>
    <row r="93" spans="96:101" x14ac:dyDescent="0.2">
      <c r="CR93" t="s">
        <v>190</v>
      </c>
      <c r="CU93" t="s">
        <v>28</v>
      </c>
    </row>
    <row r="94" spans="96:101" x14ac:dyDescent="0.2">
      <c r="CR94" t="s">
        <v>223</v>
      </c>
      <c r="CS94" t="s">
        <v>224</v>
      </c>
      <c r="CT94" t="s">
        <v>229</v>
      </c>
      <c r="CU94" t="s">
        <v>223</v>
      </c>
      <c r="CV94" t="s">
        <v>224</v>
      </c>
      <c r="CW94" t="s">
        <v>229</v>
      </c>
    </row>
    <row r="95" spans="96:101" x14ac:dyDescent="0.2"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</row>
    <row r="96" spans="96:101" x14ac:dyDescent="0.2"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</row>
    <row r="97" spans="96:101" x14ac:dyDescent="0.2"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</row>
    <row r="98" spans="96:101" x14ac:dyDescent="0.2"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</row>
    <row r="99" spans="96:101" x14ac:dyDescent="0.2"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</row>
    <row r="100" spans="96:101" x14ac:dyDescent="0.2">
      <c r="CR100">
        <v>177</v>
      </c>
      <c r="CS100">
        <v>0</v>
      </c>
      <c r="CT100">
        <v>0</v>
      </c>
      <c r="CU100">
        <v>0</v>
      </c>
      <c r="CV100">
        <v>0</v>
      </c>
      <c r="CW100">
        <v>0</v>
      </c>
    </row>
    <row r="101" spans="96:101" x14ac:dyDescent="0.2">
      <c r="CR101">
        <v>682</v>
      </c>
      <c r="CS101">
        <v>0</v>
      </c>
      <c r="CT101">
        <v>0</v>
      </c>
      <c r="CU101">
        <v>0</v>
      </c>
      <c r="CV101">
        <v>0</v>
      </c>
      <c r="CW101">
        <v>0</v>
      </c>
    </row>
    <row r="102" spans="96:101" x14ac:dyDescent="0.2">
      <c r="CR102">
        <v>1015</v>
      </c>
      <c r="CS102">
        <v>0</v>
      </c>
      <c r="CT102">
        <v>0</v>
      </c>
      <c r="CU102">
        <v>0</v>
      </c>
      <c r="CV102">
        <v>0</v>
      </c>
      <c r="CW102">
        <v>0</v>
      </c>
    </row>
    <row r="103" spans="96:101" x14ac:dyDescent="0.2"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</row>
    <row r="104" spans="96:101" x14ac:dyDescent="0.2"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</row>
    <row r="105" spans="96:101" x14ac:dyDescent="0.2">
      <c r="CR105">
        <v>697</v>
      </c>
      <c r="CS105">
        <v>0</v>
      </c>
      <c r="CT105">
        <v>0</v>
      </c>
      <c r="CU105">
        <v>0</v>
      </c>
      <c r="CV105">
        <v>0</v>
      </c>
      <c r="CW105">
        <v>0</v>
      </c>
    </row>
    <row r="106" spans="96:101" x14ac:dyDescent="0.2"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</row>
    <row r="108" spans="96:101" x14ac:dyDescent="0.2">
      <c r="CR108" t="s">
        <v>190</v>
      </c>
      <c r="CU108" t="s">
        <v>28</v>
      </c>
    </row>
    <row r="109" spans="96:101" x14ac:dyDescent="0.2">
      <c r="CR109" t="s">
        <v>223</v>
      </c>
      <c r="CS109" t="s">
        <v>224</v>
      </c>
      <c r="CT109" t="s">
        <v>229</v>
      </c>
      <c r="CU109" t="s">
        <v>223</v>
      </c>
      <c r="CV109" t="s">
        <v>224</v>
      </c>
      <c r="CW109" t="s">
        <v>229</v>
      </c>
    </row>
    <row r="110" spans="96:101" x14ac:dyDescent="0.2"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</row>
    <row r="111" spans="96:101" x14ac:dyDescent="0.2"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</row>
    <row r="112" spans="96:101" x14ac:dyDescent="0.2"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</row>
    <row r="113" spans="96:101" x14ac:dyDescent="0.2"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</row>
    <row r="114" spans="96:101" x14ac:dyDescent="0.2"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</row>
    <row r="115" spans="96:101" x14ac:dyDescent="0.2"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</row>
    <row r="116" spans="96:101" x14ac:dyDescent="0.2"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</row>
    <row r="117" spans="96:101" x14ac:dyDescent="0.2"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</row>
    <row r="118" spans="96:101" x14ac:dyDescent="0.2">
      <c r="CR118">
        <v>56</v>
      </c>
      <c r="CS118">
        <v>0</v>
      </c>
      <c r="CT118">
        <v>0</v>
      </c>
      <c r="CU118">
        <v>0</v>
      </c>
      <c r="CV118">
        <v>0</v>
      </c>
      <c r="CW118">
        <v>0</v>
      </c>
    </row>
    <row r="119" spans="96:101" x14ac:dyDescent="0.2"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</row>
    <row r="120" spans="96:101" x14ac:dyDescent="0.2"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</row>
    <row r="121" spans="96:101" x14ac:dyDescent="0.2"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</row>
    <row r="123" spans="96:101" x14ac:dyDescent="0.2">
      <c r="CR123" t="s">
        <v>190</v>
      </c>
      <c r="CU123" t="s">
        <v>28</v>
      </c>
    </row>
    <row r="124" spans="96:101" x14ac:dyDescent="0.2">
      <c r="CR124" t="s">
        <v>223</v>
      </c>
      <c r="CS124" t="s">
        <v>224</v>
      </c>
      <c r="CT124" t="s">
        <v>229</v>
      </c>
      <c r="CU124" t="s">
        <v>223</v>
      </c>
      <c r="CV124" t="s">
        <v>224</v>
      </c>
      <c r="CW124" t="s">
        <v>229</v>
      </c>
    </row>
    <row r="125" spans="96:101" x14ac:dyDescent="0.2"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</row>
    <row r="126" spans="96:101" x14ac:dyDescent="0.2"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</row>
    <row r="127" spans="96:101" x14ac:dyDescent="0.2"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</row>
    <row r="128" spans="96:101" x14ac:dyDescent="0.2"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</row>
    <row r="129" spans="96:101" x14ac:dyDescent="0.2"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</row>
    <row r="130" spans="96:101" x14ac:dyDescent="0.2"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</row>
    <row r="131" spans="96:101" x14ac:dyDescent="0.2"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</row>
    <row r="132" spans="96:101" x14ac:dyDescent="0.2"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</row>
    <row r="133" spans="96:101" x14ac:dyDescent="0.2"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</row>
    <row r="134" spans="96:101" x14ac:dyDescent="0.2"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</row>
    <row r="135" spans="96:101" x14ac:dyDescent="0.2"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</row>
    <row r="136" spans="96:101" x14ac:dyDescent="0.2"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</row>
  </sheetData>
  <mergeCells count="75">
    <mergeCell ref="CY61:CZ61"/>
    <mergeCell ref="AP61:AU61"/>
    <mergeCell ref="L61:O61"/>
    <mergeCell ref="Q61:T61"/>
    <mergeCell ref="U61:X61"/>
    <mergeCell ref="Y61:AB61"/>
    <mergeCell ref="AC61:AF61"/>
    <mergeCell ref="CR61:CT61"/>
    <mergeCell ref="CU61:CW61"/>
    <mergeCell ref="AV61:BA61"/>
    <mergeCell ref="BB61:BG61"/>
    <mergeCell ref="BH61:BM61"/>
    <mergeCell ref="BZ61:CE61"/>
    <mergeCell ref="BN61:BS61"/>
    <mergeCell ref="BT61:BY61"/>
    <mergeCell ref="L16:O16"/>
    <mergeCell ref="Q16:T16"/>
    <mergeCell ref="U16:X16"/>
    <mergeCell ref="Y16:AB16"/>
    <mergeCell ref="AC16:AF16"/>
    <mergeCell ref="L1:O1"/>
    <mergeCell ref="Q1:T1"/>
    <mergeCell ref="U1:X1"/>
    <mergeCell ref="Y1:AB1"/>
    <mergeCell ref="AC1:AF1"/>
    <mergeCell ref="AP1:AU1"/>
    <mergeCell ref="BB16:BG16"/>
    <mergeCell ref="AV1:BA1"/>
    <mergeCell ref="CY46:CZ46"/>
    <mergeCell ref="CY31:CZ31"/>
    <mergeCell ref="BB1:BG1"/>
    <mergeCell ref="BZ31:CE31"/>
    <mergeCell ref="BZ46:CE46"/>
    <mergeCell ref="BN31:BS31"/>
    <mergeCell ref="BT31:BY31"/>
    <mergeCell ref="BT46:BY46"/>
    <mergeCell ref="BN46:BS46"/>
    <mergeCell ref="CR31:CT31"/>
    <mergeCell ref="CU31:CW31"/>
    <mergeCell ref="CR46:CT46"/>
    <mergeCell ref="CU46:CW46"/>
    <mergeCell ref="CY1:CZ1"/>
    <mergeCell ref="BH1:BM1"/>
    <mergeCell ref="BN1:BS1"/>
    <mergeCell ref="BT1:BY1"/>
    <mergeCell ref="BN16:BS16"/>
    <mergeCell ref="BT16:BY16"/>
    <mergeCell ref="BH16:BM16"/>
    <mergeCell ref="BZ1:CE1"/>
    <mergeCell ref="BZ16:CE16"/>
    <mergeCell ref="CY16:CZ16"/>
    <mergeCell ref="CR1:CT1"/>
    <mergeCell ref="CU1:CW1"/>
    <mergeCell ref="CR16:CT16"/>
    <mergeCell ref="CU16:CW16"/>
    <mergeCell ref="AV16:BA16"/>
    <mergeCell ref="AP31:AU31"/>
    <mergeCell ref="AV31:BA31"/>
    <mergeCell ref="AP16:AU16"/>
    <mergeCell ref="BB31:BG31"/>
    <mergeCell ref="AP46:AU46"/>
    <mergeCell ref="AV46:BA46"/>
    <mergeCell ref="BB46:BG46"/>
    <mergeCell ref="BH46:BM46"/>
    <mergeCell ref="L31:O31"/>
    <mergeCell ref="Q31:T31"/>
    <mergeCell ref="U31:X31"/>
    <mergeCell ref="Y31:AB31"/>
    <mergeCell ref="L46:O46"/>
    <mergeCell ref="Q46:T46"/>
    <mergeCell ref="U46:X46"/>
    <mergeCell ref="Y46:AB46"/>
    <mergeCell ref="AC46:AF46"/>
    <mergeCell ref="AC31:AF31"/>
    <mergeCell ref="BH31:BM31"/>
  </mergeCells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Y77"/>
  <sheetViews>
    <sheetView workbookViewId="0">
      <selection activeCell="J7" sqref="J7"/>
    </sheetView>
  </sheetViews>
  <sheetFormatPr defaultRowHeight="12.75" x14ac:dyDescent="0.2"/>
  <cols>
    <col min="1" max="1" width="17.5703125" bestFit="1" customWidth="1"/>
    <col min="2" max="2" width="8.85546875"/>
    <col min="3" max="4" width="14.140625" customWidth="1"/>
    <col min="5" max="5" width="15.140625" bestFit="1" customWidth="1"/>
    <col min="6" max="6" width="15.140625" customWidth="1"/>
    <col min="7" max="7" width="15.140625" bestFit="1" customWidth="1"/>
    <col min="8" max="8" width="18.5703125" customWidth="1"/>
    <col min="9" max="12" width="15.42578125" customWidth="1"/>
    <col min="13" max="13" width="14.140625" bestFit="1" customWidth="1"/>
    <col min="14" max="14" width="14" bestFit="1" customWidth="1"/>
    <col min="15" max="15" width="14" customWidth="1"/>
    <col min="16" max="17" width="12.5703125" bestFit="1" customWidth="1"/>
    <col min="18" max="18" width="13.42578125" customWidth="1"/>
    <col min="19" max="19" width="13.85546875" bestFit="1" customWidth="1"/>
    <col min="20" max="20" width="14.140625" bestFit="1" customWidth="1"/>
    <col min="21" max="23" width="12.5703125" customWidth="1"/>
    <col min="24" max="24" width="13.42578125" customWidth="1"/>
    <col min="25" max="25" width="13.85546875" customWidth="1"/>
    <col min="26" max="26" width="14.140625" customWidth="1"/>
    <col min="27" max="29" width="12.5703125" customWidth="1"/>
    <col min="30" max="30" width="13.42578125" customWidth="1"/>
    <col min="31" max="31" width="13.85546875" customWidth="1"/>
    <col min="32" max="32" width="14.140625" customWidth="1"/>
    <col min="33" max="35" width="12.5703125" customWidth="1"/>
    <col min="36" max="36" width="13.42578125" customWidth="1"/>
    <col min="37" max="37" width="13.85546875" customWidth="1"/>
    <col min="38" max="38" width="14.140625" bestFit="1" customWidth="1"/>
    <col min="39" max="41" width="12.5703125" customWidth="1"/>
    <col min="42" max="42" width="13.42578125" customWidth="1"/>
    <col min="43" max="43" width="13.85546875" bestFit="1" customWidth="1"/>
    <col min="44" max="44" width="14.140625" bestFit="1" customWidth="1"/>
    <col min="45" max="47" width="12.5703125" customWidth="1"/>
    <col min="48" max="48" width="13.42578125" customWidth="1"/>
    <col min="49" max="49" width="13.85546875" bestFit="1" customWidth="1"/>
    <col min="50" max="50" width="14.140625" bestFit="1" customWidth="1"/>
    <col min="51" max="53" width="12.5703125" customWidth="1"/>
    <col min="54" max="54" width="13.42578125" bestFit="1" customWidth="1"/>
    <col min="55" max="55" width="13.85546875" bestFit="1" customWidth="1"/>
    <col min="56" max="56" width="14.140625" customWidth="1"/>
    <col min="57" max="59" width="12.5703125" bestFit="1" customWidth="1"/>
    <col min="60" max="60" width="13.42578125" bestFit="1" customWidth="1"/>
    <col min="61" max="61" width="13.85546875" bestFit="1" customWidth="1"/>
    <col min="62" max="62" width="14.140625" bestFit="1" customWidth="1"/>
    <col min="63" max="65" width="12.5703125" bestFit="1" customWidth="1"/>
    <col min="66" max="66" width="13.42578125" bestFit="1" customWidth="1"/>
    <col min="67" max="67" width="13.85546875" bestFit="1" customWidth="1"/>
    <col min="68" max="68" width="14.140625" bestFit="1" customWidth="1"/>
    <col min="69" max="71" width="12.5703125" bestFit="1" customWidth="1"/>
    <col min="72" max="72" width="13.42578125" bestFit="1" customWidth="1"/>
    <col min="73" max="73" width="13.85546875" bestFit="1" customWidth="1"/>
    <col min="74" max="74" width="14.140625" bestFit="1" customWidth="1"/>
    <col min="75" max="77" width="12.5703125" bestFit="1" customWidth="1"/>
    <col min="78" max="78" width="13.42578125" bestFit="1" customWidth="1"/>
    <col min="79" max="79" width="13.85546875" bestFit="1" customWidth="1"/>
    <col min="80" max="80" width="14.140625" bestFit="1" customWidth="1"/>
    <col min="81" max="83" width="12.5703125" bestFit="1" customWidth="1"/>
    <col min="84" max="84" width="13.42578125" bestFit="1" customWidth="1"/>
    <col min="85" max="85" width="13.85546875" bestFit="1" customWidth="1"/>
    <col min="86" max="86" width="14.140625" bestFit="1" customWidth="1"/>
    <col min="87" max="89" width="12.5703125" bestFit="1" customWidth="1"/>
    <col min="90" max="90" width="13.42578125" bestFit="1" customWidth="1"/>
    <col min="91" max="91" width="13.85546875" bestFit="1" customWidth="1"/>
    <col min="92" max="92" width="14.140625" bestFit="1" customWidth="1"/>
    <col min="93" max="93" width="12.5703125" bestFit="1" customWidth="1"/>
    <col min="94" max="94" width="15.7109375" bestFit="1" customWidth="1"/>
    <col min="95" max="95" width="13.7109375" bestFit="1" customWidth="1"/>
    <col min="96" max="96" width="14.7109375" bestFit="1" customWidth="1"/>
    <col min="97" max="97" width="15.140625" bestFit="1" customWidth="1"/>
    <col min="98" max="98" width="15.42578125" bestFit="1" customWidth="1"/>
    <col min="99" max="99" width="11.7109375" bestFit="1" customWidth="1"/>
    <col min="100" max="101" width="8.85546875"/>
    <col min="102" max="102" width="11.42578125" bestFit="1" customWidth="1"/>
    <col min="103" max="107" width="8.85546875"/>
    <col min="108" max="108" width="15.42578125" bestFit="1" customWidth="1"/>
    <col min="109" max="262" width="8.85546875"/>
    <col min="263" max="263" width="10.140625" bestFit="1" customWidth="1"/>
    <col min="264" max="264" width="14" customWidth="1"/>
    <col min="265" max="265" width="10" customWidth="1"/>
    <col min="266" max="270" width="8.85546875"/>
    <col min="271" max="271" width="10.5703125" bestFit="1" customWidth="1"/>
    <col min="272" max="272" width="11.42578125" bestFit="1" customWidth="1"/>
    <col min="273" max="273" width="9.42578125" bestFit="1" customWidth="1"/>
    <col min="274" max="274" width="8.85546875"/>
    <col min="275" max="275" width="9.5703125" bestFit="1" customWidth="1"/>
    <col min="276" max="277" width="8.85546875"/>
    <col min="278" max="278" width="9.5703125" bestFit="1" customWidth="1"/>
    <col min="279" max="293" width="8.85546875"/>
    <col min="294" max="294" width="9.5703125" bestFit="1" customWidth="1"/>
    <col min="295" max="296" width="8.85546875"/>
    <col min="297" max="297" width="9.5703125" bestFit="1" customWidth="1"/>
    <col min="298" max="303" width="8.85546875"/>
    <col min="304" max="304" width="9.5703125" bestFit="1" customWidth="1"/>
    <col min="305" max="306" width="8.85546875"/>
    <col min="307" max="307" width="9.5703125" bestFit="1" customWidth="1"/>
    <col min="308" max="309" width="8.85546875"/>
    <col min="310" max="310" width="9.5703125" bestFit="1" customWidth="1"/>
    <col min="311" max="518" width="8.85546875"/>
    <col min="519" max="519" width="10.140625" bestFit="1" customWidth="1"/>
    <col min="520" max="520" width="14" customWidth="1"/>
    <col min="521" max="521" width="10" customWidth="1"/>
    <col min="522" max="526" width="8.85546875"/>
    <col min="527" max="527" width="10.5703125" bestFit="1" customWidth="1"/>
    <col min="528" max="528" width="11.42578125" bestFit="1" customWidth="1"/>
    <col min="529" max="529" width="9.42578125" bestFit="1" customWidth="1"/>
    <col min="530" max="530" width="8.85546875"/>
    <col min="531" max="531" width="9.5703125" bestFit="1" customWidth="1"/>
    <col min="532" max="533" width="8.85546875"/>
    <col min="534" max="534" width="9.5703125" bestFit="1" customWidth="1"/>
    <col min="535" max="549" width="8.85546875"/>
    <col min="550" max="550" width="9.5703125" bestFit="1" customWidth="1"/>
    <col min="551" max="552" width="8.85546875"/>
    <col min="553" max="553" width="9.5703125" bestFit="1" customWidth="1"/>
    <col min="554" max="559" width="8.85546875"/>
    <col min="560" max="560" width="9.5703125" bestFit="1" customWidth="1"/>
    <col min="561" max="562" width="8.85546875"/>
    <col min="563" max="563" width="9.5703125" bestFit="1" customWidth="1"/>
    <col min="564" max="565" width="8.85546875"/>
    <col min="566" max="566" width="9.5703125" bestFit="1" customWidth="1"/>
    <col min="567" max="774" width="8.85546875"/>
    <col min="775" max="775" width="10.140625" bestFit="1" customWidth="1"/>
    <col min="776" max="776" width="14" customWidth="1"/>
    <col min="777" max="777" width="10" customWidth="1"/>
    <col min="778" max="782" width="8.85546875"/>
    <col min="783" max="783" width="10.5703125" bestFit="1" customWidth="1"/>
    <col min="784" max="784" width="11.42578125" bestFit="1" customWidth="1"/>
    <col min="785" max="785" width="9.42578125" bestFit="1" customWidth="1"/>
    <col min="786" max="786" width="8.85546875"/>
    <col min="787" max="787" width="9.5703125" bestFit="1" customWidth="1"/>
    <col min="788" max="789" width="8.85546875"/>
    <col min="790" max="790" width="9.5703125" bestFit="1" customWidth="1"/>
    <col min="791" max="805" width="8.85546875"/>
    <col min="806" max="806" width="9.5703125" bestFit="1" customWidth="1"/>
    <col min="807" max="808" width="8.85546875"/>
    <col min="809" max="809" width="9.5703125" bestFit="1" customWidth="1"/>
    <col min="810" max="815" width="8.85546875"/>
    <col min="816" max="816" width="9.5703125" bestFit="1" customWidth="1"/>
    <col min="817" max="818" width="8.85546875"/>
    <col min="819" max="819" width="9.5703125" bestFit="1" customWidth="1"/>
    <col min="820" max="821" width="8.85546875"/>
    <col min="822" max="822" width="9.5703125" bestFit="1" customWidth="1"/>
    <col min="823" max="1030" width="8.85546875"/>
    <col min="1031" max="1031" width="10.140625" bestFit="1" customWidth="1"/>
    <col min="1032" max="1032" width="14" customWidth="1"/>
    <col min="1033" max="1033" width="10" customWidth="1"/>
    <col min="1034" max="1038" width="8.85546875"/>
    <col min="1039" max="1039" width="10.5703125" bestFit="1" customWidth="1"/>
    <col min="1040" max="1040" width="11.42578125" bestFit="1" customWidth="1"/>
    <col min="1041" max="1041" width="9.42578125" bestFit="1" customWidth="1"/>
    <col min="1042" max="1042" width="8.85546875"/>
    <col min="1043" max="1043" width="9.5703125" bestFit="1" customWidth="1"/>
    <col min="1044" max="1045" width="8.85546875"/>
    <col min="1046" max="1046" width="9.5703125" bestFit="1" customWidth="1"/>
    <col min="1047" max="1061" width="8.85546875"/>
    <col min="1062" max="1062" width="9.5703125" bestFit="1" customWidth="1"/>
    <col min="1063" max="1064" width="8.85546875"/>
    <col min="1065" max="1065" width="9.5703125" bestFit="1" customWidth="1"/>
    <col min="1066" max="1071" width="8.85546875"/>
    <col min="1072" max="1072" width="9.5703125" bestFit="1" customWidth="1"/>
    <col min="1073" max="1074" width="8.85546875"/>
    <col min="1075" max="1075" width="9.5703125" bestFit="1" customWidth="1"/>
    <col min="1076" max="1077" width="8.85546875"/>
    <col min="1078" max="1078" width="9.5703125" bestFit="1" customWidth="1"/>
    <col min="1079" max="1286" width="8.85546875"/>
    <col min="1287" max="1287" width="10.140625" bestFit="1" customWidth="1"/>
    <col min="1288" max="1288" width="14" customWidth="1"/>
    <col min="1289" max="1289" width="10" customWidth="1"/>
    <col min="1290" max="1294" width="8.85546875"/>
    <col min="1295" max="1295" width="10.5703125" bestFit="1" customWidth="1"/>
    <col min="1296" max="1296" width="11.42578125" bestFit="1" customWidth="1"/>
    <col min="1297" max="1297" width="9.42578125" bestFit="1" customWidth="1"/>
    <col min="1298" max="1298" width="8.85546875"/>
    <col min="1299" max="1299" width="9.5703125" bestFit="1" customWidth="1"/>
    <col min="1300" max="1301" width="8.85546875"/>
    <col min="1302" max="1302" width="9.5703125" bestFit="1" customWidth="1"/>
    <col min="1303" max="1317" width="8.85546875"/>
    <col min="1318" max="1318" width="9.5703125" bestFit="1" customWidth="1"/>
    <col min="1319" max="1320" width="8.85546875"/>
    <col min="1321" max="1321" width="9.5703125" bestFit="1" customWidth="1"/>
    <col min="1322" max="1327" width="8.85546875"/>
    <col min="1328" max="1328" width="9.5703125" bestFit="1" customWidth="1"/>
    <col min="1329" max="1330" width="8.85546875"/>
    <col min="1331" max="1331" width="9.5703125" bestFit="1" customWidth="1"/>
    <col min="1332" max="1333" width="8.85546875"/>
    <col min="1334" max="1334" width="9.5703125" bestFit="1" customWidth="1"/>
    <col min="1335" max="1542" width="8.85546875"/>
    <col min="1543" max="1543" width="10.140625" bestFit="1" customWidth="1"/>
    <col min="1544" max="1544" width="14" customWidth="1"/>
    <col min="1545" max="1545" width="10" customWidth="1"/>
    <col min="1546" max="1550" width="8.85546875"/>
    <col min="1551" max="1551" width="10.5703125" bestFit="1" customWidth="1"/>
    <col min="1552" max="1552" width="11.42578125" bestFit="1" customWidth="1"/>
    <col min="1553" max="1553" width="9.42578125" bestFit="1" customWidth="1"/>
    <col min="1554" max="1554" width="8.85546875"/>
    <col min="1555" max="1555" width="9.5703125" bestFit="1" customWidth="1"/>
    <col min="1556" max="1557" width="8.85546875"/>
    <col min="1558" max="1558" width="9.5703125" bestFit="1" customWidth="1"/>
    <col min="1559" max="1573" width="8.85546875"/>
    <col min="1574" max="1574" width="9.5703125" bestFit="1" customWidth="1"/>
    <col min="1575" max="1576" width="8.85546875"/>
    <col min="1577" max="1577" width="9.5703125" bestFit="1" customWidth="1"/>
    <col min="1578" max="1583" width="8.85546875"/>
    <col min="1584" max="1584" width="9.5703125" bestFit="1" customWidth="1"/>
    <col min="1585" max="1586" width="8.85546875"/>
    <col min="1587" max="1587" width="9.5703125" bestFit="1" customWidth="1"/>
    <col min="1588" max="1589" width="8.85546875"/>
    <col min="1590" max="1590" width="9.5703125" bestFit="1" customWidth="1"/>
    <col min="1591" max="1798" width="8.85546875"/>
    <col min="1799" max="1799" width="10.140625" bestFit="1" customWidth="1"/>
    <col min="1800" max="1800" width="14" customWidth="1"/>
    <col min="1801" max="1801" width="10" customWidth="1"/>
    <col min="1802" max="1806" width="8.85546875"/>
    <col min="1807" max="1807" width="10.5703125" bestFit="1" customWidth="1"/>
    <col min="1808" max="1808" width="11.42578125" bestFit="1" customWidth="1"/>
    <col min="1809" max="1809" width="9.42578125" bestFit="1" customWidth="1"/>
    <col min="1810" max="1810" width="8.85546875"/>
    <col min="1811" max="1811" width="9.5703125" bestFit="1" customWidth="1"/>
    <col min="1812" max="1813" width="8.85546875"/>
    <col min="1814" max="1814" width="9.5703125" bestFit="1" customWidth="1"/>
    <col min="1815" max="1829" width="8.85546875"/>
    <col min="1830" max="1830" width="9.5703125" bestFit="1" customWidth="1"/>
    <col min="1831" max="1832" width="8.85546875"/>
    <col min="1833" max="1833" width="9.5703125" bestFit="1" customWidth="1"/>
    <col min="1834" max="1839" width="8.85546875"/>
    <col min="1840" max="1840" width="9.5703125" bestFit="1" customWidth="1"/>
    <col min="1841" max="1842" width="8.85546875"/>
    <col min="1843" max="1843" width="9.5703125" bestFit="1" customWidth="1"/>
    <col min="1844" max="1845" width="8.85546875"/>
    <col min="1846" max="1846" width="9.5703125" bestFit="1" customWidth="1"/>
    <col min="1847" max="2054" width="8.85546875"/>
    <col min="2055" max="2055" width="10.140625" bestFit="1" customWidth="1"/>
    <col min="2056" max="2056" width="14" customWidth="1"/>
    <col min="2057" max="2057" width="10" customWidth="1"/>
    <col min="2058" max="2062" width="8.85546875"/>
    <col min="2063" max="2063" width="10.5703125" bestFit="1" customWidth="1"/>
    <col min="2064" max="2064" width="11.42578125" bestFit="1" customWidth="1"/>
    <col min="2065" max="2065" width="9.42578125" bestFit="1" customWidth="1"/>
    <col min="2066" max="2066" width="8.85546875"/>
    <col min="2067" max="2067" width="9.5703125" bestFit="1" customWidth="1"/>
    <col min="2068" max="2069" width="8.85546875"/>
    <col min="2070" max="2070" width="9.5703125" bestFit="1" customWidth="1"/>
    <col min="2071" max="2085" width="8.85546875"/>
    <col min="2086" max="2086" width="9.5703125" bestFit="1" customWidth="1"/>
    <col min="2087" max="2088" width="8.85546875"/>
    <col min="2089" max="2089" width="9.5703125" bestFit="1" customWidth="1"/>
    <col min="2090" max="2095" width="8.85546875"/>
    <col min="2096" max="2096" width="9.5703125" bestFit="1" customWidth="1"/>
    <col min="2097" max="2098" width="8.85546875"/>
    <col min="2099" max="2099" width="9.5703125" bestFit="1" customWidth="1"/>
    <col min="2100" max="2101" width="8.85546875"/>
    <col min="2102" max="2102" width="9.5703125" bestFit="1" customWidth="1"/>
    <col min="2103" max="2310" width="8.85546875"/>
    <col min="2311" max="2311" width="10.140625" bestFit="1" customWidth="1"/>
    <col min="2312" max="2312" width="14" customWidth="1"/>
    <col min="2313" max="2313" width="10" customWidth="1"/>
    <col min="2314" max="2318" width="8.85546875"/>
    <col min="2319" max="2319" width="10.5703125" bestFit="1" customWidth="1"/>
    <col min="2320" max="2320" width="11.42578125" bestFit="1" customWidth="1"/>
    <col min="2321" max="2321" width="9.42578125" bestFit="1" customWidth="1"/>
    <col min="2322" max="2322" width="8.85546875"/>
    <col min="2323" max="2323" width="9.5703125" bestFit="1" customWidth="1"/>
    <col min="2324" max="2325" width="8.85546875"/>
    <col min="2326" max="2326" width="9.5703125" bestFit="1" customWidth="1"/>
    <col min="2327" max="2341" width="8.85546875"/>
    <col min="2342" max="2342" width="9.5703125" bestFit="1" customWidth="1"/>
    <col min="2343" max="2344" width="8.85546875"/>
    <col min="2345" max="2345" width="9.5703125" bestFit="1" customWidth="1"/>
    <col min="2346" max="2351" width="8.85546875"/>
    <col min="2352" max="2352" width="9.5703125" bestFit="1" customWidth="1"/>
    <col min="2353" max="2354" width="8.85546875"/>
    <col min="2355" max="2355" width="9.5703125" bestFit="1" customWidth="1"/>
    <col min="2356" max="2357" width="8.85546875"/>
    <col min="2358" max="2358" width="9.5703125" bestFit="1" customWidth="1"/>
    <col min="2359" max="2566" width="8.85546875"/>
    <col min="2567" max="2567" width="10.140625" bestFit="1" customWidth="1"/>
    <col min="2568" max="2568" width="14" customWidth="1"/>
    <col min="2569" max="2569" width="10" customWidth="1"/>
    <col min="2570" max="2574" width="8.85546875"/>
    <col min="2575" max="2575" width="10.5703125" bestFit="1" customWidth="1"/>
    <col min="2576" max="2576" width="11.42578125" bestFit="1" customWidth="1"/>
    <col min="2577" max="2577" width="9.42578125" bestFit="1" customWidth="1"/>
    <col min="2578" max="2578" width="8.85546875"/>
    <col min="2579" max="2579" width="9.5703125" bestFit="1" customWidth="1"/>
    <col min="2580" max="2581" width="8.85546875"/>
    <col min="2582" max="2582" width="9.5703125" bestFit="1" customWidth="1"/>
    <col min="2583" max="2597" width="8.85546875"/>
    <col min="2598" max="2598" width="9.5703125" bestFit="1" customWidth="1"/>
    <col min="2599" max="2600" width="8.85546875"/>
    <col min="2601" max="2601" width="9.5703125" bestFit="1" customWidth="1"/>
    <col min="2602" max="2607" width="8.85546875"/>
    <col min="2608" max="2608" width="9.5703125" bestFit="1" customWidth="1"/>
    <col min="2609" max="2610" width="8.85546875"/>
    <col min="2611" max="2611" width="9.5703125" bestFit="1" customWidth="1"/>
    <col min="2612" max="2613" width="8.85546875"/>
    <col min="2614" max="2614" width="9.5703125" bestFit="1" customWidth="1"/>
    <col min="2615" max="2822" width="8.85546875"/>
    <col min="2823" max="2823" width="10.140625" bestFit="1" customWidth="1"/>
    <col min="2824" max="2824" width="14" customWidth="1"/>
    <col min="2825" max="2825" width="10" customWidth="1"/>
    <col min="2826" max="2830" width="8.85546875"/>
    <col min="2831" max="2831" width="10.5703125" bestFit="1" customWidth="1"/>
    <col min="2832" max="2832" width="11.42578125" bestFit="1" customWidth="1"/>
    <col min="2833" max="2833" width="9.42578125" bestFit="1" customWidth="1"/>
    <col min="2834" max="2834" width="8.85546875"/>
    <col min="2835" max="2835" width="9.5703125" bestFit="1" customWidth="1"/>
    <col min="2836" max="2837" width="8.85546875"/>
    <col min="2838" max="2838" width="9.5703125" bestFit="1" customWidth="1"/>
    <col min="2839" max="2853" width="8.85546875"/>
    <col min="2854" max="2854" width="9.5703125" bestFit="1" customWidth="1"/>
    <col min="2855" max="2856" width="8.85546875"/>
    <col min="2857" max="2857" width="9.5703125" bestFit="1" customWidth="1"/>
    <col min="2858" max="2863" width="8.85546875"/>
    <col min="2864" max="2864" width="9.5703125" bestFit="1" customWidth="1"/>
    <col min="2865" max="2866" width="8.85546875"/>
    <col min="2867" max="2867" width="9.5703125" bestFit="1" customWidth="1"/>
    <col min="2868" max="2869" width="8.85546875"/>
    <col min="2870" max="2870" width="9.5703125" bestFit="1" customWidth="1"/>
    <col min="2871" max="3078" width="8.85546875"/>
    <col min="3079" max="3079" width="10.140625" bestFit="1" customWidth="1"/>
    <col min="3080" max="3080" width="14" customWidth="1"/>
    <col min="3081" max="3081" width="10" customWidth="1"/>
    <col min="3082" max="3086" width="8.85546875"/>
    <col min="3087" max="3087" width="10.5703125" bestFit="1" customWidth="1"/>
    <col min="3088" max="3088" width="11.42578125" bestFit="1" customWidth="1"/>
    <col min="3089" max="3089" width="9.42578125" bestFit="1" customWidth="1"/>
    <col min="3090" max="3090" width="8.85546875"/>
    <col min="3091" max="3091" width="9.5703125" bestFit="1" customWidth="1"/>
    <col min="3092" max="3093" width="8.85546875"/>
    <col min="3094" max="3094" width="9.5703125" bestFit="1" customWidth="1"/>
    <col min="3095" max="3109" width="8.85546875"/>
    <col min="3110" max="3110" width="9.5703125" bestFit="1" customWidth="1"/>
    <col min="3111" max="3112" width="8.85546875"/>
    <col min="3113" max="3113" width="9.5703125" bestFit="1" customWidth="1"/>
    <col min="3114" max="3119" width="8.85546875"/>
    <col min="3120" max="3120" width="9.5703125" bestFit="1" customWidth="1"/>
    <col min="3121" max="3122" width="8.85546875"/>
    <col min="3123" max="3123" width="9.5703125" bestFit="1" customWidth="1"/>
    <col min="3124" max="3125" width="8.85546875"/>
    <col min="3126" max="3126" width="9.5703125" bestFit="1" customWidth="1"/>
    <col min="3127" max="3334" width="8.85546875"/>
    <col min="3335" max="3335" width="10.140625" bestFit="1" customWidth="1"/>
    <col min="3336" max="3336" width="14" customWidth="1"/>
    <col min="3337" max="3337" width="10" customWidth="1"/>
    <col min="3338" max="3342" width="8.85546875"/>
    <col min="3343" max="3343" width="10.5703125" bestFit="1" customWidth="1"/>
    <col min="3344" max="3344" width="11.42578125" bestFit="1" customWidth="1"/>
    <col min="3345" max="3345" width="9.42578125" bestFit="1" customWidth="1"/>
    <col min="3346" max="3346" width="8.85546875"/>
    <col min="3347" max="3347" width="9.5703125" bestFit="1" customWidth="1"/>
    <col min="3348" max="3349" width="8.85546875"/>
    <col min="3350" max="3350" width="9.5703125" bestFit="1" customWidth="1"/>
    <col min="3351" max="3365" width="8.85546875"/>
    <col min="3366" max="3366" width="9.5703125" bestFit="1" customWidth="1"/>
    <col min="3367" max="3368" width="8.85546875"/>
    <col min="3369" max="3369" width="9.5703125" bestFit="1" customWidth="1"/>
    <col min="3370" max="3375" width="8.85546875"/>
    <col min="3376" max="3376" width="9.5703125" bestFit="1" customWidth="1"/>
    <col min="3377" max="3378" width="8.85546875"/>
    <col min="3379" max="3379" width="9.5703125" bestFit="1" customWidth="1"/>
    <col min="3380" max="3381" width="8.85546875"/>
    <col min="3382" max="3382" width="9.5703125" bestFit="1" customWidth="1"/>
    <col min="3383" max="3590" width="8.85546875"/>
    <col min="3591" max="3591" width="10.140625" bestFit="1" customWidth="1"/>
    <col min="3592" max="3592" width="14" customWidth="1"/>
    <col min="3593" max="3593" width="10" customWidth="1"/>
    <col min="3594" max="3598" width="8.85546875"/>
    <col min="3599" max="3599" width="10.5703125" bestFit="1" customWidth="1"/>
    <col min="3600" max="3600" width="11.42578125" bestFit="1" customWidth="1"/>
    <col min="3601" max="3601" width="9.42578125" bestFit="1" customWidth="1"/>
    <col min="3602" max="3602" width="8.85546875"/>
    <col min="3603" max="3603" width="9.5703125" bestFit="1" customWidth="1"/>
    <col min="3604" max="3605" width="8.85546875"/>
    <col min="3606" max="3606" width="9.5703125" bestFit="1" customWidth="1"/>
    <col min="3607" max="3621" width="8.85546875"/>
    <col min="3622" max="3622" width="9.5703125" bestFit="1" customWidth="1"/>
    <col min="3623" max="3624" width="8.85546875"/>
    <col min="3625" max="3625" width="9.5703125" bestFit="1" customWidth="1"/>
    <col min="3626" max="3631" width="8.85546875"/>
    <col min="3632" max="3632" width="9.5703125" bestFit="1" customWidth="1"/>
    <col min="3633" max="3634" width="8.85546875"/>
    <col min="3635" max="3635" width="9.5703125" bestFit="1" customWidth="1"/>
    <col min="3636" max="3637" width="8.85546875"/>
    <col min="3638" max="3638" width="9.5703125" bestFit="1" customWidth="1"/>
    <col min="3639" max="3846" width="8.85546875"/>
    <col min="3847" max="3847" width="10.140625" bestFit="1" customWidth="1"/>
    <col min="3848" max="3848" width="14" customWidth="1"/>
    <col min="3849" max="3849" width="10" customWidth="1"/>
    <col min="3850" max="3854" width="8.85546875"/>
    <col min="3855" max="3855" width="10.5703125" bestFit="1" customWidth="1"/>
    <col min="3856" max="3856" width="11.42578125" bestFit="1" customWidth="1"/>
    <col min="3857" max="3857" width="9.42578125" bestFit="1" customWidth="1"/>
    <col min="3858" max="3858" width="8.85546875"/>
    <col min="3859" max="3859" width="9.5703125" bestFit="1" customWidth="1"/>
    <col min="3860" max="3861" width="8.85546875"/>
    <col min="3862" max="3862" width="9.5703125" bestFit="1" customWidth="1"/>
    <col min="3863" max="3877" width="8.85546875"/>
    <col min="3878" max="3878" width="9.5703125" bestFit="1" customWidth="1"/>
    <col min="3879" max="3880" width="8.85546875"/>
    <col min="3881" max="3881" width="9.5703125" bestFit="1" customWidth="1"/>
    <col min="3882" max="3887" width="8.85546875"/>
    <col min="3888" max="3888" width="9.5703125" bestFit="1" customWidth="1"/>
    <col min="3889" max="3890" width="8.85546875"/>
    <col min="3891" max="3891" width="9.5703125" bestFit="1" customWidth="1"/>
    <col min="3892" max="3893" width="8.85546875"/>
    <col min="3894" max="3894" width="9.5703125" bestFit="1" customWidth="1"/>
    <col min="3895" max="4102" width="8.85546875"/>
    <col min="4103" max="4103" width="10.140625" bestFit="1" customWidth="1"/>
    <col min="4104" max="4104" width="14" customWidth="1"/>
    <col min="4105" max="4105" width="10" customWidth="1"/>
    <col min="4106" max="4110" width="8.85546875"/>
    <col min="4111" max="4111" width="10.5703125" bestFit="1" customWidth="1"/>
    <col min="4112" max="4112" width="11.42578125" bestFit="1" customWidth="1"/>
    <col min="4113" max="4113" width="9.42578125" bestFit="1" customWidth="1"/>
    <col min="4114" max="4114" width="8.85546875"/>
    <col min="4115" max="4115" width="9.5703125" bestFit="1" customWidth="1"/>
    <col min="4116" max="4117" width="8.85546875"/>
    <col min="4118" max="4118" width="9.5703125" bestFit="1" customWidth="1"/>
    <col min="4119" max="4133" width="8.85546875"/>
    <col min="4134" max="4134" width="9.5703125" bestFit="1" customWidth="1"/>
    <col min="4135" max="4136" width="8.85546875"/>
    <col min="4137" max="4137" width="9.5703125" bestFit="1" customWidth="1"/>
    <col min="4138" max="4143" width="8.85546875"/>
    <col min="4144" max="4144" width="9.5703125" bestFit="1" customWidth="1"/>
    <col min="4145" max="4146" width="8.85546875"/>
    <col min="4147" max="4147" width="9.5703125" bestFit="1" customWidth="1"/>
    <col min="4148" max="4149" width="8.85546875"/>
    <col min="4150" max="4150" width="9.5703125" bestFit="1" customWidth="1"/>
    <col min="4151" max="4358" width="8.85546875"/>
    <col min="4359" max="4359" width="10.140625" bestFit="1" customWidth="1"/>
    <col min="4360" max="4360" width="14" customWidth="1"/>
    <col min="4361" max="4361" width="10" customWidth="1"/>
    <col min="4362" max="4366" width="8.85546875"/>
    <col min="4367" max="4367" width="10.5703125" bestFit="1" customWidth="1"/>
    <col min="4368" max="4368" width="11.42578125" bestFit="1" customWidth="1"/>
    <col min="4369" max="4369" width="9.42578125" bestFit="1" customWidth="1"/>
    <col min="4370" max="4370" width="8.85546875"/>
    <col min="4371" max="4371" width="9.5703125" bestFit="1" customWidth="1"/>
    <col min="4372" max="4373" width="8.85546875"/>
    <col min="4374" max="4374" width="9.5703125" bestFit="1" customWidth="1"/>
    <col min="4375" max="4389" width="8.85546875"/>
    <col min="4390" max="4390" width="9.5703125" bestFit="1" customWidth="1"/>
    <col min="4391" max="4392" width="8.85546875"/>
    <col min="4393" max="4393" width="9.5703125" bestFit="1" customWidth="1"/>
    <col min="4394" max="4399" width="8.85546875"/>
    <col min="4400" max="4400" width="9.5703125" bestFit="1" customWidth="1"/>
    <col min="4401" max="4402" width="8.85546875"/>
    <col min="4403" max="4403" width="9.5703125" bestFit="1" customWidth="1"/>
    <col min="4404" max="4405" width="8.85546875"/>
    <col min="4406" max="4406" width="9.5703125" bestFit="1" customWidth="1"/>
    <col min="4407" max="4614" width="8.85546875"/>
    <col min="4615" max="4615" width="10.140625" bestFit="1" customWidth="1"/>
    <col min="4616" max="4616" width="14" customWidth="1"/>
    <col min="4617" max="4617" width="10" customWidth="1"/>
    <col min="4618" max="4622" width="8.85546875"/>
    <col min="4623" max="4623" width="10.5703125" bestFit="1" customWidth="1"/>
    <col min="4624" max="4624" width="11.42578125" bestFit="1" customWidth="1"/>
    <col min="4625" max="4625" width="9.42578125" bestFit="1" customWidth="1"/>
    <col min="4626" max="4626" width="8.85546875"/>
    <col min="4627" max="4627" width="9.5703125" bestFit="1" customWidth="1"/>
    <col min="4628" max="4629" width="8.85546875"/>
    <col min="4630" max="4630" width="9.5703125" bestFit="1" customWidth="1"/>
    <col min="4631" max="4645" width="8.85546875"/>
    <col min="4646" max="4646" width="9.5703125" bestFit="1" customWidth="1"/>
    <col min="4647" max="4648" width="8.85546875"/>
    <col min="4649" max="4649" width="9.5703125" bestFit="1" customWidth="1"/>
    <col min="4650" max="4655" width="8.85546875"/>
    <col min="4656" max="4656" width="9.5703125" bestFit="1" customWidth="1"/>
    <col min="4657" max="4658" width="8.85546875"/>
    <col min="4659" max="4659" width="9.5703125" bestFit="1" customWidth="1"/>
    <col min="4660" max="4661" width="8.85546875"/>
    <col min="4662" max="4662" width="9.5703125" bestFit="1" customWidth="1"/>
    <col min="4663" max="4870" width="8.85546875"/>
    <col min="4871" max="4871" width="10.140625" bestFit="1" customWidth="1"/>
    <col min="4872" max="4872" width="14" customWidth="1"/>
    <col min="4873" max="4873" width="10" customWidth="1"/>
    <col min="4874" max="4878" width="8.85546875"/>
    <col min="4879" max="4879" width="10.5703125" bestFit="1" customWidth="1"/>
    <col min="4880" max="4880" width="11.42578125" bestFit="1" customWidth="1"/>
    <col min="4881" max="4881" width="9.42578125" bestFit="1" customWidth="1"/>
    <col min="4882" max="4882" width="8.85546875"/>
    <col min="4883" max="4883" width="9.5703125" bestFit="1" customWidth="1"/>
    <col min="4884" max="4885" width="8.85546875"/>
    <col min="4886" max="4886" width="9.5703125" bestFit="1" customWidth="1"/>
    <col min="4887" max="4901" width="8.85546875"/>
    <col min="4902" max="4902" width="9.5703125" bestFit="1" customWidth="1"/>
    <col min="4903" max="4904" width="8.85546875"/>
    <col min="4905" max="4905" width="9.5703125" bestFit="1" customWidth="1"/>
    <col min="4906" max="4911" width="8.85546875"/>
    <col min="4912" max="4912" width="9.5703125" bestFit="1" customWidth="1"/>
    <col min="4913" max="4914" width="8.85546875"/>
    <col min="4915" max="4915" width="9.5703125" bestFit="1" customWidth="1"/>
    <col min="4916" max="4917" width="8.85546875"/>
    <col min="4918" max="4918" width="9.5703125" bestFit="1" customWidth="1"/>
    <col min="4919" max="5126" width="8.85546875"/>
    <col min="5127" max="5127" width="10.140625" bestFit="1" customWidth="1"/>
    <col min="5128" max="5128" width="14" customWidth="1"/>
    <col min="5129" max="5129" width="10" customWidth="1"/>
    <col min="5130" max="5134" width="8.85546875"/>
    <col min="5135" max="5135" width="10.5703125" bestFit="1" customWidth="1"/>
    <col min="5136" max="5136" width="11.42578125" bestFit="1" customWidth="1"/>
    <col min="5137" max="5137" width="9.42578125" bestFit="1" customWidth="1"/>
    <col min="5138" max="5138" width="8.85546875"/>
    <col min="5139" max="5139" width="9.5703125" bestFit="1" customWidth="1"/>
    <col min="5140" max="5141" width="8.85546875"/>
    <col min="5142" max="5142" width="9.5703125" bestFit="1" customWidth="1"/>
    <col min="5143" max="5157" width="8.85546875"/>
    <col min="5158" max="5158" width="9.5703125" bestFit="1" customWidth="1"/>
    <col min="5159" max="5160" width="8.85546875"/>
    <col min="5161" max="5161" width="9.5703125" bestFit="1" customWidth="1"/>
    <col min="5162" max="5167" width="8.85546875"/>
    <col min="5168" max="5168" width="9.5703125" bestFit="1" customWidth="1"/>
    <col min="5169" max="5170" width="8.85546875"/>
    <col min="5171" max="5171" width="9.5703125" bestFit="1" customWidth="1"/>
    <col min="5172" max="5173" width="8.85546875"/>
    <col min="5174" max="5174" width="9.5703125" bestFit="1" customWidth="1"/>
    <col min="5175" max="5382" width="8.85546875"/>
    <col min="5383" max="5383" width="10.140625" bestFit="1" customWidth="1"/>
    <col min="5384" max="5384" width="14" customWidth="1"/>
    <col min="5385" max="5385" width="10" customWidth="1"/>
    <col min="5386" max="5390" width="8.85546875"/>
    <col min="5391" max="5391" width="10.5703125" bestFit="1" customWidth="1"/>
    <col min="5392" max="5392" width="11.42578125" bestFit="1" customWidth="1"/>
    <col min="5393" max="5393" width="9.42578125" bestFit="1" customWidth="1"/>
    <col min="5394" max="5394" width="8.85546875"/>
    <col min="5395" max="5395" width="9.5703125" bestFit="1" customWidth="1"/>
    <col min="5396" max="5397" width="8.85546875"/>
    <col min="5398" max="5398" width="9.5703125" bestFit="1" customWidth="1"/>
    <col min="5399" max="5413" width="8.85546875"/>
    <col min="5414" max="5414" width="9.5703125" bestFit="1" customWidth="1"/>
    <col min="5415" max="5416" width="8.85546875"/>
    <col min="5417" max="5417" width="9.5703125" bestFit="1" customWidth="1"/>
    <col min="5418" max="5423" width="8.85546875"/>
    <col min="5424" max="5424" width="9.5703125" bestFit="1" customWidth="1"/>
    <col min="5425" max="5426" width="8.85546875"/>
    <col min="5427" max="5427" width="9.5703125" bestFit="1" customWidth="1"/>
    <col min="5428" max="5429" width="8.85546875"/>
    <col min="5430" max="5430" width="9.5703125" bestFit="1" customWidth="1"/>
    <col min="5431" max="5638" width="8.85546875"/>
    <col min="5639" max="5639" width="10.140625" bestFit="1" customWidth="1"/>
    <col min="5640" max="5640" width="14" customWidth="1"/>
    <col min="5641" max="5641" width="10" customWidth="1"/>
    <col min="5642" max="5646" width="8.85546875"/>
    <col min="5647" max="5647" width="10.5703125" bestFit="1" customWidth="1"/>
    <col min="5648" max="5648" width="11.42578125" bestFit="1" customWidth="1"/>
    <col min="5649" max="5649" width="9.42578125" bestFit="1" customWidth="1"/>
    <col min="5650" max="5650" width="8.85546875"/>
    <col min="5651" max="5651" width="9.5703125" bestFit="1" customWidth="1"/>
    <col min="5652" max="5653" width="8.85546875"/>
    <col min="5654" max="5654" width="9.5703125" bestFit="1" customWidth="1"/>
    <col min="5655" max="5669" width="8.85546875"/>
    <col min="5670" max="5670" width="9.5703125" bestFit="1" customWidth="1"/>
    <col min="5671" max="5672" width="8.85546875"/>
    <col min="5673" max="5673" width="9.5703125" bestFit="1" customWidth="1"/>
    <col min="5674" max="5679" width="8.85546875"/>
    <col min="5680" max="5680" width="9.5703125" bestFit="1" customWidth="1"/>
    <col min="5681" max="5682" width="8.85546875"/>
    <col min="5683" max="5683" width="9.5703125" bestFit="1" customWidth="1"/>
    <col min="5684" max="5685" width="8.85546875"/>
    <col min="5686" max="5686" width="9.5703125" bestFit="1" customWidth="1"/>
    <col min="5687" max="5894" width="8.85546875"/>
    <col min="5895" max="5895" width="10.140625" bestFit="1" customWidth="1"/>
    <col min="5896" max="5896" width="14" customWidth="1"/>
    <col min="5897" max="5897" width="10" customWidth="1"/>
    <col min="5898" max="5902" width="8.85546875"/>
    <col min="5903" max="5903" width="10.5703125" bestFit="1" customWidth="1"/>
    <col min="5904" max="5904" width="11.42578125" bestFit="1" customWidth="1"/>
    <col min="5905" max="5905" width="9.42578125" bestFit="1" customWidth="1"/>
    <col min="5906" max="5906" width="8.85546875"/>
    <col min="5907" max="5907" width="9.5703125" bestFit="1" customWidth="1"/>
    <col min="5908" max="5909" width="8.85546875"/>
    <col min="5910" max="5910" width="9.5703125" bestFit="1" customWidth="1"/>
    <col min="5911" max="5925" width="8.85546875"/>
    <col min="5926" max="5926" width="9.5703125" bestFit="1" customWidth="1"/>
    <col min="5927" max="5928" width="8.85546875"/>
    <col min="5929" max="5929" width="9.5703125" bestFit="1" customWidth="1"/>
    <col min="5930" max="5935" width="8.85546875"/>
    <col min="5936" max="5936" width="9.5703125" bestFit="1" customWidth="1"/>
    <col min="5937" max="5938" width="8.85546875"/>
    <col min="5939" max="5939" width="9.5703125" bestFit="1" customWidth="1"/>
    <col min="5940" max="5941" width="8.85546875"/>
    <col min="5942" max="5942" width="9.5703125" bestFit="1" customWidth="1"/>
    <col min="5943" max="6150" width="8.85546875"/>
    <col min="6151" max="6151" width="10.140625" bestFit="1" customWidth="1"/>
    <col min="6152" max="6152" width="14" customWidth="1"/>
    <col min="6153" max="6153" width="10" customWidth="1"/>
    <col min="6154" max="6158" width="8.85546875"/>
    <col min="6159" max="6159" width="10.5703125" bestFit="1" customWidth="1"/>
    <col min="6160" max="6160" width="11.42578125" bestFit="1" customWidth="1"/>
    <col min="6161" max="6161" width="9.42578125" bestFit="1" customWidth="1"/>
    <col min="6162" max="6162" width="8.85546875"/>
    <col min="6163" max="6163" width="9.5703125" bestFit="1" customWidth="1"/>
    <col min="6164" max="6165" width="8.85546875"/>
    <col min="6166" max="6166" width="9.5703125" bestFit="1" customWidth="1"/>
    <col min="6167" max="6181" width="8.85546875"/>
    <col min="6182" max="6182" width="9.5703125" bestFit="1" customWidth="1"/>
    <col min="6183" max="6184" width="8.85546875"/>
    <col min="6185" max="6185" width="9.5703125" bestFit="1" customWidth="1"/>
    <col min="6186" max="6191" width="8.85546875"/>
    <col min="6192" max="6192" width="9.5703125" bestFit="1" customWidth="1"/>
    <col min="6193" max="6194" width="8.85546875"/>
    <col min="6195" max="6195" width="9.5703125" bestFit="1" customWidth="1"/>
    <col min="6196" max="6197" width="8.85546875"/>
    <col min="6198" max="6198" width="9.5703125" bestFit="1" customWidth="1"/>
    <col min="6199" max="6406" width="8.85546875"/>
    <col min="6407" max="6407" width="10.140625" bestFit="1" customWidth="1"/>
    <col min="6408" max="6408" width="14" customWidth="1"/>
    <col min="6409" max="6409" width="10" customWidth="1"/>
    <col min="6410" max="6414" width="8.85546875"/>
    <col min="6415" max="6415" width="10.5703125" bestFit="1" customWidth="1"/>
    <col min="6416" max="6416" width="11.42578125" bestFit="1" customWidth="1"/>
    <col min="6417" max="6417" width="9.42578125" bestFit="1" customWidth="1"/>
    <col min="6418" max="6418" width="8.85546875"/>
    <col min="6419" max="6419" width="9.5703125" bestFit="1" customWidth="1"/>
    <col min="6420" max="6421" width="8.85546875"/>
    <col min="6422" max="6422" width="9.5703125" bestFit="1" customWidth="1"/>
    <col min="6423" max="6437" width="8.85546875"/>
    <col min="6438" max="6438" width="9.5703125" bestFit="1" customWidth="1"/>
    <col min="6439" max="6440" width="8.85546875"/>
    <col min="6441" max="6441" width="9.5703125" bestFit="1" customWidth="1"/>
    <col min="6442" max="6447" width="8.85546875"/>
    <col min="6448" max="6448" width="9.5703125" bestFit="1" customWidth="1"/>
    <col min="6449" max="6450" width="8.85546875"/>
    <col min="6451" max="6451" width="9.5703125" bestFit="1" customWidth="1"/>
    <col min="6452" max="6453" width="8.85546875"/>
    <col min="6454" max="6454" width="9.5703125" bestFit="1" customWidth="1"/>
    <col min="6455" max="6662" width="8.85546875"/>
    <col min="6663" max="6663" width="10.140625" bestFit="1" customWidth="1"/>
    <col min="6664" max="6664" width="14" customWidth="1"/>
    <col min="6665" max="6665" width="10" customWidth="1"/>
    <col min="6666" max="6670" width="8.85546875"/>
    <col min="6671" max="6671" width="10.5703125" bestFit="1" customWidth="1"/>
    <col min="6672" max="6672" width="11.42578125" bestFit="1" customWidth="1"/>
    <col min="6673" max="6673" width="9.42578125" bestFit="1" customWidth="1"/>
    <col min="6674" max="6674" width="8.85546875"/>
    <col min="6675" max="6675" width="9.5703125" bestFit="1" customWidth="1"/>
    <col min="6676" max="6677" width="8.85546875"/>
    <col min="6678" max="6678" width="9.5703125" bestFit="1" customWidth="1"/>
    <col min="6679" max="6693" width="8.85546875"/>
    <col min="6694" max="6694" width="9.5703125" bestFit="1" customWidth="1"/>
    <col min="6695" max="6696" width="8.85546875"/>
    <col min="6697" max="6697" width="9.5703125" bestFit="1" customWidth="1"/>
    <col min="6698" max="6703" width="8.85546875"/>
    <col min="6704" max="6704" width="9.5703125" bestFit="1" customWidth="1"/>
    <col min="6705" max="6706" width="8.85546875"/>
    <col min="6707" max="6707" width="9.5703125" bestFit="1" customWidth="1"/>
    <col min="6708" max="6709" width="8.85546875"/>
    <col min="6710" max="6710" width="9.5703125" bestFit="1" customWidth="1"/>
    <col min="6711" max="6918" width="8.85546875"/>
    <col min="6919" max="6919" width="10.140625" bestFit="1" customWidth="1"/>
    <col min="6920" max="6920" width="14" customWidth="1"/>
    <col min="6921" max="6921" width="10" customWidth="1"/>
    <col min="6922" max="6926" width="8.85546875"/>
    <col min="6927" max="6927" width="10.5703125" bestFit="1" customWidth="1"/>
    <col min="6928" max="6928" width="11.42578125" bestFit="1" customWidth="1"/>
    <col min="6929" max="6929" width="9.42578125" bestFit="1" customWidth="1"/>
    <col min="6930" max="6930" width="8.85546875"/>
    <col min="6931" max="6931" width="9.5703125" bestFit="1" customWidth="1"/>
    <col min="6932" max="6933" width="8.85546875"/>
    <col min="6934" max="6934" width="9.5703125" bestFit="1" customWidth="1"/>
    <col min="6935" max="6949" width="8.85546875"/>
    <col min="6950" max="6950" width="9.5703125" bestFit="1" customWidth="1"/>
    <col min="6951" max="6952" width="8.85546875"/>
    <col min="6953" max="6953" width="9.5703125" bestFit="1" customWidth="1"/>
    <col min="6954" max="6959" width="8.85546875"/>
    <col min="6960" max="6960" width="9.5703125" bestFit="1" customWidth="1"/>
    <col min="6961" max="6962" width="8.85546875"/>
    <col min="6963" max="6963" width="9.5703125" bestFit="1" customWidth="1"/>
    <col min="6964" max="6965" width="8.85546875"/>
    <col min="6966" max="6966" width="9.5703125" bestFit="1" customWidth="1"/>
    <col min="6967" max="7174" width="8.85546875"/>
    <col min="7175" max="7175" width="10.140625" bestFit="1" customWidth="1"/>
    <col min="7176" max="7176" width="14" customWidth="1"/>
    <col min="7177" max="7177" width="10" customWidth="1"/>
    <col min="7178" max="7182" width="8.85546875"/>
    <col min="7183" max="7183" width="10.5703125" bestFit="1" customWidth="1"/>
    <col min="7184" max="7184" width="11.42578125" bestFit="1" customWidth="1"/>
    <col min="7185" max="7185" width="9.42578125" bestFit="1" customWidth="1"/>
    <col min="7186" max="7186" width="8.85546875"/>
    <col min="7187" max="7187" width="9.5703125" bestFit="1" customWidth="1"/>
    <col min="7188" max="7189" width="8.85546875"/>
    <col min="7190" max="7190" width="9.5703125" bestFit="1" customWidth="1"/>
    <col min="7191" max="7205" width="8.85546875"/>
    <col min="7206" max="7206" width="9.5703125" bestFit="1" customWidth="1"/>
    <col min="7207" max="7208" width="8.85546875"/>
    <col min="7209" max="7209" width="9.5703125" bestFit="1" customWidth="1"/>
    <col min="7210" max="7215" width="8.85546875"/>
    <col min="7216" max="7216" width="9.5703125" bestFit="1" customWidth="1"/>
    <col min="7217" max="7218" width="8.85546875"/>
    <col min="7219" max="7219" width="9.5703125" bestFit="1" customWidth="1"/>
    <col min="7220" max="7221" width="8.85546875"/>
    <col min="7222" max="7222" width="9.5703125" bestFit="1" customWidth="1"/>
    <col min="7223" max="7430" width="8.85546875"/>
    <col min="7431" max="7431" width="10.140625" bestFit="1" customWidth="1"/>
    <col min="7432" max="7432" width="14" customWidth="1"/>
    <col min="7433" max="7433" width="10" customWidth="1"/>
    <col min="7434" max="7438" width="8.85546875"/>
    <col min="7439" max="7439" width="10.5703125" bestFit="1" customWidth="1"/>
    <col min="7440" max="7440" width="11.42578125" bestFit="1" customWidth="1"/>
    <col min="7441" max="7441" width="9.42578125" bestFit="1" customWidth="1"/>
    <col min="7442" max="7442" width="8.85546875"/>
    <col min="7443" max="7443" width="9.5703125" bestFit="1" customWidth="1"/>
    <col min="7444" max="7445" width="8.85546875"/>
    <col min="7446" max="7446" width="9.5703125" bestFit="1" customWidth="1"/>
    <col min="7447" max="7461" width="8.85546875"/>
    <col min="7462" max="7462" width="9.5703125" bestFit="1" customWidth="1"/>
    <col min="7463" max="7464" width="8.85546875"/>
    <col min="7465" max="7465" width="9.5703125" bestFit="1" customWidth="1"/>
    <col min="7466" max="7471" width="8.85546875"/>
    <col min="7472" max="7472" width="9.5703125" bestFit="1" customWidth="1"/>
    <col min="7473" max="7474" width="8.85546875"/>
    <col min="7475" max="7475" width="9.5703125" bestFit="1" customWidth="1"/>
    <col min="7476" max="7477" width="8.85546875"/>
    <col min="7478" max="7478" width="9.5703125" bestFit="1" customWidth="1"/>
    <col min="7479" max="7686" width="8.85546875"/>
    <col min="7687" max="7687" width="10.140625" bestFit="1" customWidth="1"/>
    <col min="7688" max="7688" width="14" customWidth="1"/>
    <col min="7689" max="7689" width="10" customWidth="1"/>
    <col min="7690" max="7694" width="8.85546875"/>
    <col min="7695" max="7695" width="10.5703125" bestFit="1" customWidth="1"/>
    <col min="7696" max="7696" width="11.42578125" bestFit="1" customWidth="1"/>
    <col min="7697" max="7697" width="9.42578125" bestFit="1" customWidth="1"/>
    <col min="7698" max="7698" width="8.85546875"/>
    <col min="7699" max="7699" width="9.5703125" bestFit="1" customWidth="1"/>
    <col min="7700" max="7701" width="8.85546875"/>
    <col min="7702" max="7702" width="9.5703125" bestFit="1" customWidth="1"/>
    <col min="7703" max="7717" width="8.85546875"/>
    <col min="7718" max="7718" width="9.5703125" bestFit="1" customWidth="1"/>
    <col min="7719" max="7720" width="8.85546875"/>
    <col min="7721" max="7721" width="9.5703125" bestFit="1" customWidth="1"/>
    <col min="7722" max="7727" width="8.85546875"/>
    <col min="7728" max="7728" width="9.5703125" bestFit="1" customWidth="1"/>
    <col min="7729" max="7730" width="8.85546875"/>
    <col min="7731" max="7731" width="9.5703125" bestFit="1" customWidth="1"/>
    <col min="7732" max="7733" width="8.85546875"/>
    <col min="7734" max="7734" width="9.5703125" bestFit="1" customWidth="1"/>
    <col min="7735" max="7942" width="8.85546875"/>
    <col min="7943" max="7943" width="10.140625" bestFit="1" customWidth="1"/>
    <col min="7944" max="7944" width="14" customWidth="1"/>
    <col min="7945" max="7945" width="10" customWidth="1"/>
    <col min="7946" max="7950" width="8.85546875"/>
    <col min="7951" max="7951" width="10.5703125" bestFit="1" customWidth="1"/>
    <col min="7952" max="7952" width="11.42578125" bestFit="1" customWidth="1"/>
    <col min="7953" max="7953" width="9.42578125" bestFit="1" customWidth="1"/>
    <col min="7954" max="7954" width="8.85546875"/>
    <col min="7955" max="7955" width="9.5703125" bestFit="1" customWidth="1"/>
    <col min="7956" max="7957" width="8.85546875"/>
    <col min="7958" max="7958" width="9.5703125" bestFit="1" customWidth="1"/>
    <col min="7959" max="7973" width="8.85546875"/>
    <col min="7974" max="7974" width="9.5703125" bestFit="1" customWidth="1"/>
    <col min="7975" max="7976" width="8.85546875"/>
    <col min="7977" max="7977" width="9.5703125" bestFit="1" customWidth="1"/>
    <col min="7978" max="7983" width="8.85546875"/>
    <col min="7984" max="7984" width="9.5703125" bestFit="1" customWidth="1"/>
    <col min="7985" max="7986" width="8.85546875"/>
    <col min="7987" max="7987" width="9.5703125" bestFit="1" customWidth="1"/>
    <col min="7988" max="7989" width="8.85546875"/>
    <col min="7990" max="7990" width="9.5703125" bestFit="1" customWidth="1"/>
    <col min="7991" max="8198" width="8.85546875"/>
    <col min="8199" max="8199" width="10.140625" bestFit="1" customWidth="1"/>
    <col min="8200" max="8200" width="14" customWidth="1"/>
    <col min="8201" max="8201" width="10" customWidth="1"/>
    <col min="8202" max="8206" width="8.85546875"/>
    <col min="8207" max="8207" width="10.5703125" bestFit="1" customWidth="1"/>
    <col min="8208" max="8208" width="11.42578125" bestFit="1" customWidth="1"/>
    <col min="8209" max="8209" width="9.42578125" bestFit="1" customWidth="1"/>
    <col min="8210" max="8210" width="8.85546875"/>
    <col min="8211" max="8211" width="9.5703125" bestFit="1" customWidth="1"/>
    <col min="8212" max="8213" width="8.85546875"/>
    <col min="8214" max="8214" width="9.5703125" bestFit="1" customWidth="1"/>
    <col min="8215" max="8229" width="8.85546875"/>
    <col min="8230" max="8230" width="9.5703125" bestFit="1" customWidth="1"/>
    <col min="8231" max="8232" width="8.85546875"/>
    <col min="8233" max="8233" width="9.5703125" bestFit="1" customWidth="1"/>
    <col min="8234" max="8239" width="8.85546875"/>
    <col min="8240" max="8240" width="9.5703125" bestFit="1" customWidth="1"/>
    <col min="8241" max="8242" width="8.85546875"/>
    <col min="8243" max="8243" width="9.5703125" bestFit="1" customWidth="1"/>
    <col min="8244" max="8245" width="8.85546875"/>
    <col min="8246" max="8246" width="9.5703125" bestFit="1" customWidth="1"/>
    <col min="8247" max="8454" width="8.85546875"/>
    <col min="8455" max="8455" width="10.140625" bestFit="1" customWidth="1"/>
    <col min="8456" max="8456" width="14" customWidth="1"/>
    <col min="8457" max="8457" width="10" customWidth="1"/>
    <col min="8458" max="8462" width="8.85546875"/>
    <col min="8463" max="8463" width="10.5703125" bestFit="1" customWidth="1"/>
    <col min="8464" max="8464" width="11.42578125" bestFit="1" customWidth="1"/>
    <col min="8465" max="8465" width="9.42578125" bestFit="1" customWidth="1"/>
    <col min="8466" max="8466" width="8.85546875"/>
    <col min="8467" max="8467" width="9.5703125" bestFit="1" customWidth="1"/>
    <col min="8468" max="8469" width="8.85546875"/>
    <col min="8470" max="8470" width="9.5703125" bestFit="1" customWidth="1"/>
    <col min="8471" max="8485" width="8.85546875"/>
    <col min="8486" max="8486" width="9.5703125" bestFit="1" customWidth="1"/>
    <col min="8487" max="8488" width="8.85546875"/>
    <col min="8489" max="8489" width="9.5703125" bestFit="1" customWidth="1"/>
    <col min="8490" max="8495" width="8.85546875"/>
    <col min="8496" max="8496" width="9.5703125" bestFit="1" customWidth="1"/>
    <col min="8497" max="8498" width="8.85546875"/>
    <col min="8499" max="8499" width="9.5703125" bestFit="1" customWidth="1"/>
    <col min="8500" max="8501" width="8.85546875"/>
    <col min="8502" max="8502" width="9.5703125" bestFit="1" customWidth="1"/>
    <col min="8503" max="8710" width="8.85546875"/>
    <col min="8711" max="8711" width="10.140625" bestFit="1" customWidth="1"/>
    <col min="8712" max="8712" width="14" customWidth="1"/>
    <col min="8713" max="8713" width="10" customWidth="1"/>
    <col min="8714" max="8718" width="8.85546875"/>
    <col min="8719" max="8719" width="10.5703125" bestFit="1" customWidth="1"/>
    <col min="8720" max="8720" width="11.42578125" bestFit="1" customWidth="1"/>
    <col min="8721" max="8721" width="9.42578125" bestFit="1" customWidth="1"/>
    <col min="8722" max="8722" width="8.85546875"/>
    <col min="8723" max="8723" width="9.5703125" bestFit="1" customWidth="1"/>
    <col min="8724" max="8725" width="8.85546875"/>
    <col min="8726" max="8726" width="9.5703125" bestFit="1" customWidth="1"/>
    <col min="8727" max="8741" width="8.85546875"/>
    <col min="8742" max="8742" width="9.5703125" bestFit="1" customWidth="1"/>
    <col min="8743" max="8744" width="8.85546875"/>
    <col min="8745" max="8745" width="9.5703125" bestFit="1" customWidth="1"/>
    <col min="8746" max="8751" width="8.85546875"/>
    <col min="8752" max="8752" width="9.5703125" bestFit="1" customWidth="1"/>
    <col min="8753" max="8754" width="8.85546875"/>
    <col min="8755" max="8755" width="9.5703125" bestFit="1" customWidth="1"/>
    <col min="8756" max="8757" width="8.85546875"/>
    <col min="8758" max="8758" width="9.5703125" bestFit="1" customWidth="1"/>
    <col min="8759" max="8966" width="8.85546875"/>
    <col min="8967" max="8967" width="10.140625" bestFit="1" customWidth="1"/>
    <col min="8968" max="8968" width="14" customWidth="1"/>
    <col min="8969" max="8969" width="10" customWidth="1"/>
    <col min="8970" max="8974" width="8.85546875"/>
    <col min="8975" max="8975" width="10.5703125" bestFit="1" customWidth="1"/>
    <col min="8976" max="8976" width="11.42578125" bestFit="1" customWidth="1"/>
    <col min="8977" max="8977" width="9.42578125" bestFit="1" customWidth="1"/>
    <col min="8978" max="8978" width="8.85546875"/>
    <col min="8979" max="8979" width="9.5703125" bestFit="1" customWidth="1"/>
    <col min="8980" max="8981" width="8.85546875"/>
    <col min="8982" max="8982" width="9.5703125" bestFit="1" customWidth="1"/>
    <col min="8983" max="8997" width="8.85546875"/>
    <col min="8998" max="8998" width="9.5703125" bestFit="1" customWidth="1"/>
    <col min="8999" max="9000" width="8.85546875"/>
    <col min="9001" max="9001" width="9.5703125" bestFit="1" customWidth="1"/>
    <col min="9002" max="9007" width="8.85546875"/>
    <col min="9008" max="9008" width="9.5703125" bestFit="1" customWidth="1"/>
    <col min="9009" max="9010" width="8.85546875"/>
    <col min="9011" max="9011" width="9.5703125" bestFit="1" customWidth="1"/>
    <col min="9012" max="9013" width="8.85546875"/>
    <col min="9014" max="9014" width="9.5703125" bestFit="1" customWidth="1"/>
    <col min="9015" max="9222" width="8.85546875"/>
    <col min="9223" max="9223" width="10.140625" bestFit="1" customWidth="1"/>
    <col min="9224" max="9224" width="14" customWidth="1"/>
    <col min="9225" max="9225" width="10" customWidth="1"/>
    <col min="9226" max="9230" width="8.85546875"/>
    <col min="9231" max="9231" width="10.5703125" bestFit="1" customWidth="1"/>
    <col min="9232" max="9232" width="11.42578125" bestFit="1" customWidth="1"/>
    <col min="9233" max="9233" width="9.42578125" bestFit="1" customWidth="1"/>
    <col min="9234" max="9234" width="8.85546875"/>
    <col min="9235" max="9235" width="9.5703125" bestFit="1" customWidth="1"/>
    <col min="9236" max="9237" width="8.85546875"/>
    <col min="9238" max="9238" width="9.5703125" bestFit="1" customWidth="1"/>
    <col min="9239" max="9253" width="8.85546875"/>
    <col min="9254" max="9254" width="9.5703125" bestFit="1" customWidth="1"/>
    <col min="9255" max="9256" width="8.85546875"/>
    <col min="9257" max="9257" width="9.5703125" bestFit="1" customWidth="1"/>
    <col min="9258" max="9263" width="8.85546875"/>
    <col min="9264" max="9264" width="9.5703125" bestFit="1" customWidth="1"/>
    <col min="9265" max="9266" width="8.85546875"/>
    <col min="9267" max="9267" width="9.5703125" bestFit="1" customWidth="1"/>
    <col min="9268" max="9269" width="8.85546875"/>
    <col min="9270" max="9270" width="9.5703125" bestFit="1" customWidth="1"/>
    <col min="9271" max="9478" width="8.85546875"/>
    <col min="9479" max="9479" width="10.140625" bestFit="1" customWidth="1"/>
    <col min="9480" max="9480" width="14" customWidth="1"/>
    <col min="9481" max="9481" width="10" customWidth="1"/>
    <col min="9482" max="9486" width="8.85546875"/>
    <col min="9487" max="9487" width="10.5703125" bestFit="1" customWidth="1"/>
    <col min="9488" max="9488" width="11.42578125" bestFit="1" customWidth="1"/>
    <col min="9489" max="9489" width="9.42578125" bestFit="1" customWidth="1"/>
    <col min="9490" max="9490" width="8.85546875"/>
    <col min="9491" max="9491" width="9.5703125" bestFit="1" customWidth="1"/>
    <col min="9492" max="9493" width="8.85546875"/>
    <col min="9494" max="9494" width="9.5703125" bestFit="1" customWidth="1"/>
    <col min="9495" max="9509" width="8.85546875"/>
    <col min="9510" max="9510" width="9.5703125" bestFit="1" customWidth="1"/>
    <col min="9511" max="9512" width="8.85546875"/>
    <col min="9513" max="9513" width="9.5703125" bestFit="1" customWidth="1"/>
    <col min="9514" max="9519" width="8.85546875"/>
    <col min="9520" max="9520" width="9.5703125" bestFit="1" customWidth="1"/>
    <col min="9521" max="9522" width="8.85546875"/>
    <col min="9523" max="9523" width="9.5703125" bestFit="1" customWidth="1"/>
    <col min="9524" max="9525" width="8.85546875"/>
    <col min="9526" max="9526" width="9.5703125" bestFit="1" customWidth="1"/>
    <col min="9527" max="9734" width="8.85546875"/>
    <col min="9735" max="9735" width="10.140625" bestFit="1" customWidth="1"/>
    <col min="9736" max="9736" width="14" customWidth="1"/>
    <col min="9737" max="9737" width="10" customWidth="1"/>
    <col min="9738" max="9742" width="8.85546875"/>
    <col min="9743" max="9743" width="10.5703125" bestFit="1" customWidth="1"/>
    <col min="9744" max="9744" width="11.42578125" bestFit="1" customWidth="1"/>
    <col min="9745" max="9745" width="9.42578125" bestFit="1" customWidth="1"/>
    <col min="9746" max="9746" width="8.85546875"/>
    <col min="9747" max="9747" width="9.5703125" bestFit="1" customWidth="1"/>
    <col min="9748" max="9749" width="8.85546875"/>
    <col min="9750" max="9750" width="9.5703125" bestFit="1" customWidth="1"/>
    <col min="9751" max="9765" width="8.85546875"/>
    <col min="9766" max="9766" width="9.5703125" bestFit="1" customWidth="1"/>
    <col min="9767" max="9768" width="8.85546875"/>
    <col min="9769" max="9769" width="9.5703125" bestFit="1" customWidth="1"/>
    <col min="9770" max="9775" width="8.85546875"/>
    <col min="9776" max="9776" width="9.5703125" bestFit="1" customWidth="1"/>
    <col min="9777" max="9778" width="8.85546875"/>
    <col min="9779" max="9779" width="9.5703125" bestFit="1" customWidth="1"/>
    <col min="9780" max="9781" width="8.85546875"/>
    <col min="9782" max="9782" width="9.5703125" bestFit="1" customWidth="1"/>
    <col min="9783" max="9990" width="8.85546875"/>
    <col min="9991" max="9991" width="10.140625" bestFit="1" customWidth="1"/>
    <col min="9992" max="9992" width="14" customWidth="1"/>
    <col min="9993" max="9993" width="10" customWidth="1"/>
    <col min="9994" max="9998" width="8.85546875"/>
    <col min="9999" max="9999" width="10.5703125" bestFit="1" customWidth="1"/>
    <col min="10000" max="10000" width="11.42578125" bestFit="1" customWidth="1"/>
    <col min="10001" max="10001" width="9.42578125" bestFit="1" customWidth="1"/>
    <col min="10002" max="10002" width="8.85546875"/>
    <col min="10003" max="10003" width="9.5703125" bestFit="1" customWidth="1"/>
    <col min="10004" max="10005" width="8.85546875"/>
    <col min="10006" max="10006" width="9.5703125" bestFit="1" customWidth="1"/>
    <col min="10007" max="10021" width="8.85546875"/>
    <col min="10022" max="10022" width="9.5703125" bestFit="1" customWidth="1"/>
    <col min="10023" max="10024" width="8.85546875"/>
    <col min="10025" max="10025" width="9.5703125" bestFit="1" customWidth="1"/>
    <col min="10026" max="10031" width="8.85546875"/>
    <col min="10032" max="10032" width="9.5703125" bestFit="1" customWidth="1"/>
    <col min="10033" max="10034" width="8.85546875"/>
    <col min="10035" max="10035" width="9.5703125" bestFit="1" customWidth="1"/>
    <col min="10036" max="10037" width="8.85546875"/>
    <col min="10038" max="10038" width="9.5703125" bestFit="1" customWidth="1"/>
    <col min="10039" max="10246" width="8.85546875"/>
    <col min="10247" max="10247" width="10.140625" bestFit="1" customWidth="1"/>
    <col min="10248" max="10248" width="14" customWidth="1"/>
    <col min="10249" max="10249" width="10" customWidth="1"/>
    <col min="10250" max="10254" width="8.85546875"/>
    <col min="10255" max="10255" width="10.5703125" bestFit="1" customWidth="1"/>
    <col min="10256" max="10256" width="11.42578125" bestFit="1" customWidth="1"/>
    <col min="10257" max="10257" width="9.42578125" bestFit="1" customWidth="1"/>
    <col min="10258" max="10258" width="8.85546875"/>
    <col min="10259" max="10259" width="9.5703125" bestFit="1" customWidth="1"/>
    <col min="10260" max="10261" width="8.85546875"/>
    <col min="10262" max="10262" width="9.5703125" bestFit="1" customWidth="1"/>
    <col min="10263" max="10277" width="8.85546875"/>
    <col min="10278" max="10278" width="9.5703125" bestFit="1" customWidth="1"/>
    <col min="10279" max="10280" width="8.85546875"/>
    <col min="10281" max="10281" width="9.5703125" bestFit="1" customWidth="1"/>
    <col min="10282" max="10287" width="8.85546875"/>
    <col min="10288" max="10288" width="9.5703125" bestFit="1" customWidth="1"/>
    <col min="10289" max="10290" width="8.85546875"/>
    <col min="10291" max="10291" width="9.5703125" bestFit="1" customWidth="1"/>
    <col min="10292" max="10293" width="8.85546875"/>
    <col min="10294" max="10294" width="9.5703125" bestFit="1" customWidth="1"/>
    <col min="10295" max="10502" width="8.85546875"/>
    <col min="10503" max="10503" width="10.140625" bestFit="1" customWidth="1"/>
    <col min="10504" max="10504" width="14" customWidth="1"/>
    <col min="10505" max="10505" width="10" customWidth="1"/>
    <col min="10506" max="10510" width="8.85546875"/>
    <col min="10511" max="10511" width="10.5703125" bestFit="1" customWidth="1"/>
    <col min="10512" max="10512" width="11.42578125" bestFit="1" customWidth="1"/>
    <col min="10513" max="10513" width="9.42578125" bestFit="1" customWidth="1"/>
    <col min="10514" max="10514" width="8.85546875"/>
    <col min="10515" max="10515" width="9.5703125" bestFit="1" customWidth="1"/>
    <col min="10516" max="10517" width="8.85546875"/>
    <col min="10518" max="10518" width="9.5703125" bestFit="1" customWidth="1"/>
    <col min="10519" max="10533" width="8.85546875"/>
    <col min="10534" max="10534" width="9.5703125" bestFit="1" customWidth="1"/>
    <col min="10535" max="10536" width="8.85546875"/>
    <col min="10537" max="10537" width="9.5703125" bestFit="1" customWidth="1"/>
    <col min="10538" max="10543" width="8.85546875"/>
    <col min="10544" max="10544" width="9.5703125" bestFit="1" customWidth="1"/>
    <col min="10545" max="10546" width="8.85546875"/>
    <col min="10547" max="10547" width="9.5703125" bestFit="1" customWidth="1"/>
    <col min="10548" max="10549" width="8.85546875"/>
    <col min="10550" max="10550" width="9.5703125" bestFit="1" customWidth="1"/>
    <col min="10551" max="10758" width="8.85546875"/>
    <col min="10759" max="10759" width="10.140625" bestFit="1" customWidth="1"/>
    <col min="10760" max="10760" width="14" customWidth="1"/>
    <col min="10761" max="10761" width="10" customWidth="1"/>
    <col min="10762" max="10766" width="8.85546875"/>
    <col min="10767" max="10767" width="10.5703125" bestFit="1" customWidth="1"/>
    <col min="10768" max="10768" width="11.42578125" bestFit="1" customWidth="1"/>
    <col min="10769" max="10769" width="9.42578125" bestFit="1" customWidth="1"/>
    <col min="10770" max="10770" width="8.85546875"/>
    <col min="10771" max="10771" width="9.5703125" bestFit="1" customWidth="1"/>
    <col min="10772" max="10773" width="8.85546875"/>
    <col min="10774" max="10774" width="9.5703125" bestFit="1" customWidth="1"/>
    <col min="10775" max="10789" width="8.85546875"/>
    <col min="10790" max="10790" width="9.5703125" bestFit="1" customWidth="1"/>
    <col min="10791" max="10792" width="8.85546875"/>
    <col min="10793" max="10793" width="9.5703125" bestFit="1" customWidth="1"/>
    <col min="10794" max="10799" width="8.85546875"/>
    <col min="10800" max="10800" width="9.5703125" bestFit="1" customWidth="1"/>
    <col min="10801" max="10802" width="8.85546875"/>
    <col min="10803" max="10803" width="9.5703125" bestFit="1" customWidth="1"/>
    <col min="10804" max="10805" width="8.85546875"/>
    <col min="10806" max="10806" width="9.5703125" bestFit="1" customWidth="1"/>
    <col min="10807" max="11014" width="8.85546875"/>
    <col min="11015" max="11015" width="10.140625" bestFit="1" customWidth="1"/>
    <col min="11016" max="11016" width="14" customWidth="1"/>
    <col min="11017" max="11017" width="10" customWidth="1"/>
    <col min="11018" max="11022" width="8.85546875"/>
    <col min="11023" max="11023" width="10.5703125" bestFit="1" customWidth="1"/>
    <col min="11024" max="11024" width="11.42578125" bestFit="1" customWidth="1"/>
    <col min="11025" max="11025" width="9.42578125" bestFit="1" customWidth="1"/>
    <col min="11026" max="11026" width="8.85546875"/>
    <col min="11027" max="11027" width="9.5703125" bestFit="1" customWidth="1"/>
    <col min="11028" max="11029" width="8.85546875"/>
    <col min="11030" max="11030" width="9.5703125" bestFit="1" customWidth="1"/>
    <col min="11031" max="11045" width="8.85546875"/>
    <col min="11046" max="11046" width="9.5703125" bestFit="1" customWidth="1"/>
    <col min="11047" max="11048" width="8.85546875"/>
    <col min="11049" max="11049" width="9.5703125" bestFit="1" customWidth="1"/>
    <col min="11050" max="11055" width="8.85546875"/>
    <col min="11056" max="11056" width="9.5703125" bestFit="1" customWidth="1"/>
    <col min="11057" max="11058" width="8.85546875"/>
    <col min="11059" max="11059" width="9.5703125" bestFit="1" customWidth="1"/>
    <col min="11060" max="11061" width="8.85546875"/>
    <col min="11062" max="11062" width="9.5703125" bestFit="1" customWidth="1"/>
    <col min="11063" max="11270" width="8.85546875"/>
    <col min="11271" max="11271" width="10.140625" bestFit="1" customWidth="1"/>
    <col min="11272" max="11272" width="14" customWidth="1"/>
    <col min="11273" max="11273" width="10" customWidth="1"/>
    <col min="11274" max="11278" width="8.85546875"/>
    <col min="11279" max="11279" width="10.5703125" bestFit="1" customWidth="1"/>
    <col min="11280" max="11280" width="11.42578125" bestFit="1" customWidth="1"/>
    <col min="11281" max="11281" width="9.42578125" bestFit="1" customWidth="1"/>
    <col min="11282" max="11282" width="8.85546875"/>
    <col min="11283" max="11283" width="9.5703125" bestFit="1" customWidth="1"/>
    <col min="11284" max="11285" width="8.85546875"/>
    <col min="11286" max="11286" width="9.5703125" bestFit="1" customWidth="1"/>
    <col min="11287" max="11301" width="8.85546875"/>
    <col min="11302" max="11302" width="9.5703125" bestFit="1" customWidth="1"/>
    <col min="11303" max="11304" width="8.85546875"/>
    <col min="11305" max="11305" width="9.5703125" bestFit="1" customWidth="1"/>
    <col min="11306" max="11311" width="8.85546875"/>
    <col min="11312" max="11312" width="9.5703125" bestFit="1" customWidth="1"/>
    <col min="11313" max="11314" width="8.85546875"/>
    <col min="11315" max="11315" width="9.5703125" bestFit="1" customWidth="1"/>
    <col min="11316" max="11317" width="8.85546875"/>
    <col min="11318" max="11318" width="9.5703125" bestFit="1" customWidth="1"/>
    <col min="11319" max="11526" width="8.85546875"/>
    <col min="11527" max="11527" width="10.140625" bestFit="1" customWidth="1"/>
    <col min="11528" max="11528" width="14" customWidth="1"/>
    <col min="11529" max="11529" width="10" customWidth="1"/>
    <col min="11530" max="11534" width="8.85546875"/>
    <col min="11535" max="11535" width="10.5703125" bestFit="1" customWidth="1"/>
    <col min="11536" max="11536" width="11.42578125" bestFit="1" customWidth="1"/>
    <col min="11537" max="11537" width="9.42578125" bestFit="1" customWidth="1"/>
    <col min="11538" max="11538" width="8.85546875"/>
    <col min="11539" max="11539" width="9.5703125" bestFit="1" customWidth="1"/>
    <col min="11540" max="11541" width="8.85546875"/>
    <col min="11542" max="11542" width="9.5703125" bestFit="1" customWidth="1"/>
    <col min="11543" max="11557" width="8.85546875"/>
    <col min="11558" max="11558" width="9.5703125" bestFit="1" customWidth="1"/>
    <col min="11559" max="11560" width="8.85546875"/>
    <col min="11561" max="11561" width="9.5703125" bestFit="1" customWidth="1"/>
    <col min="11562" max="11567" width="8.85546875"/>
    <col min="11568" max="11568" width="9.5703125" bestFit="1" customWidth="1"/>
    <col min="11569" max="11570" width="8.85546875"/>
    <col min="11571" max="11571" width="9.5703125" bestFit="1" customWidth="1"/>
    <col min="11572" max="11573" width="8.85546875"/>
    <col min="11574" max="11574" width="9.5703125" bestFit="1" customWidth="1"/>
    <col min="11575" max="11782" width="8.85546875"/>
    <col min="11783" max="11783" width="10.140625" bestFit="1" customWidth="1"/>
    <col min="11784" max="11784" width="14" customWidth="1"/>
    <col min="11785" max="11785" width="10" customWidth="1"/>
    <col min="11786" max="11790" width="8.85546875"/>
    <col min="11791" max="11791" width="10.5703125" bestFit="1" customWidth="1"/>
    <col min="11792" max="11792" width="11.42578125" bestFit="1" customWidth="1"/>
    <col min="11793" max="11793" width="9.42578125" bestFit="1" customWidth="1"/>
    <col min="11794" max="11794" width="8.85546875"/>
    <col min="11795" max="11795" width="9.5703125" bestFit="1" customWidth="1"/>
    <col min="11796" max="11797" width="8.85546875"/>
    <col min="11798" max="11798" width="9.5703125" bestFit="1" customWidth="1"/>
    <col min="11799" max="11813" width="8.85546875"/>
    <col min="11814" max="11814" width="9.5703125" bestFit="1" customWidth="1"/>
    <col min="11815" max="11816" width="8.85546875"/>
    <col min="11817" max="11817" width="9.5703125" bestFit="1" customWidth="1"/>
    <col min="11818" max="11823" width="8.85546875"/>
    <col min="11824" max="11824" width="9.5703125" bestFit="1" customWidth="1"/>
    <col min="11825" max="11826" width="8.85546875"/>
    <col min="11827" max="11827" width="9.5703125" bestFit="1" customWidth="1"/>
    <col min="11828" max="11829" width="8.85546875"/>
    <col min="11830" max="11830" width="9.5703125" bestFit="1" customWidth="1"/>
    <col min="11831" max="12038" width="8.85546875"/>
    <col min="12039" max="12039" width="10.140625" bestFit="1" customWidth="1"/>
    <col min="12040" max="12040" width="14" customWidth="1"/>
    <col min="12041" max="12041" width="10" customWidth="1"/>
    <col min="12042" max="12046" width="8.85546875"/>
    <col min="12047" max="12047" width="10.5703125" bestFit="1" customWidth="1"/>
    <col min="12048" max="12048" width="11.42578125" bestFit="1" customWidth="1"/>
    <col min="12049" max="12049" width="9.42578125" bestFit="1" customWidth="1"/>
    <col min="12050" max="12050" width="8.85546875"/>
    <col min="12051" max="12051" width="9.5703125" bestFit="1" customWidth="1"/>
    <col min="12052" max="12053" width="8.85546875"/>
    <col min="12054" max="12054" width="9.5703125" bestFit="1" customWidth="1"/>
    <col min="12055" max="12069" width="8.85546875"/>
    <col min="12070" max="12070" width="9.5703125" bestFit="1" customWidth="1"/>
    <col min="12071" max="12072" width="8.85546875"/>
    <col min="12073" max="12073" width="9.5703125" bestFit="1" customWidth="1"/>
    <col min="12074" max="12079" width="8.85546875"/>
    <col min="12080" max="12080" width="9.5703125" bestFit="1" customWidth="1"/>
    <col min="12081" max="12082" width="8.85546875"/>
    <col min="12083" max="12083" width="9.5703125" bestFit="1" customWidth="1"/>
    <col min="12084" max="12085" width="8.85546875"/>
    <col min="12086" max="12086" width="9.5703125" bestFit="1" customWidth="1"/>
    <col min="12087" max="12294" width="8.85546875"/>
    <col min="12295" max="12295" width="10.140625" bestFit="1" customWidth="1"/>
    <col min="12296" max="12296" width="14" customWidth="1"/>
    <col min="12297" max="12297" width="10" customWidth="1"/>
    <col min="12298" max="12302" width="8.85546875"/>
    <col min="12303" max="12303" width="10.5703125" bestFit="1" customWidth="1"/>
    <col min="12304" max="12304" width="11.42578125" bestFit="1" customWidth="1"/>
    <col min="12305" max="12305" width="9.42578125" bestFit="1" customWidth="1"/>
    <col min="12306" max="12306" width="8.85546875"/>
    <col min="12307" max="12307" width="9.5703125" bestFit="1" customWidth="1"/>
    <col min="12308" max="12309" width="8.85546875"/>
    <col min="12310" max="12310" width="9.5703125" bestFit="1" customWidth="1"/>
    <col min="12311" max="12325" width="8.85546875"/>
    <col min="12326" max="12326" width="9.5703125" bestFit="1" customWidth="1"/>
    <col min="12327" max="12328" width="8.85546875"/>
    <col min="12329" max="12329" width="9.5703125" bestFit="1" customWidth="1"/>
    <col min="12330" max="12335" width="8.85546875"/>
    <col min="12336" max="12336" width="9.5703125" bestFit="1" customWidth="1"/>
    <col min="12337" max="12338" width="8.85546875"/>
    <col min="12339" max="12339" width="9.5703125" bestFit="1" customWidth="1"/>
    <col min="12340" max="12341" width="8.85546875"/>
    <col min="12342" max="12342" width="9.5703125" bestFit="1" customWidth="1"/>
    <col min="12343" max="12550" width="8.85546875"/>
    <col min="12551" max="12551" width="10.140625" bestFit="1" customWidth="1"/>
    <col min="12552" max="12552" width="14" customWidth="1"/>
    <col min="12553" max="12553" width="10" customWidth="1"/>
    <col min="12554" max="12558" width="8.85546875"/>
    <col min="12559" max="12559" width="10.5703125" bestFit="1" customWidth="1"/>
    <col min="12560" max="12560" width="11.42578125" bestFit="1" customWidth="1"/>
    <col min="12561" max="12561" width="9.42578125" bestFit="1" customWidth="1"/>
    <col min="12562" max="12562" width="8.85546875"/>
    <col min="12563" max="12563" width="9.5703125" bestFit="1" customWidth="1"/>
    <col min="12564" max="12565" width="8.85546875"/>
    <col min="12566" max="12566" width="9.5703125" bestFit="1" customWidth="1"/>
    <col min="12567" max="12581" width="8.85546875"/>
    <col min="12582" max="12582" width="9.5703125" bestFit="1" customWidth="1"/>
    <col min="12583" max="12584" width="8.85546875"/>
    <col min="12585" max="12585" width="9.5703125" bestFit="1" customWidth="1"/>
    <col min="12586" max="12591" width="8.85546875"/>
    <col min="12592" max="12592" width="9.5703125" bestFit="1" customWidth="1"/>
    <col min="12593" max="12594" width="8.85546875"/>
    <col min="12595" max="12595" width="9.5703125" bestFit="1" customWidth="1"/>
    <col min="12596" max="12597" width="8.85546875"/>
    <col min="12598" max="12598" width="9.5703125" bestFit="1" customWidth="1"/>
    <col min="12599" max="12806" width="8.85546875"/>
    <col min="12807" max="12807" width="10.140625" bestFit="1" customWidth="1"/>
    <col min="12808" max="12808" width="14" customWidth="1"/>
    <col min="12809" max="12809" width="10" customWidth="1"/>
    <col min="12810" max="12814" width="8.85546875"/>
    <col min="12815" max="12815" width="10.5703125" bestFit="1" customWidth="1"/>
    <col min="12816" max="12816" width="11.42578125" bestFit="1" customWidth="1"/>
    <col min="12817" max="12817" width="9.42578125" bestFit="1" customWidth="1"/>
    <col min="12818" max="12818" width="8.85546875"/>
    <col min="12819" max="12819" width="9.5703125" bestFit="1" customWidth="1"/>
    <col min="12820" max="12821" width="8.85546875"/>
    <col min="12822" max="12822" width="9.5703125" bestFit="1" customWidth="1"/>
    <col min="12823" max="12837" width="8.85546875"/>
    <col min="12838" max="12838" width="9.5703125" bestFit="1" customWidth="1"/>
    <col min="12839" max="12840" width="8.85546875"/>
    <col min="12841" max="12841" width="9.5703125" bestFit="1" customWidth="1"/>
    <col min="12842" max="12847" width="8.85546875"/>
    <col min="12848" max="12848" width="9.5703125" bestFit="1" customWidth="1"/>
    <col min="12849" max="12850" width="8.85546875"/>
    <col min="12851" max="12851" width="9.5703125" bestFit="1" customWidth="1"/>
    <col min="12852" max="12853" width="8.85546875"/>
    <col min="12854" max="12854" width="9.5703125" bestFit="1" customWidth="1"/>
    <col min="12855" max="13062" width="8.85546875"/>
    <col min="13063" max="13063" width="10.140625" bestFit="1" customWidth="1"/>
    <col min="13064" max="13064" width="14" customWidth="1"/>
    <col min="13065" max="13065" width="10" customWidth="1"/>
    <col min="13066" max="13070" width="8.85546875"/>
    <col min="13071" max="13071" width="10.5703125" bestFit="1" customWidth="1"/>
    <col min="13072" max="13072" width="11.42578125" bestFit="1" customWidth="1"/>
    <col min="13073" max="13073" width="9.42578125" bestFit="1" customWidth="1"/>
    <col min="13074" max="13074" width="8.85546875"/>
    <col min="13075" max="13075" width="9.5703125" bestFit="1" customWidth="1"/>
    <col min="13076" max="13077" width="8.85546875"/>
    <col min="13078" max="13078" width="9.5703125" bestFit="1" customWidth="1"/>
    <col min="13079" max="13093" width="8.85546875"/>
    <col min="13094" max="13094" width="9.5703125" bestFit="1" customWidth="1"/>
    <col min="13095" max="13096" width="8.85546875"/>
    <col min="13097" max="13097" width="9.5703125" bestFit="1" customWidth="1"/>
    <col min="13098" max="13103" width="8.85546875"/>
    <col min="13104" max="13104" width="9.5703125" bestFit="1" customWidth="1"/>
    <col min="13105" max="13106" width="8.85546875"/>
    <col min="13107" max="13107" width="9.5703125" bestFit="1" customWidth="1"/>
    <col min="13108" max="13109" width="8.85546875"/>
    <col min="13110" max="13110" width="9.5703125" bestFit="1" customWidth="1"/>
    <col min="13111" max="13318" width="8.85546875"/>
    <col min="13319" max="13319" width="10.140625" bestFit="1" customWidth="1"/>
    <col min="13320" max="13320" width="14" customWidth="1"/>
    <col min="13321" max="13321" width="10" customWidth="1"/>
    <col min="13322" max="13326" width="8.85546875"/>
    <col min="13327" max="13327" width="10.5703125" bestFit="1" customWidth="1"/>
    <col min="13328" max="13328" width="11.42578125" bestFit="1" customWidth="1"/>
    <col min="13329" max="13329" width="9.42578125" bestFit="1" customWidth="1"/>
    <col min="13330" max="13330" width="8.85546875"/>
    <col min="13331" max="13331" width="9.5703125" bestFit="1" customWidth="1"/>
    <col min="13332" max="13333" width="8.85546875"/>
    <col min="13334" max="13334" width="9.5703125" bestFit="1" customWidth="1"/>
    <col min="13335" max="13349" width="8.85546875"/>
    <col min="13350" max="13350" width="9.5703125" bestFit="1" customWidth="1"/>
    <col min="13351" max="13352" width="8.85546875"/>
    <col min="13353" max="13353" width="9.5703125" bestFit="1" customWidth="1"/>
    <col min="13354" max="13359" width="8.85546875"/>
    <col min="13360" max="13360" width="9.5703125" bestFit="1" customWidth="1"/>
    <col min="13361" max="13362" width="8.85546875"/>
    <col min="13363" max="13363" width="9.5703125" bestFit="1" customWidth="1"/>
    <col min="13364" max="13365" width="8.85546875"/>
    <col min="13366" max="13366" width="9.5703125" bestFit="1" customWidth="1"/>
    <col min="13367" max="13574" width="8.85546875"/>
    <col min="13575" max="13575" width="10.140625" bestFit="1" customWidth="1"/>
    <col min="13576" max="13576" width="14" customWidth="1"/>
    <col min="13577" max="13577" width="10" customWidth="1"/>
    <col min="13578" max="13582" width="8.85546875"/>
    <col min="13583" max="13583" width="10.5703125" bestFit="1" customWidth="1"/>
    <col min="13584" max="13584" width="11.42578125" bestFit="1" customWidth="1"/>
    <col min="13585" max="13585" width="9.42578125" bestFit="1" customWidth="1"/>
    <col min="13586" max="13586" width="8.85546875"/>
    <col min="13587" max="13587" width="9.5703125" bestFit="1" customWidth="1"/>
    <col min="13588" max="13589" width="8.85546875"/>
    <col min="13590" max="13590" width="9.5703125" bestFit="1" customWidth="1"/>
    <col min="13591" max="13605" width="8.85546875"/>
    <col min="13606" max="13606" width="9.5703125" bestFit="1" customWidth="1"/>
    <col min="13607" max="13608" width="8.85546875"/>
    <col min="13609" max="13609" width="9.5703125" bestFit="1" customWidth="1"/>
    <col min="13610" max="13615" width="8.85546875"/>
    <col min="13616" max="13616" width="9.5703125" bestFit="1" customWidth="1"/>
    <col min="13617" max="13618" width="8.85546875"/>
    <col min="13619" max="13619" width="9.5703125" bestFit="1" customWidth="1"/>
    <col min="13620" max="13621" width="8.85546875"/>
    <col min="13622" max="13622" width="9.5703125" bestFit="1" customWidth="1"/>
    <col min="13623" max="13830" width="8.85546875"/>
    <col min="13831" max="13831" width="10.140625" bestFit="1" customWidth="1"/>
    <col min="13832" max="13832" width="14" customWidth="1"/>
    <col min="13833" max="13833" width="10" customWidth="1"/>
    <col min="13834" max="13838" width="8.85546875"/>
    <col min="13839" max="13839" width="10.5703125" bestFit="1" customWidth="1"/>
    <col min="13840" max="13840" width="11.42578125" bestFit="1" customWidth="1"/>
    <col min="13841" max="13841" width="9.42578125" bestFit="1" customWidth="1"/>
    <col min="13842" max="13842" width="8.85546875"/>
    <col min="13843" max="13843" width="9.5703125" bestFit="1" customWidth="1"/>
    <col min="13844" max="13845" width="8.85546875"/>
    <col min="13846" max="13846" width="9.5703125" bestFit="1" customWidth="1"/>
    <col min="13847" max="13861" width="8.85546875"/>
    <col min="13862" max="13862" width="9.5703125" bestFit="1" customWidth="1"/>
    <col min="13863" max="13864" width="8.85546875"/>
    <col min="13865" max="13865" width="9.5703125" bestFit="1" customWidth="1"/>
    <col min="13866" max="13871" width="8.85546875"/>
    <col min="13872" max="13872" width="9.5703125" bestFit="1" customWidth="1"/>
    <col min="13873" max="13874" width="8.85546875"/>
    <col min="13875" max="13875" width="9.5703125" bestFit="1" customWidth="1"/>
    <col min="13876" max="13877" width="8.85546875"/>
    <col min="13878" max="13878" width="9.5703125" bestFit="1" customWidth="1"/>
    <col min="13879" max="14086" width="8.85546875"/>
    <col min="14087" max="14087" width="10.140625" bestFit="1" customWidth="1"/>
    <col min="14088" max="14088" width="14" customWidth="1"/>
    <col min="14089" max="14089" width="10" customWidth="1"/>
    <col min="14090" max="14094" width="8.85546875"/>
    <col min="14095" max="14095" width="10.5703125" bestFit="1" customWidth="1"/>
    <col min="14096" max="14096" width="11.42578125" bestFit="1" customWidth="1"/>
    <col min="14097" max="14097" width="9.42578125" bestFit="1" customWidth="1"/>
    <col min="14098" max="14098" width="8.85546875"/>
    <col min="14099" max="14099" width="9.5703125" bestFit="1" customWidth="1"/>
    <col min="14100" max="14101" width="8.85546875"/>
    <col min="14102" max="14102" width="9.5703125" bestFit="1" customWidth="1"/>
    <col min="14103" max="14117" width="8.85546875"/>
    <col min="14118" max="14118" width="9.5703125" bestFit="1" customWidth="1"/>
    <col min="14119" max="14120" width="8.85546875"/>
    <col min="14121" max="14121" width="9.5703125" bestFit="1" customWidth="1"/>
    <col min="14122" max="14127" width="8.85546875"/>
    <col min="14128" max="14128" width="9.5703125" bestFit="1" customWidth="1"/>
    <col min="14129" max="14130" width="8.85546875"/>
    <col min="14131" max="14131" width="9.5703125" bestFit="1" customWidth="1"/>
    <col min="14132" max="14133" width="8.85546875"/>
    <col min="14134" max="14134" width="9.5703125" bestFit="1" customWidth="1"/>
    <col min="14135" max="14342" width="8.85546875"/>
    <col min="14343" max="14343" width="10.140625" bestFit="1" customWidth="1"/>
    <col min="14344" max="14344" width="14" customWidth="1"/>
    <col min="14345" max="14345" width="10" customWidth="1"/>
    <col min="14346" max="14350" width="8.85546875"/>
    <col min="14351" max="14351" width="10.5703125" bestFit="1" customWidth="1"/>
    <col min="14352" max="14352" width="11.42578125" bestFit="1" customWidth="1"/>
    <col min="14353" max="14353" width="9.42578125" bestFit="1" customWidth="1"/>
    <col min="14354" max="14354" width="8.85546875"/>
    <col min="14355" max="14355" width="9.5703125" bestFit="1" customWidth="1"/>
    <col min="14356" max="14357" width="8.85546875"/>
    <col min="14358" max="14358" width="9.5703125" bestFit="1" customWidth="1"/>
    <col min="14359" max="14373" width="8.85546875"/>
    <col min="14374" max="14374" width="9.5703125" bestFit="1" customWidth="1"/>
    <col min="14375" max="14376" width="8.85546875"/>
    <col min="14377" max="14377" width="9.5703125" bestFit="1" customWidth="1"/>
    <col min="14378" max="14383" width="8.85546875"/>
    <col min="14384" max="14384" width="9.5703125" bestFit="1" customWidth="1"/>
    <col min="14385" max="14386" width="8.85546875"/>
    <col min="14387" max="14387" width="9.5703125" bestFit="1" customWidth="1"/>
    <col min="14388" max="14389" width="8.85546875"/>
    <col min="14390" max="14390" width="9.5703125" bestFit="1" customWidth="1"/>
    <col min="14391" max="14598" width="8.85546875"/>
    <col min="14599" max="14599" width="10.140625" bestFit="1" customWidth="1"/>
    <col min="14600" max="14600" width="14" customWidth="1"/>
    <col min="14601" max="14601" width="10" customWidth="1"/>
    <col min="14602" max="14606" width="8.85546875"/>
    <col min="14607" max="14607" width="10.5703125" bestFit="1" customWidth="1"/>
    <col min="14608" max="14608" width="11.42578125" bestFit="1" customWidth="1"/>
    <col min="14609" max="14609" width="9.42578125" bestFit="1" customWidth="1"/>
    <col min="14610" max="14610" width="8.85546875"/>
    <col min="14611" max="14611" width="9.5703125" bestFit="1" customWidth="1"/>
    <col min="14612" max="14613" width="8.85546875"/>
    <col min="14614" max="14614" width="9.5703125" bestFit="1" customWidth="1"/>
    <col min="14615" max="14629" width="8.85546875"/>
    <col min="14630" max="14630" width="9.5703125" bestFit="1" customWidth="1"/>
    <col min="14631" max="14632" width="8.85546875"/>
    <col min="14633" max="14633" width="9.5703125" bestFit="1" customWidth="1"/>
    <col min="14634" max="14639" width="8.85546875"/>
    <col min="14640" max="14640" width="9.5703125" bestFit="1" customWidth="1"/>
    <col min="14641" max="14642" width="8.85546875"/>
    <col min="14643" max="14643" width="9.5703125" bestFit="1" customWidth="1"/>
    <col min="14644" max="14645" width="8.85546875"/>
    <col min="14646" max="14646" width="9.5703125" bestFit="1" customWidth="1"/>
    <col min="14647" max="14854" width="8.85546875"/>
    <col min="14855" max="14855" width="10.140625" bestFit="1" customWidth="1"/>
    <col min="14856" max="14856" width="14" customWidth="1"/>
    <col min="14857" max="14857" width="10" customWidth="1"/>
    <col min="14858" max="14862" width="8.85546875"/>
    <col min="14863" max="14863" width="10.5703125" bestFit="1" customWidth="1"/>
    <col min="14864" max="14864" width="11.42578125" bestFit="1" customWidth="1"/>
    <col min="14865" max="14865" width="9.42578125" bestFit="1" customWidth="1"/>
    <col min="14866" max="14866" width="8.85546875"/>
    <col min="14867" max="14867" width="9.5703125" bestFit="1" customWidth="1"/>
    <col min="14868" max="14869" width="8.85546875"/>
    <col min="14870" max="14870" width="9.5703125" bestFit="1" customWidth="1"/>
    <col min="14871" max="14885" width="8.85546875"/>
    <col min="14886" max="14886" width="9.5703125" bestFit="1" customWidth="1"/>
    <col min="14887" max="14888" width="8.85546875"/>
    <col min="14889" max="14889" width="9.5703125" bestFit="1" customWidth="1"/>
    <col min="14890" max="14895" width="8.85546875"/>
    <col min="14896" max="14896" width="9.5703125" bestFit="1" customWidth="1"/>
    <col min="14897" max="14898" width="8.85546875"/>
    <col min="14899" max="14899" width="9.5703125" bestFit="1" customWidth="1"/>
    <col min="14900" max="14901" width="8.85546875"/>
    <col min="14902" max="14902" width="9.5703125" bestFit="1" customWidth="1"/>
    <col min="14903" max="15110" width="8.85546875"/>
    <col min="15111" max="15111" width="10.140625" bestFit="1" customWidth="1"/>
    <col min="15112" max="15112" width="14" customWidth="1"/>
    <col min="15113" max="15113" width="10" customWidth="1"/>
    <col min="15114" max="15118" width="8.85546875"/>
    <col min="15119" max="15119" width="10.5703125" bestFit="1" customWidth="1"/>
    <col min="15120" max="15120" width="11.42578125" bestFit="1" customWidth="1"/>
    <col min="15121" max="15121" width="9.42578125" bestFit="1" customWidth="1"/>
    <col min="15122" max="15122" width="8.85546875"/>
    <col min="15123" max="15123" width="9.5703125" bestFit="1" customWidth="1"/>
    <col min="15124" max="15125" width="8.85546875"/>
    <col min="15126" max="15126" width="9.5703125" bestFit="1" customWidth="1"/>
    <col min="15127" max="15141" width="8.85546875"/>
    <col min="15142" max="15142" width="9.5703125" bestFit="1" customWidth="1"/>
    <col min="15143" max="15144" width="8.85546875"/>
    <col min="15145" max="15145" width="9.5703125" bestFit="1" customWidth="1"/>
    <col min="15146" max="15151" width="8.85546875"/>
    <col min="15152" max="15152" width="9.5703125" bestFit="1" customWidth="1"/>
    <col min="15153" max="15154" width="8.85546875"/>
    <col min="15155" max="15155" width="9.5703125" bestFit="1" customWidth="1"/>
    <col min="15156" max="15157" width="8.85546875"/>
    <col min="15158" max="15158" width="9.5703125" bestFit="1" customWidth="1"/>
    <col min="15159" max="15366" width="8.85546875"/>
    <col min="15367" max="15367" width="10.140625" bestFit="1" customWidth="1"/>
    <col min="15368" max="15368" width="14" customWidth="1"/>
    <col min="15369" max="15369" width="10" customWidth="1"/>
    <col min="15370" max="15374" width="8.85546875"/>
    <col min="15375" max="15375" width="10.5703125" bestFit="1" customWidth="1"/>
    <col min="15376" max="15376" width="11.42578125" bestFit="1" customWidth="1"/>
    <col min="15377" max="15377" width="9.42578125" bestFit="1" customWidth="1"/>
    <col min="15378" max="15378" width="8.85546875"/>
    <col min="15379" max="15379" width="9.5703125" bestFit="1" customWidth="1"/>
    <col min="15380" max="15381" width="8.85546875"/>
    <col min="15382" max="15382" width="9.5703125" bestFit="1" customWidth="1"/>
    <col min="15383" max="15397" width="8.85546875"/>
    <col min="15398" max="15398" width="9.5703125" bestFit="1" customWidth="1"/>
    <col min="15399" max="15400" width="8.85546875"/>
    <col min="15401" max="15401" width="9.5703125" bestFit="1" customWidth="1"/>
    <col min="15402" max="15407" width="8.85546875"/>
    <col min="15408" max="15408" width="9.5703125" bestFit="1" customWidth="1"/>
    <col min="15409" max="15410" width="8.85546875"/>
    <col min="15411" max="15411" width="9.5703125" bestFit="1" customWidth="1"/>
    <col min="15412" max="15413" width="8.85546875"/>
    <col min="15414" max="15414" width="9.5703125" bestFit="1" customWidth="1"/>
    <col min="15415" max="15622" width="8.85546875"/>
    <col min="15623" max="15623" width="10.140625" bestFit="1" customWidth="1"/>
    <col min="15624" max="15624" width="14" customWidth="1"/>
    <col min="15625" max="15625" width="10" customWidth="1"/>
    <col min="15626" max="15630" width="8.85546875"/>
    <col min="15631" max="15631" width="10.5703125" bestFit="1" customWidth="1"/>
    <col min="15632" max="15632" width="11.42578125" bestFit="1" customWidth="1"/>
    <col min="15633" max="15633" width="9.42578125" bestFit="1" customWidth="1"/>
    <col min="15634" max="15634" width="8.85546875"/>
    <col min="15635" max="15635" width="9.5703125" bestFit="1" customWidth="1"/>
    <col min="15636" max="15637" width="8.85546875"/>
    <col min="15638" max="15638" width="9.5703125" bestFit="1" customWidth="1"/>
    <col min="15639" max="15653" width="8.85546875"/>
    <col min="15654" max="15654" width="9.5703125" bestFit="1" customWidth="1"/>
    <col min="15655" max="15656" width="8.85546875"/>
    <col min="15657" max="15657" width="9.5703125" bestFit="1" customWidth="1"/>
    <col min="15658" max="15663" width="8.85546875"/>
    <col min="15664" max="15664" width="9.5703125" bestFit="1" customWidth="1"/>
    <col min="15665" max="15666" width="8.85546875"/>
    <col min="15667" max="15667" width="9.5703125" bestFit="1" customWidth="1"/>
    <col min="15668" max="15669" width="8.85546875"/>
    <col min="15670" max="15670" width="9.5703125" bestFit="1" customWidth="1"/>
    <col min="15671" max="15878" width="8.85546875"/>
    <col min="15879" max="15879" width="10.140625" bestFit="1" customWidth="1"/>
    <col min="15880" max="15880" width="14" customWidth="1"/>
    <col min="15881" max="15881" width="10" customWidth="1"/>
    <col min="15882" max="15886" width="8.85546875"/>
    <col min="15887" max="15887" width="10.5703125" bestFit="1" customWidth="1"/>
    <col min="15888" max="15888" width="11.42578125" bestFit="1" customWidth="1"/>
    <col min="15889" max="15889" width="9.42578125" bestFit="1" customWidth="1"/>
    <col min="15890" max="15890" width="8.85546875"/>
    <col min="15891" max="15891" width="9.5703125" bestFit="1" customWidth="1"/>
    <col min="15892" max="15893" width="8.85546875"/>
    <col min="15894" max="15894" width="9.5703125" bestFit="1" customWidth="1"/>
    <col min="15895" max="15909" width="8.85546875"/>
    <col min="15910" max="15910" width="9.5703125" bestFit="1" customWidth="1"/>
    <col min="15911" max="15912" width="8.85546875"/>
    <col min="15913" max="15913" width="9.5703125" bestFit="1" customWidth="1"/>
    <col min="15914" max="15919" width="8.85546875"/>
    <col min="15920" max="15920" width="9.5703125" bestFit="1" customWidth="1"/>
    <col min="15921" max="15922" width="8.85546875"/>
    <col min="15923" max="15923" width="9.5703125" bestFit="1" customWidth="1"/>
    <col min="15924" max="15925" width="8.85546875"/>
    <col min="15926" max="15926" width="9.5703125" bestFit="1" customWidth="1"/>
    <col min="15927" max="16134" width="8.85546875"/>
    <col min="16135" max="16135" width="10.140625" bestFit="1" customWidth="1"/>
    <col min="16136" max="16136" width="14" customWidth="1"/>
    <col min="16137" max="16137" width="10" customWidth="1"/>
    <col min="16138" max="16142" width="8.85546875"/>
    <col min="16143" max="16143" width="10.5703125" bestFit="1" customWidth="1"/>
    <col min="16144" max="16144" width="11.42578125" bestFit="1" customWidth="1"/>
    <col min="16145" max="16145" width="9.42578125" bestFit="1" customWidth="1"/>
    <col min="16146" max="16146" width="8.85546875"/>
    <col min="16147" max="16147" width="9.5703125" bestFit="1" customWidth="1"/>
    <col min="16148" max="16149" width="8.85546875"/>
    <col min="16150" max="16150" width="9.5703125" bestFit="1" customWidth="1"/>
    <col min="16151" max="16165" width="8.85546875"/>
    <col min="16166" max="16166" width="9.5703125" bestFit="1" customWidth="1"/>
    <col min="16167" max="16168" width="8.85546875"/>
    <col min="16169" max="16169" width="9.5703125" bestFit="1" customWidth="1"/>
    <col min="16170" max="16175" width="8.85546875"/>
    <col min="16176" max="16176" width="9.5703125" bestFit="1" customWidth="1"/>
    <col min="16177" max="16178" width="8.85546875"/>
    <col min="16179" max="16179" width="9.5703125" bestFit="1" customWidth="1"/>
    <col min="16180" max="16181" width="8.85546875"/>
    <col min="16182" max="16182" width="9.5703125" bestFit="1" customWidth="1"/>
    <col min="16183" max="16384" width="8.85546875"/>
  </cols>
  <sheetData>
    <row r="1" spans="1:129" x14ac:dyDescent="0.2">
      <c r="I1" s="46" t="s">
        <v>223</v>
      </c>
      <c r="J1" s="46" t="s">
        <v>224</v>
      </c>
      <c r="K1" s="46" t="s">
        <v>225</v>
      </c>
      <c r="L1" s="46" t="s">
        <v>226</v>
      </c>
      <c r="M1" s="46" t="s">
        <v>227</v>
      </c>
      <c r="N1" s="46" t="s">
        <v>228</v>
      </c>
      <c r="O1" s="46" t="s">
        <v>260</v>
      </c>
      <c r="P1" s="354" t="s">
        <v>202</v>
      </c>
      <c r="Q1" s="354"/>
      <c r="R1" s="354"/>
      <c r="S1" s="354"/>
      <c r="T1" s="354"/>
      <c r="U1" s="357"/>
      <c r="V1" s="354" t="s">
        <v>203</v>
      </c>
      <c r="W1" s="354"/>
      <c r="X1" s="354"/>
      <c r="Y1" s="354"/>
      <c r="Z1" s="354"/>
      <c r="AA1" s="354"/>
      <c r="AB1" s="353" t="s">
        <v>175</v>
      </c>
      <c r="AC1" s="354"/>
      <c r="AD1" s="354"/>
      <c r="AE1" s="354"/>
      <c r="AF1" s="354"/>
      <c r="AG1" s="357"/>
      <c r="AH1" s="353" t="s">
        <v>204</v>
      </c>
      <c r="AI1" s="354"/>
      <c r="AJ1" s="354"/>
      <c r="AK1" s="354"/>
      <c r="AL1" s="354"/>
      <c r="AM1" s="357"/>
      <c r="AN1" s="354" t="s">
        <v>205</v>
      </c>
      <c r="AO1" s="354"/>
      <c r="AP1" s="354"/>
      <c r="AQ1" s="354"/>
      <c r="AR1" s="354"/>
      <c r="AS1" s="354"/>
      <c r="AT1" s="353" t="s">
        <v>35</v>
      </c>
      <c r="AU1" s="354"/>
      <c r="AV1" s="354"/>
      <c r="AW1" s="354"/>
      <c r="AX1" s="354"/>
      <c r="AY1" s="354"/>
      <c r="AZ1" s="353" t="s">
        <v>176</v>
      </c>
      <c r="BA1" s="354"/>
      <c r="BB1" s="354"/>
      <c r="BC1" s="354"/>
      <c r="BD1" s="354"/>
      <c r="BE1" s="357"/>
      <c r="BF1" s="353" t="s">
        <v>206</v>
      </c>
      <c r="BG1" s="354"/>
      <c r="BH1" s="354"/>
      <c r="BI1" s="354"/>
      <c r="BJ1" s="354"/>
      <c r="BK1" s="357"/>
      <c r="BL1" s="353" t="s">
        <v>177</v>
      </c>
      <c r="BM1" s="354"/>
      <c r="BN1" s="354"/>
      <c r="BO1" s="354"/>
      <c r="BP1" s="354"/>
      <c r="BQ1" s="357"/>
      <c r="BR1" s="354" t="s">
        <v>207</v>
      </c>
      <c r="BS1" s="354"/>
      <c r="BT1" s="354"/>
      <c r="BU1" s="354"/>
      <c r="BV1" s="354"/>
      <c r="BW1" s="354"/>
      <c r="BX1" s="353" t="s">
        <v>208</v>
      </c>
      <c r="BY1" s="354"/>
      <c r="BZ1" s="354"/>
      <c r="CA1" s="354"/>
      <c r="CB1" s="354"/>
      <c r="CC1" s="357"/>
      <c r="CD1" s="354" t="s">
        <v>42</v>
      </c>
      <c r="CE1" s="354"/>
      <c r="CF1" s="354"/>
      <c r="CG1" s="354"/>
      <c r="CH1" s="354"/>
      <c r="CI1" s="354"/>
      <c r="CJ1" s="343" t="s">
        <v>178</v>
      </c>
      <c r="CK1" s="344"/>
      <c r="CL1" s="344"/>
      <c r="CM1" s="344"/>
      <c r="CN1" s="344"/>
      <c r="CO1" s="344"/>
      <c r="CP1" s="343" t="s">
        <v>209</v>
      </c>
      <c r="CQ1" s="344"/>
      <c r="CR1" s="344"/>
      <c r="CS1" s="344"/>
      <c r="CT1" s="344"/>
      <c r="CU1" s="344"/>
    </row>
    <row r="2" spans="1:129" x14ac:dyDescent="0.2">
      <c r="A2" t="s">
        <v>167</v>
      </c>
      <c r="B2" t="s">
        <v>168</v>
      </c>
      <c r="C2" t="s">
        <v>25</v>
      </c>
      <c r="D2" t="s">
        <v>27</v>
      </c>
      <c r="E2" t="s">
        <v>29</v>
      </c>
      <c r="F2" t="s">
        <v>30</v>
      </c>
      <c r="G2" t="s">
        <v>31</v>
      </c>
      <c r="P2" t="s">
        <v>223</v>
      </c>
      <c r="Q2" t="s">
        <v>224</v>
      </c>
      <c r="R2" t="s">
        <v>225</v>
      </c>
      <c r="S2" t="s">
        <v>226</v>
      </c>
      <c r="T2" t="s">
        <v>227</v>
      </c>
      <c r="U2" s="13" t="s">
        <v>228</v>
      </c>
      <c r="V2" t="s">
        <v>223</v>
      </c>
      <c r="W2" t="s">
        <v>224</v>
      </c>
      <c r="X2" t="s">
        <v>225</v>
      </c>
      <c r="Y2" t="s">
        <v>226</v>
      </c>
      <c r="Z2" t="s">
        <v>227</v>
      </c>
      <c r="AA2" s="13" t="s">
        <v>228</v>
      </c>
      <c r="AB2" t="s">
        <v>223</v>
      </c>
      <c r="AC2" t="s">
        <v>224</v>
      </c>
      <c r="AD2" t="s">
        <v>225</v>
      </c>
      <c r="AE2" t="s">
        <v>226</v>
      </c>
      <c r="AF2" t="s">
        <v>227</v>
      </c>
      <c r="AG2" s="13" t="s">
        <v>228</v>
      </c>
      <c r="AH2" t="s">
        <v>223</v>
      </c>
      <c r="AI2" t="s">
        <v>224</v>
      </c>
      <c r="AJ2" t="s">
        <v>225</v>
      </c>
      <c r="AK2" t="s">
        <v>226</v>
      </c>
      <c r="AL2" t="s">
        <v>227</v>
      </c>
      <c r="AM2" s="13" t="s">
        <v>228</v>
      </c>
      <c r="AN2" t="s">
        <v>223</v>
      </c>
      <c r="AO2" t="s">
        <v>224</v>
      </c>
      <c r="AP2" t="s">
        <v>225</v>
      </c>
      <c r="AQ2" t="s">
        <v>226</v>
      </c>
      <c r="AR2" t="s">
        <v>227</v>
      </c>
      <c r="AS2" s="13" t="s">
        <v>228</v>
      </c>
      <c r="AT2" t="s">
        <v>223</v>
      </c>
      <c r="AU2" t="s">
        <v>224</v>
      </c>
      <c r="AV2" t="s">
        <v>225</v>
      </c>
      <c r="AW2" t="s">
        <v>226</v>
      </c>
      <c r="AX2" t="s">
        <v>227</v>
      </c>
      <c r="AY2" s="13" t="s">
        <v>228</v>
      </c>
      <c r="AZ2" t="s">
        <v>223</v>
      </c>
      <c r="BA2" t="s">
        <v>224</v>
      </c>
      <c r="BB2" t="s">
        <v>225</v>
      </c>
      <c r="BC2" t="s">
        <v>226</v>
      </c>
      <c r="BD2" t="s">
        <v>227</v>
      </c>
      <c r="BE2" s="13" t="s">
        <v>228</v>
      </c>
      <c r="BF2" t="s">
        <v>223</v>
      </c>
      <c r="BG2" t="s">
        <v>224</v>
      </c>
      <c r="BH2" t="s">
        <v>225</v>
      </c>
      <c r="BI2" t="s">
        <v>226</v>
      </c>
      <c r="BJ2" t="s">
        <v>227</v>
      </c>
      <c r="BK2" s="13" t="s">
        <v>228</v>
      </c>
      <c r="BL2" t="s">
        <v>223</v>
      </c>
      <c r="BM2" t="s">
        <v>224</v>
      </c>
      <c r="BN2" t="s">
        <v>225</v>
      </c>
      <c r="BO2" t="s">
        <v>226</v>
      </c>
      <c r="BP2" t="s">
        <v>227</v>
      </c>
      <c r="BQ2" s="13" t="s">
        <v>228</v>
      </c>
      <c r="BR2" t="s">
        <v>223</v>
      </c>
      <c r="BS2" t="s">
        <v>224</v>
      </c>
      <c r="BT2" t="s">
        <v>225</v>
      </c>
      <c r="BU2" t="s">
        <v>226</v>
      </c>
      <c r="BV2" t="s">
        <v>227</v>
      </c>
      <c r="BW2" s="13" t="s">
        <v>228</v>
      </c>
      <c r="BX2" t="s">
        <v>223</v>
      </c>
      <c r="BY2" t="s">
        <v>224</v>
      </c>
      <c r="BZ2" t="s">
        <v>225</v>
      </c>
      <c r="CA2" t="s">
        <v>226</v>
      </c>
      <c r="CB2" t="s">
        <v>227</v>
      </c>
      <c r="CC2" s="13" t="s">
        <v>228</v>
      </c>
      <c r="CD2" t="s">
        <v>223</v>
      </c>
      <c r="CE2" t="s">
        <v>224</v>
      </c>
      <c r="CF2" t="s">
        <v>225</v>
      </c>
      <c r="CG2" t="s">
        <v>226</v>
      </c>
      <c r="CH2" t="s">
        <v>227</v>
      </c>
      <c r="CI2" s="13" t="s">
        <v>228</v>
      </c>
      <c r="CJ2" t="s">
        <v>223</v>
      </c>
      <c r="CK2" t="s">
        <v>224</v>
      </c>
      <c r="CL2" t="s">
        <v>225</v>
      </c>
      <c r="CM2" t="s">
        <v>226</v>
      </c>
      <c r="CN2" t="s">
        <v>227</v>
      </c>
      <c r="CO2" s="13" t="s">
        <v>228</v>
      </c>
      <c r="CP2" t="s">
        <v>223</v>
      </c>
      <c r="CQ2" t="s">
        <v>224</v>
      </c>
      <c r="CR2" t="s">
        <v>225</v>
      </c>
      <c r="CS2" t="s">
        <v>226</v>
      </c>
      <c r="CT2" t="s">
        <v>227</v>
      </c>
      <c r="CU2" t="s">
        <v>228</v>
      </c>
    </row>
    <row r="3" spans="1:129" x14ac:dyDescent="0.2">
      <c r="A3">
        <v>2020</v>
      </c>
      <c r="B3">
        <v>1</v>
      </c>
      <c r="C3" s="7">
        <v>987696733</v>
      </c>
      <c r="D3" s="7">
        <v>573060583</v>
      </c>
      <c r="E3" s="7">
        <v>865233067</v>
      </c>
      <c r="F3" s="7">
        <v>169147784</v>
      </c>
      <c r="G3" s="2">
        <v>4490465</v>
      </c>
      <c r="H3" s="50" t="s">
        <v>202</v>
      </c>
      <c r="I3" s="60" t="e">
        <f t="shared" ref="I3:N3" si="0">P77</f>
        <v>#REF!</v>
      </c>
      <c r="J3" s="60" t="e">
        <f t="shared" si="0"/>
        <v>#REF!</v>
      </c>
      <c r="K3" s="60" t="e">
        <f t="shared" si="0"/>
        <v>#REF!</v>
      </c>
      <c r="L3" s="60" t="e">
        <f t="shared" si="0"/>
        <v>#REF!</v>
      </c>
      <c r="M3" s="60" t="e">
        <f t="shared" si="0"/>
        <v>#REF!</v>
      </c>
      <c r="N3" s="60" t="e">
        <f t="shared" si="0"/>
        <v>#REF!</v>
      </c>
      <c r="O3" s="60" t="e">
        <f>I3+J3+K3+L3+M3+N3</f>
        <v>#REF!</v>
      </c>
      <c r="P3" t="e">
        <f>ROUND($C3*'Allocators Calc'!#REF!,0)</f>
        <v>#REF!</v>
      </c>
      <c r="Q3" t="e">
        <f>ROUND($C3*'Allocators Calc'!#REF!,0)</f>
        <v>#REF!</v>
      </c>
      <c r="R3" t="e">
        <f>ROUND($C3*'Allocators Calc'!#REF!,0)</f>
        <v>#REF!</v>
      </c>
      <c r="S3" t="e">
        <f>ROUND($C3*'Allocators Calc'!#REF!,0)</f>
        <v>#REF!</v>
      </c>
      <c r="T3" t="e">
        <f>ROUND($C3*'Allocators Calc'!#REF!,0)</f>
        <v>#REF!</v>
      </c>
      <c r="U3" s="13" t="e">
        <f>ROUND($C3*'Allocators Calc'!#REF!,0)</f>
        <v>#REF!</v>
      </c>
      <c r="V3" t="e">
        <f>ROUND($C3*'Allocators Calc'!#REF!,0)</f>
        <v>#REF!</v>
      </c>
      <c r="W3" t="e">
        <f>ROUND($C3*'Allocators Calc'!#REF!,0)</f>
        <v>#REF!</v>
      </c>
      <c r="X3" t="e">
        <f>ROUND($C3*'Allocators Calc'!#REF!,0)</f>
        <v>#REF!</v>
      </c>
      <c r="Y3" t="e">
        <f>ROUND($C3*'Allocators Calc'!#REF!,0)</f>
        <v>#REF!</v>
      </c>
      <c r="Z3" t="e">
        <f>ROUND($C3*'Allocators Calc'!#REF!,0)</f>
        <v>#REF!</v>
      </c>
      <c r="AA3" s="13" t="e">
        <f>ROUND($C3*'Allocators Calc'!#REF!,0)</f>
        <v>#REF!</v>
      </c>
      <c r="AB3">
        <f>ROUND($C3*'Allocators Calc'!AG3,0)</f>
        <v>0</v>
      </c>
      <c r="AC3">
        <f>ROUND($C3*'Allocators Calc'!AH3,0)</f>
        <v>0</v>
      </c>
      <c r="AD3">
        <f>ROUND($C3*'Allocators Calc'!AI3,0)</f>
        <v>0</v>
      </c>
      <c r="AE3">
        <f>ROUND($C3*'Allocators Calc'!AJ3,0)</f>
        <v>0</v>
      </c>
      <c r="AF3">
        <f>ROUND($C3*'Allocators Calc'!AK3,0)</f>
        <v>0</v>
      </c>
      <c r="AG3" s="13">
        <f>ROUND($C3*'Allocators Calc'!AL3,0)</f>
        <v>0</v>
      </c>
      <c r="AH3" t="e">
        <f>ROUND($C3*'Allocators Calc'!#REF!,0)</f>
        <v>#REF!</v>
      </c>
      <c r="AI3" t="e">
        <f>ROUND($C3*'Allocators Calc'!#REF!,0)</f>
        <v>#REF!</v>
      </c>
      <c r="AJ3" t="e">
        <f>ROUND($C3*'Allocators Calc'!#REF!,0)</f>
        <v>#REF!</v>
      </c>
      <c r="AK3" t="e">
        <f>ROUND($C3*'Allocators Calc'!#REF!,0)</f>
        <v>#REF!</v>
      </c>
      <c r="AL3" t="e">
        <f>ROUND($C3*'Allocators Calc'!#REF!,0)</f>
        <v>#REF!</v>
      </c>
      <c r="AM3" s="13" t="e">
        <f>ROUND($C3*'Allocators Calc'!#REF!,0)</f>
        <v>#REF!</v>
      </c>
      <c r="AN3" t="e">
        <f>ROUND($C3*'Allocators Calc'!#REF!,0)</f>
        <v>#REF!</v>
      </c>
      <c r="AO3" t="e">
        <f>ROUND($C3*'Allocators Calc'!#REF!,0)</f>
        <v>#REF!</v>
      </c>
      <c r="AP3" t="e">
        <f>ROUND($C3*'Allocators Calc'!#REF!,0)</f>
        <v>#REF!</v>
      </c>
      <c r="AQ3" t="e">
        <f>ROUND($C3*'Allocators Calc'!#REF!,0)</f>
        <v>#REF!</v>
      </c>
      <c r="AR3" t="e">
        <f>ROUND($C3*'Allocators Calc'!#REF!,0)</f>
        <v>#REF!</v>
      </c>
      <c r="AS3" s="13" t="e">
        <f>ROUND($C3*'Allocators Calc'!#REF!,0)</f>
        <v>#REF!</v>
      </c>
      <c r="AT3">
        <f>ROUND($C3*'Allocators Calc'!AM3,0)</f>
        <v>0</v>
      </c>
      <c r="AU3">
        <f>ROUND($C3*'Allocators Calc'!AN3,0)</f>
        <v>0</v>
      </c>
      <c r="AV3">
        <f>ROUND($C3*'Allocators Calc'!AO3,0)</f>
        <v>0</v>
      </c>
      <c r="AW3">
        <f>ROUND($C3*'Allocators Calc'!AP3,0)</f>
        <v>0</v>
      </c>
      <c r="AX3">
        <f>ROUND($C3*'Allocators Calc'!AQ3,0)</f>
        <v>0</v>
      </c>
      <c r="AY3" s="13">
        <f>ROUND($C3*'Allocators Calc'!AR3,0)</f>
        <v>0</v>
      </c>
      <c r="AZ3">
        <f>ROUND($C3*'Allocators Calc'!AS3,0)</f>
        <v>0</v>
      </c>
      <c r="BA3">
        <f>ROUND($C3*'Allocators Calc'!AT3,0)</f>
        <v>0</v>
      </c>
      <c r="BB3">
        <f>ROUND($C3*'Allocators Calc'!AU3,0)</f>
        <v>0</v>
      </c>
      <c r="BC3">
        <f>ROUND($C3*'Allocators Calc'!AV3,0)</f>
        <v>0</v>
      </c>
      <c r="BD3">
        <f>ROUND($C3*'Allocators Calc'!AW3,0)</f>
        <v>0</v>
      </c>
      <c r="BE3" s="13">
        <f>ROUND($C3*'Allocators Calc'!AX3,0)</f>
        <v>0</v>
      </c>
      <c r="BF3" t="e">
        <f>ROUND($C3*'Allocators Calc'!#REF!,0)</f>
        <v>#REF!</v>
      </c>
      <c r="BG3" t="e">
        <f>ROUND($C3*'Allocators Calc'!#REF!,0)</f>
        <v>#REF!</v>
      </c>
      <c r="BH3" t="e">
        <f>ROUND($C3*'Allocators Calc'!#REF!,0)</f>
        <v>#REF!</v>
      </c>
      <c r="BI3" t="e">
        <f>ROUND($C3*'Allocators Calc'!#REF!,0)</f>
        <v>#REF!</v>
      </c>
      <c r="BJ3" t="e">
        <f>ROUND($C3*'Allocators Calc'!#REF!,0)</f>
        <v>#REF!</v>
      </c>
      <c r="BK3" s="13" t="e">
        <f>ROUND($C3*'Allocators Calc'!#REF!,0)</f>
        <v>#REF!</v>
      </c>
      <c r="BL3">
        <f>ROUND($C3*'Allocators Calc'!AY3,0)</f>
        <v>0</v>
      </c>
      <c r="BM3">
        <f>ROUND($C3*'Allocators Calc'!AZ3,0)</f>
        <v>0</v>
      </c>
      <c r="BN3">
        <f>ROUND($C3*'Allocators Calc'!BA3,0)</f>
        <v>0</v>
      </c>
      <c r="BO3">
        <f>ROUND($C3*'Allocators Calc'!BB3,0)</f>
        <v>0</v>
      </c>
      <c r="BP3">
        <f>ROUND($C3*'Allocators Calc'!BC3,0)</f>
        <v>0</v>
      </c>
      <c r="BQ3" s="13">
        <f>ROUND($C3*'Allocators Calc'!BD3,0)</f>
        <v>0</v>
      </c>
      <c r="BR3" t="e">
        <f>ROUND($C3*'Allocators Calc'!#REF!,0)</f>
        <v>#REF!</v>
      </c>
      <c r="BS3" t="e">
        <f>ROUND($C3*'Allocators Calc'!#REF!,0)</f>
        <v>#REF!</v>
      </c>
      <c r="BT3" t="e">
        <f>ROUND($C3*'Allocators Calc'!#REF!,0)</f>
        <v>#REF!</v>
      </c>
      <c r="BU3" t="e">
        <f>ROUND($C3*'Allocators Calc'!#REF!,0)</f>
        <v>#REF!</v>
      </c>
      <c r="BV3" t="e">
        <f>ROUND($C3*'Allocators Calc'!#REF!,0)</f>
        <v>#REF!</v>
      </c>
      <c r="BW3" s="13" t="e">
        <f>ROUND($C3*'Allocators Calc'!#REF!,0)</f>
        <v>#REF!</v>
      </c>
      <c r="BX3" t="e">
        <f>ROUND($C3*'Allocators Calc'!#REF!,0)</f>
        <v>#REF!</v>
      </c>
      <c r="BY3" t="e">
        <f>ROUND($C3*'Allocators Calc'!#REF!,0)</f>
        <v>#REF!</v>
      </c>
      <c r="BZ3" t="e">
        <f>ROUND($C3*'Allocators Calc'!#REF!,0)</f>
        <v>#REF!</v>
      </c>
      <c r="CA3" t="e">
        <f>ROUND($C3*'Allocators Calc'!#REF!,0)</f>
        <v>#REF!</v>
      </c>
      <c r="CB3" t="e">
        <f>ROUND($C3*'Allocators Calc'!#REF!,0)</f>
        <v>#REF!</v>
      </c>
      <c r="CC3" s="13" t="e">
        <f>ROUND($C3*'Allocators Calc'!#REF!,0)</f>
        <v>#REF!</v>
      </c>
      <c r="CD3">
        <f>ROUND($C3*'Allocators Calc'!BE3,0)</f>
        <v>0</v>
      </c>
      <c r="CE3">
        <f>ROUND($C3*'Allocators Calc'!BF3,0)</f>
        <v>0</v>
      </c>
      <c r="CF3">
        <f>ROUND($C3*'Allocators Calc'!BG3,0)</f>
        <v>0</v>
      </c>
      <c r="CG3">
        <f>ROUND($C3*'Allocators Calc'!BH3,0)</f>
        <v>0</v>
      </c>
      <c r="CH3">
        <f>ROUND($C3*'Allocators Calc'!BI3,0)</f>
        <v>0</v>
      </c>
      <c r="CI3" s="13">
        <f>ROUND($C3*'Allocators Calc'!BJ3,0)</f>
        <v>0</v>
      </c>
      <c r="CJ3">
        <f>ROUND($C3*'Allocators Calc'!BK3,0)</f>
        <v>0</v>
      </c>
      <c r="CK3">
        <f>ROUND($C3*'Allocators Calc'!BL3,0)</f>
        <v>0</v>
      </c>
      <c r="CL3">
        <f>ROUND($C3*'Allocators Calc'!BM3,0)</f>
        <v>0</v>
      </c>
      <c r="CM3">
        <f>ROUND($C3*'Allocators Calc'!BN3,0)</f>
        <v>0</v>
      </c>
      <c r="CN3">
        <f>ROUND($C3*'Allocators Calc'!BO3,0)</f>
        <v>0</v>
      </c>
      <c r="CO3" s="13">
        <f>ROUND($C3*'Allocators Calc'!BP3,0)</f>
        <v>0</v>
      </c>
      <c r="CP3" t="e">
        <f>ROUND($C3*'Allocators Calc'!#REF!,0)</f>
        <v>#REF!</v>
      </c>
      <c r="CQ3" t="e">
        <f>ROUND($C3*'Allocators Calc'!#REF!,0)</f>
        <v>#REF!</v>
      </c>
      <c r="CR3" t="e">
        <f>ROUND($C3*'Allocators Calc'!#REF!,0)</f>
        <v>#REF!</v>
      </c>
      <c r="CS3" t="e">
        <f>ROUND($C3*'Allocators Calc'!#REF!,0)</f>
        <v>#REF!</v>
      </c>
      <c r="CT3" t="e">
        <f>ROUND($C3*'Allocators Calc'!#REF!,0)</f>
        <v>#REF!</v>
      </c>
      <c r="CU3" t="e">
        <f>ROUND($C3*'Allocators Calc'!#REF!,0)</f>
        <v>#REF!</v>
      </c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</row>
    <row r="4" spans="1:129" x14ac:dyDescent="0.2">
      <c r="B4">
        <v>2</v>
      </c>
      <c r="C4" s="7">
        <v>875034444</v>
      </c>
      <c r="D4" s="7">
        <v>501696095</v>
      </c>
      <c r="E4" s="7">
        <v>866897247</v>
      </c>
      <c r="F4" s="7">
        <v>161399449</v>
      </c>
      <c r="G4" s="2">
        <v>4376739</v>
      </c>
      <c r="H4" s="50" t="s">
        <v>203</v>
      </c>
      <c r="I4" s="60" t="e">
        <f>V$77</f>
        <v>#REF!</v>
      </c>
      <c r="J4" s="60" t="e">
        <f>W77</f>
        <v>#REF!</v>
      </c>
      <c r="K4" s="60" t="e">
        <f>X77</f>
        <v>#REF!</v>
      </c>
      <c r="L4" s="60" t="e">
        <f>Y77</f>
        <v>#REF!</v>
      </c>
      <c r="M4" s="60" t="e">
        <f>Z77</f>
        <v>#REF!</v>
      </c>
      <c r="N4" s="60" t="e">
        <f>AA77</f>
        <v>#REF!</v>
      </c>
      <c r="O4" s="60" t="e">
        <f t="shared" ref="O4:O15" si="1">I4+J4+K4+L4+M4+N4</f>
        <v>#REF!</v>
      </c>
      <c r="P4" t="e">
        <f>ROUND($C4*'Allocators Calc'!#REF!,0)</f>
        <v>#REF!</v>
      </c>
      <c r="Q4" t="e">
        <f>ROUND($C4*'Allocators Calc'!#REF!,0)</f>
        <v>#REF!</v>
      </c>
      <c r="R4" t="e">
        <f>ROUND($C4*'Allocators Calc'!#REF!,0)</f>
        <v>#REF!</v>
      </c>
      <c r="S4" t="e">
        <f>ROUND($C4*'Allocators Calc'!#REF!,0)</f>
        <v>#REF!</v>
      </c>
      <c r="T4" t="e">
        <f>ROUND($C4*'Allocators Calc'!#REF!,0)</f>
        <v>#REF!</v>
      </c>
      <c r="U4" s="13" t="e">
        <f>ROUND($C4*'Allocators Calc'!#REF!,0)</f>
        <v>#REF!</v>
      </c>
      <c r="V4" t="e">
        <f>ROUND($C4*'Allocators Calc'!#REF!,0)</f>
        <v>#REF!</v>
      </c>
      <c r="W4" t="e">
        <f>ROUND($C4*'Allocators Calc'!#REF!,0)</f>
        <v>#REF!</v>
      </c>
      <c r="X4" t="e">
        <f>ROUND($C4*'Allocators Calc'!#REF!,0)</f>
        <v>#REF!</v>
      </c>
      <c r="Y4" t="e">
        <f>ROUND($C4*'Allocators Calc'!#REF!,0)</f>
        <v>#REF!</v>
      </c>
      <c r="Z4" t="e">
        <f>ROUND($C4*'Allocators Calc'!#REF!,0)</f>
        <v>#REF!</v>
      </c>
      <c r="AA4" s="13" t="e">
        <f>ROUND($C4*'Allocators Calc'!#REF!,0)</f>
        <v>#REF!</v>
      </c>
      <c r="AB4">
        <f>ROUND($C4*'Allocators Calc'!AG4,0)</f>
        <v>0</v>
      </c>
      <c r="AC4">
        <f>ROUND($C4*'Allocators Calc'!AH4,0)</f>
        <v>0</v>
      </c>
      <c r="AD4">
        <f>ROUND($C4*'Allocators Calc'!AI4,0)</f>
        <v>0</v>
      </c>
      <c r="AE4">
        <f>ROUND($C4*'Allocators Calc'!AJ4,0)</f>
        <v>0</v>
      </c>
      <c r="AF4">
        <f>ROUND($C4*'Allocators Calc'!AK4,0)</f>
        <v>0</v>
      </c>
      <c r="AG4" s="13">
        <f>ROUND($C4*'Allocators Calc'!AL4,0)</f>
        <v>0</v>
      </c>
      <c r="AH4" t="e">
        <f>ROUND($C4*'Allocators Calc'!#REF!,0)</f>
        <v>#REF!</v>
      </c>
      <c r="AI4" t="e">
        <f>ROUND($C4*'Allocators Calc'!#REF!,0)</f>
        <v>#REF!</v>
      </c>
      <c r="AJ4" t="e">
        <f>ROUND($C4*'Allocators Calc'!#REF!,0)</f>
        <v>#REF!</v>
      </c>
      <c r="AK4" t="e">
        <f>ROUND($C4*'Allocators Calc'!#REF!,0)</f>
        <v>#REF!</v>
      </c>
      <c r="AL4" t="e">
        <f>ROUND($C4*'Allocators Calc'!#REF!,0)</f>
        <v>#REF!</v>
      </c>
      <c r="AM4" s="13" t="e">
        <f>ROUND($C4*'Allocators Calc'!#REF!,0)</f>
        <v>#REF!</v>
      </c>
      <c r="AN4" t="e">
        <f>ROUND($C4*'Allocators Calc'!#REF!,0)</f>
        <v>#REF!</v>
      </c>
      <c r="AO4" t="e">
        <f>ROUND($C4*'Allocators Calc'!#REF!,0)</f>
        <v>#REF!</v>
      </c>
      <c r="AP4" t="e">
        <f>ROUND($C4*'Allocators Calc'!#REF!,0)</f>
        <v>#REF!</v>
      </c>
      <c r="AQ4" t="e">
        <f>ROUND($C4*'Allocators Calc'!#REF!,0)</f>
        <v>#REF!</v>
      </c>
      <c r="AR4" t="e">
        <f>ROUND($C4*'Allocators Calc'!#REF!,0)</f>
        <v>#REF!</v>
      </c>
      <c r="AS4" s="13" t="e">
        <f>ROUND($C4*'Allocators Calc'!#REF!,0)</f>
        <v>#REF!</v>
      </c>
      <c r="AT4">
        <f>ROUND($C4*'Allocators Calc'!AM4,0)</f>
        <v>0</v>
      </c>
      <c r="AU4">
        <f>ROUND($C4*'Allocators Calc'!AN4,0)</f>
        <v>0</v>
      </c>
      <c r="AV4">
        <f>ROUND($C4*'Allocators Calc'!AO4,0)</f>
        <v>0</v>
      </c>
      <c r="AW4">
        <f>ROUND($C4*'Allocators Calc'!AP4,0)</f>
        <v>0</v>
      </c>
      <c r="AX4">
        <f>ROUND($C4*'Allocators Calc'!AQ4,0)</f>
        <v>0</v>
      </c>
      <c r="AY4" s="13">
        <f>ROUND($C4*'Allocators Calc'!AR4,0)</f>
        <v>0</v>
      </c>
      <c r="AZ4">
        <f>ROUND($C4*'Allocators Calc'!AS4,0)</f>
        <v>0</v>
      </c>
      <c r="BA4">
        <f>ROUND($C4*'Allocators Calc'!AT4,0)</f>
        <v>0</v>
      </c>
      <c r="BB4">
        <f>ROUND($C4*'Allocators Calc'!AU4,0)</f>
        <v>0</v>
      </c>
      <c r="BC4">
        <f>ROUND($C4*'Allocators Calc'!AV4,0)</f>
        <v>0</v>
      </c>
      <c r="BD4">
        <f>ROUND($C4*'Allocators Calc'!AW4,0)</f>
        <v>0</v>
      </c>
      <c r="BE4" s="13">
        <f>ROUND($C4*'Allocators Calc'!AX4,0)</f>
        <v>0</v>
      </c>
      <c r="BF4" t="e">
        <f>ROUND($C4*'Allocators Calc'!#REF!,0)</f>
        <v>#REF!</v>
      </c>
      <c r="BG4" t="e">
        <f>ROUND($C4*'Allocators Calc'!#REF!,0)</f>
        <v>#REF!</v>
      </c>
      <c r="BH4" t="e">
        <f>ROUND($C4*'Allocators Calc'!#REF!,0)</f>
        <v>#REF!</v>
      </c>
      <c r="BI4" t="e">
        <f>ROUND($C4*'Allocators Calc'!#REF!,0)</f>
        <v>#REF!</v>
      </c>
      <c r="BJ4" t="e">
        <f>ROUND($C4*'Allocators Calc'!#REF!,0)</f>
        <v>#REF!</v>
      </c>
      <c r="BK4" s="13" t="e">
        <f>ROUND($C4*'Allocators Calc'!#REF!,0)</f>
        <v>#REF!</v>
      </c>
      <c r="BL4">
        <f>ROUND($C4*'Allocators Calc'!AY4,0)</f>
        <v>0</v>
      </c>
      <c r="BM4">
        <f>ROUND($C4*'Allocators Calc'!AZ4,0)</f>
        <v>0</v>
      </c>
      <c r="BN4">
        <f>ROUND($C4*'Allocators Calc'!BA4,0)</f>
        <v>0</v>
      </c>
      <c r="BO4">
        <f>ROUND($C4*'Allocators Calc'!BB4,0)</f>
        <v>0</v>
      </c>
      <c r="BP4">
        <f>ROUND($C4*'Allocators Calc'!BC4,0)</f>
        <v>0</v>
      </c>
      <c r="BQ4" s="13">
        <f>ROUND($C4*'Allocators Calc'!BD4,0)</f>
        <v>0</v>
      </c>
      <c r="BR4" t="e">
        <f>ROUND($C4*'Allocators Calc'!#REF!,0)</f>
        <v>#REF!</v>
      </c>
      <c r="BS4" t="e">
        <f>ROUND($C4*'Allocators Calc'!#REF!,0)</f>
        <v>#REF!</v>
      </c>
      <c r="BT4" t="e">
        <f>ROUND($C4*'Allocators Calc'!#REF!,0)</f>
        <v>#REF!</v>
      </c>
      <c r="BU4" t="e">
        <f>ROUND($C4*'Allocators Calc'!#REF!,0)</f>
        <v>#REF!</v>
      </c>
      <c r="BV4" t="e">
        <f>ROUND($C4*'Allocators Calc'!#REF!,0)</f>
        <v>#REF!</v>
      </c>
      <c r="BW4" s="13" t="e">
        <f>ROUND($C4*'Allocators Calc'!#REF!,0)</f>
        <v>#REF!</v>
      </c>
      <c r="BX4" t="e">
        <f>ROUND($C4*'Allocators Calc'!#REF!,0)</f>
        <v>#REF!</v>
      </c>
      <c r="BY4" t="e">
        <f>ROUND($C4*'Allocators Calc'!#REF!,0)</f>
        <v>#REF!</v>
      </c>
      <c r="BZ4" t="e">
        <f>ROUND($C4*'Allocators Calc'!#REF!,0)</f>
        <v>#REF!</v>
      </c>
      <c r="CA4" t="e">
        <f>ROUND($C4*'Allocators Calc'!#REF!,0)</f>
        <v>#REF!</v>
      </c>
      <c r="CB4" t="e">
        <f>ROUND($C4*'Allocators Calc'!#REF!,0)</f>
        <v>#REF!</v>
      </c>
      <c r="CC4" s="13" t="e">
        <f>ROUND($C4*'Allocators Calc'!#REF!,0)</f>
        <v>#REF!</v>
      </c>
      <c r="CD4">
        <f>ROUND($C4*'Allocators Calc'!BE4,0)</f>
        <v>0</v>
      </c>
      <c r="CE4">
        <f>ROUND($C4*'Allocators Calc'!BF4,0)</f>
        <v>0</v>
      </c>
      <c r="CF4">
        <f>ROUND($C4*'Allocators Calc'!BG4,0)</f>
        <v>0</v>
      </c>
      <c r="CG4">
        <f>ROUND($C4*'Allocators Calc'!BH4,0)</f>
        <v>0</v>
      </c>
      <c r="CH4">
        <f>ROUND($C4*'Allocators Calc'!BI4,0)</f>
        <v>0</v>
      </c>
      <c r="CI4" s="13">
        <f>ROUND($C4*'Allocators Calc'!BJ4,0)</f>
        <v>0</v>
      </c>
      <c r="CJ4">
        <f>ROUND($C4*'Allocators Calc'!BK4,0)</f>
        <v>0</v>
      </c>
      <c r="CK4">
        <f>ROUND($C4*'Allocators Calc'!BL4,0)</f>
        <v>0</v>
      </c>
      <c r="CL4">
        <f>ROUND($C4*'Allocators Calc'!BM4,0)</f>
        <v>0</v>
      </c>
      <c r="CM4">
        <f>ROUND($C4*'Allocators Calc'!BN4,0)</f>
        <v>0</v>
      </c>
      <c r="CN4">
        <f>ROUND($C4*'Allocators Calc'!BO4,0)</f>
        <v>0</v>
      </c>
      <c r="CO4" s="13">
        <f>ROUND($C4*'Allocators Calc'!BP4,0)</f>
        <v>0</v>
      </c>
      <c r="CP4" t="e">
        <f>ROUND($C4*'Allocators Calc'!#REF!,0)</f>
        <v>#REF!</v>
      </c>
      <c r="CQ4" t="e">
        <f>ROUND($C4*'Allocators Calc'!#REF!,0)</f>
        <v>#REF!</v>
      </c>
      <c r="CR4" t="e">
        <f>ROUND($C4*'Allocators Calc'!#REF!,0)</f>
        <v>#REF!</v>
      </c>
      <c r="CS4" t="e">
        <f>ROUND($C4*'Allocators Calc'!#REF!,0)</f>
        <v>#REF!</v>
      </c>
      <c r="CT4" t="e">
        <f>ROUND($C4*'Allocators Calc'!#REF!,0)</f>
        <v>#REF!</v>
      </c>
      <c r="CU4" t="e">
        <f>ROUND($C4*'Allocators Calc'!#REF!,0)</f>
        <v>#REF!</v>
      </c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</row>
    <row r="5" spans="1:129" x14ac:dyDescent="0.2">
      <c r="B5">
        <v>3</v>
      </c>
      <c r="C5" s="7">
        <v>757062111</v>
      </c>
      <c r="D5" s="7">
        <v>477421998</v>
      </c>
      <c r="E5" s="7">
        <v>872262316</v>
      </c>
      <c r="F5" s="7">
        <v>155688121</v>
      </c>
      <c r="G5" s="2">
        <v>4352001</v>
      </c>
      <c r="H5" s="50" t="s">
        <v>175</v>
      </c>
      <c r="I5" s="60">
        <f t="shared" ref="I5:N5" si="2">AB$77</f>
        <v>127113</v>
      </c>
      <c r="J5" s="60">
        <f t="shared" si="2"/>
        <v>271393</v>
      </c>
      <c r="K5" s="60">
        <f t="shared" si="2"/>
        <v>497051</v>
      </c>
      <c r="L5" s="60">
        <f t="shared" si="2"/>
        <v>109833597</v>
      </c>
      <c r="M5" s="60">
        <f t="shared" si="2"/>
        <v>44460728</v>
      </c>
      <c r="N5" s="60">
        <f t="shared" si="2"/>
        <v>46026652</v>
      </c>
      <c r="O5" s="60">
        <f t="shared" si="1"/>
        <v>201216534</v>
      </c>
      <c r="P5" t="e">
        <f>ROUND($C5*'Allocators Calc'!#REF!,0)</f>
        <v>#REF!</v>
      </c>
      <c r="Q5" t="e">
        <f>ROUND($C5*'Allocators Calc'!#REF!,0)</f>
        <v>#REF!</v>
      </c>
      <c r="R5" t="e">
        <f>ROUND($C5*'Allocators Calc'!#REF!,0)</f>
        <v>#REF!</v>
      </c>
      <c r="S5" t="e">
        <f>ROUND($C5*'Allocators Calc'!#REF!,0)</f>
        <v>#REF!</v>
      </c>
      <c r="T5" t="e">
        <f>ROUND($C5*'Allocators Calc'!#REF!,0)</f>
        <v>#REF!</v>
      </c>
      <c r="U5" s="13" t="e">
        <f>ROUND($C5*'Allocators Calc'!#REF!,0)</f>
        <v>#REF!</v>
      </c>
      <c r="V5" t="e">
        <f>ROUND($C5*'Allocators Calc'!#REF!,0)</f>
        <v>#REF!</v>
      </c>
      <c r="W5" t="e">
        <f>ROUND($C5*'Allocators Calc'!#REF!,0)</f>
        <v>#REF!</v>
      </c>
      <c r="X5" t="e">
        <f>ROUND($C5*'Allocators Calc'!#REF!,0)</f>
        <v>#REF!</v>
      </c>
      <c r="Y5" t="e">
        <f>ROUND($C5*'Allocators Calc'!#REF!,0)</f>
        <v>#REF!</v>
      </c>
      <c r="Z5" t="e">
        <f>ROUND($C5*'Allocators Calc'!#REF!,0)</f>
        <v>#REF!</v>
      </c>
      <c r="AA5" s="13" t="e">
        <f>ROUND($C5*'Allocators Calc'!#REF!,0)</f>
        <v>#REF!</v>
      </c>
      <c r="AB5">
        <f>ROUND($C5*'Allocators Calc'!AG5,0)</f>
        <v>0</v>
      </c>
      <c r="AC5">
        <f>ROUND($C5*'Allocators Calc'!AH5,0)</f>
        <v>0</v>
      </c>
      <c r="AD5">
        <f>ROUND($C5*'Allocators Calc'!AI5,0)</f>
        <v>0</v>
      </c>
      <c r="AE5">
        <f>ROUND($C5*'Allocators Calc'!AJ5,0)</f>
        <v>0</v>
      </c>
      <c r="AF5">
        <f>ROUND($C5*'Allocators Calc'!AK5,0)</f>
        <v>0</v>
      </c>
      <c r="AG5" s="13">
        <f>ROUND($C5*'Allocators Calc'!AL5,0)</f>
        <v>0</v>
      </c>
      <c r="AH5" t="e">
        <f>ROUND($C5*'Allocators Calc'!#REF!,0)</f>
        <v>#REF!</v>
      </c>
      <c r="AI5" t="e">
        <f>ROUND($C5*'Allocators Calc'!#REF!,0)</f>
        <v>#REF!</v>
      </c>
      <c r="AJ5" t="e">
        <f>ROUND($C5*'Allocators Calc'!#REF!,0)</f>
        <v>#REF!</v>
      </c>
      <c r="AK5" t="e">
        <f>ROUND($C5*'Allocators Calc'!#REF!,0)</f>
        <v>#REF!</v>
      </c>
      <c r="AL5" t="e">
        <f>ROUND($C5*'Allocators Calc'!#REF!,0)</f>
        <v>#REF!</v>
      </c>
      <c r="AM5" s="13" t="e">
        <f>ROUND($C5*'Allocators Calc'!#REF!,0)</f>
        <v>#REF!</v>
      </c>
      <c r="AN5" t="e">
        <f>ROUND($C5*'Allocators Calc'!#REF!,0)</f>
        <v>#REF!</v>
      </c>
      <c r="AO5" t="e">
        <f>ROUND($C5*'Allocators Calc'!#REF!,0)</f>
        <v>#REF!</v>
      </c>
      <c r="AP5" t="e">
        <f>ROUND($C5*'Allocators Calc'!#REF!,0)</f>
        <v>#REF!</v>
      </c>
      <c r="AQ5" t="e">
        <f>ROUND($C5*'Allocators Calc'!#REF!,0)</f>
        <v>#REF!</v>
      </c>
      <c r="AR5" t="e">
        <f>ROUND($C5*'Allocators Calc'!#REF!,0)</f>
        <v>#REF!</v>
      </c>
      <c r="AS5" s="13" t="e">
        <f>ROUND($C5*'Allocators Calc'!#REF!,0)</f>
        <v>#REF!</v>
      </c>
      <c r="AT5">
        <f>ROUND($C5*'Allocators Calc'!AM5,0)</f>
        <v>0</v>
      </c>
      <c r="AU5">
        <f>ROUND($C5*'Allocators Calc'!AN5,0)</f>
        <v>0</v>
      </c>
      <c r="AV5">
        <f>ROUND($C5*'Allocators Calc'!AO5,0)</f>
        <v>0</v>
      </c>
      <c r="AW5">
        <f>ROUND($C5*'Allocators Calc'!AP5,0)</f>
        <v>0</v>
      </c>
      <c r="AX5">
        <f>ROUND($C5*'Allocators Calc'!AQ5,0)</f>
        <v>0</v>
      </c>
      <c r="AY5" s="13">
        <f>ROUND($C5*'Allocators Calc'!AR5,0)</f>
        <v>0</v>
      </c>
      <c r="AZ5">
        <f>ROUND($C5*'Allocators Calc'!AS5,0)</f>
        <v>0</v>
      </c>
      <c r="BA5">
        <f>ROUND($C5*'Allocators Calc'!AT5,0)</f>
        <v>0</v>
      </c>
      <c r="BB5">
        <f>ROUND($C5*'Allocators Calc'!AU5,0)</f>
        <v>0</v>
      </c>
      <c r="BC5">
        <f>ROUND($C5*'Allocators Calc'!AV5,0)</f>
        <v>0</v>
      </c>
      <c r="BD5">
        <f>ROUND($C5*'Allocators Calc'!AW5,0)</f>
        <v>0</v>
      </c>
      <c r="BE5" s="13">
        <f>ROUND($C5*'Allocators Calc'!AX5,0)</f>
        <v>0</v>
      </c>
      <c r="BF5" t="e">
        <f>ROUND($C5*'Allocators Calc'!#REF!,0)</f>
        <v>#REF!</v>
      </c>
      <c r="BG5" t="e">
        <f>ROUND($C5*'Allocators Calc'!#REF!,0)</f>
        <v>#REF!</v>
      </c>
      <c r="BH5" t="e">
        <f>ROUND($C5*'Allocators Calc'!#REF!,0)</f>
        <v>#REF!</v>
      </c>
      <c r="BI5" t="e">
        <f>ROUND($C5*'Allocators Calc'!#REF!,0)</f>
        <v>#REF!</v>
      </c>
      <c r="BJ5" t="e">
        <f>ROUND($C5*'Allocators Calc'!#REF!,0)</f>
        <v>#REF!</v>
      </c>
      <c r="BK5" s="13" t="e">
        <f>ROUND($C5*'Allocators Calc'!#REF!,0)</f>
        <v>#REF!</v>
      </c>
      <c r="BL5">
        <f>ROUND($C5*'Allocators Calc'!AY5,0)</f>
        <v>0</v>
      </c>
      <c r="BM5">
        <f>ROUND($C5*'Allocators Calc'!AZ5,0)</f>
        <v>0</v>
      </c>
      <c r="BN5">
        <f>ROUND($C5*'Allocators Calc'!BA5,0)</f>
        <v>0</v>
      </c>
      <c r="BO5">
        <f>ROUND($C5*'Allocators Calc'!BB5,0)</f>
        <v>0</v>
      </c>
      <c r="BP5">
        <f>ROUND($C5*'Allocators Calc'!BC5,0)</f>
        <v>0</v>
      </c>
      <c r="BQ5" s="13">
        <f>ROUND($C5*'Allocators Calc'!BD5,0)</f>
        <v>0</v>
      </c>
      <c r="BR5" t="e">
        <f>ROUND($C5*'Allocators Calc'!#REF!,0)</f>
        <v>#REF!</v>
      </c>
      <c r="BS5" t="e">
        <f>ROUND($C5*'Allocators Calc'!#REF!,0)</f>
        <v>#REF!</v>
      </c>
      <c r="BT5" t="e">
        <f>ROUND($C5*'Allocators Calc'!#REF!,0)</f>
        <v>#REF!</v>
      </c>
      <c r="BU5" t="e">
        <f>ROUND($C5*'Allocators Calc'!#REF!,0)</f>
        <v>#REF!</v>
      </c>
      <c r="BV5" t="e">
        <f>ROUND($C5*'Allocators Calc'!#REF!,0)</f>
        <v>#REF!</v>
      </c>
      <c r="BW5" s="13" t="e">
        <f>ROUND($C5*'Allocators Calc'!#REF!,0)</f>
        <v>#REF!</v>
      </c>
      <c r="BX5" t="e">
        <f>ROUND($C5*'Allocators Calc'!#REF!,0)</f>
        <v>#REF!</v>
      </c>
      <c r="BY5" t="e">
        <f>ROUND($C5*'Allocators Calc'!#REF!,0)</f>
        <v>#REF!</v>
      </c>
      <c r="BZ5" t="e">
        <f>ROUND($C5*'Allocators Calc'!#REF!,0)</f>
        <v>#REF!</v>
      </c>
      <c r="CA5" t="e">
        <f>ROUND($C5*'Allocators Calc'!#REF!,0)</f>
        <v>#REF!</v>
      </c>
      <c r="CB5" t="e">
        <f>ROUND($C5*'Allocators Calc'!#REF!,0)</f>
        <v>#REF!</v>
      </c>
      <c r="CC5" s="13" t="e">
        <f>ROUND($C5*'Allocators Calc'!#REF!,0)</f>
        <v>#REF!</v>
      </c>
      <c r="CD5">
        <f>ROUND($C5*'Allocators Calc'!BE5,0)</f>
        <v>0</v>
      </c>
      <c r="CE5">
        <f>ROUND($C5*'Allocators Calc'!BF5,0)</f>
        <v>0</v>
      </c>
      <c r="CF5">
        <f>ROUND($C5*'Allocators Calc'!BG5,0)</f>
        <v>0</v>
      </c>
      <c r="CG5">
        <f>ROUND($C5*'Allocators Calc'!BH5,0)</f>
        <v>0</v>
      </c>
      <c r="CH5">
        <f>ROUND($C5*'Allocators Calc'!BI5,0)</f>
        <v>0</v>
      </c>
      <c r="CI5" s="13">
        <f>ROUND($C5*'Allocators Calc'!BJ5,0)</f>
        <v>0</v>
      </c>
      <c r="CJ5">
        <f>ROUND($C5*'Allocators Calc'!BK5,0)</f>
        <v>0</v>
      </c>
      <c r="CK5">
        <f>ROUND($C5*'Allocators Calc'!BL5,0)</f>
        <v>0</v>
      </c>
      <c r="CL5">
        <f>ROUND($C5*'Allocators Calc'!BM5,0)</f>
        <v>0</v>
      </c>
      <c r="CM5">
        <f>ROUND($C5*'Allocators Calc'!BN5,0)</f>
        <v>0</v>
      </c>
      <c r="CN5">
        <f>ROUND($C5*'Allocators Calc'!BO5,0)</f>
        <v>0</v>
      </c>
      <c r="CO5" s="13">
        <f>ROUND($C5*'Allocators Calc'!BP5,0)</f>
        <v>0</v>
      </c>
      <c r="CP5" t="e">
        <f>ROUND($C5*'Allocators Calc'!#REF!,0)</f>
        <v>#REF!</v>
      </c>
      <c r="CQ5" t="e">
        <f>ROUND($C5*'Allocators Calc'!#REF!,0)</f>
        <v>#REF!</v>
      </c>
      <c r="CR5" t="e">
        <f>ROUND($C5*'Allocators Calc'!#REF!,0)</f>
        <v>#REF!</v>
      </c>
      <c r="CS5" t="e">
        <f>ROUND($C5*'Allocators Calc'!#REF!,0)</f>
        <v>#REF!</v>
      </c>
      <c r="CT5" t="e">
        <f>ROUND($C5*'Allocators Calc'!#REF!,0)</f>
        <v>#REF!</v>
      </c>
      <c r="CU5" t="e">
        <f>ROUND($C5*'Allocators Calc'!#REF!,0)</f>
        <v>#REF!</v>
      </c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</row>
    <row r="6" spans="1:129" x14ac:dyDescent="0.2">
      <c r="B6">
        <v>4</v>
      </c>
      <c r="C6" s="7">
        <v>624370444</v>
      </c>
      <c r="D6" s="7">
        <v>471813647</v>
      </c>
      <c r="E6" s="7">
        <v>880062003</v>
      </c>
      <c r="F6" s="7">
        <v>160938868</v>
      </c>
      <c r="G6" s="2">
        <v>4316986</v>
      </c>
      <c r="H6" s="50" t="s">
        <v>204</v>
      </c>
      <c r="I6" s="60" t="e">
        <f t="shared" ref="I6:N6" si="3">AH$77</f>
        <v>#REF!</v>
      </c>
      <c r="J6" s="60" t="e">
        <f t="shared" si="3"/>
        <v>#REF!</v>
      </c>
      <c r="K6" s="60" t="e">
        <f t="shared" si="3"/>
        <v>#REF!</v>
      </c>
      <c r="L6" s="60" t="e">
        <f t="shared" si="3"/>
        <v>#REF!</v>
      </c>
      <c r="M6" s="60" t="e">
        <f t="shared" si="3"/>
        <v>#REF!</v>
      </c>
      <c r="N6" s="60" t="e">
        <f t="shared" si="3"/>
        <v>#REF!</v>
      </c>
      <c r="O6" s="60" t="e">
        <f t="shared" si="1"/>
        <v>#REF!</v>
      </c>
      <c r="P6" t="e">
        <f>ROUND($C6*'Allocators Calc'!#REF!,0)</f>
        <v>#REF!</v>
      </c>
      <c r="Q6" t="e">
        <f>ROUND($C6*'Allocators Calc'!#REF!,0)</f>
        <v>#REF!</v>
      </c>
      <c r="R6" t="e">
        <f>ROUND($C6*'Allocators Calc'!#REF!,0)</f>
        <v>#REF!</v>
      </c>
      <c r="S6" t="e">
        <f>ROUND($C6*'Allocators Calc'!#REF!,0)</f>
        <v>#REF!</v>
      </c>
      <c r="T6" t="e">
        <f>ROUND($C6*'Allocators Calc'!#REF!,0)</f>
        <v>#REF!</v>
      </c>
      <c r="U6" s="13" t="e">
        <f>ROUND($C6*'Allocators Calc'!#REF!,0)</f>
        <v>#REF!</v>
      </c>
      <c r="V6" t="e">
        <f>ROUND($C6*'Allocators Calc'!#REF!,0)</f>
        <v>#REF!</v>
      </c>
      <c r="W6" t="e">
        <f>ROUND($C6*'Allocators Calc'!#REF!,0)</f>
        <v>#REF!</v>
      </c>
      <c r="X6" t="e">
        <f>ROUND($C6*'Allocators Calc'!#REF!,0)</f>
        <v>#REF!</v>
      </c>
      <c r="Y6" t="e">
        <f>ROUND($C6*'Allocators Calc'!#REF!,0)</f>
        <v>#REF!</v>
      </c>
      <c r="Z6" t="e">
        <f>ROUND($C6*'Allocators Calc'!#REF!,0)</f>
        <v>#REF!</v>
      </c>
      <c r="AA6" s="13" t="e">
        <f>ROUND($C6*'Allocators Calc'!#REF!,0)</f>
        <v>#REF!</v>
      </c>
      <c r="AB6">
        <f>ROUND($C6*'Allocators Calc'!AG6,0)</f>
        <v>0</v>
      </c>
      <c r="AC6">
        <f>ROUND($C6*'Allocators Calc'!AH6,0)</f>
        <v>0</v>
      </c>
      <c r="AD6">
        <f>ROUND($C6*'Allocators Calc'!AI6,0)</f>
        <v>0</v>
      </c>
      <c r="AE6">
        <f>ROUND($C6*'Allocators Calc'!AJ6,0)</f>
        <v>0</v>
      </c>
      <c r="AF6">
        <f>ROUND($C6*'Allocators Calc'!AK6,0)</f>
        <v>0</v>
      </c>
      <c r="AG6" s="13">
        <f>ROUND($C6*'Allocators Calc'!AL6,0)</f>
        <v>0</v>
      </c>
      <c r="AH6" t="e">
        <f>ROUND($C6*'Allocators Calc'!#REF!,0)</f>
        <v>#REF!</v>
      </c>
      <c r="AI6" t="e">
        <f>ROUND($C6*'Allocators Calc'!#REF!,0)</f>
        <v>#REF!</v>
      </c>
      <c r="AJ6" t="e">
        <f>ROUND($C6*'Allocators Calc'!#REF!,0)</f>
        <v>#REF!</v>
      </c>
      <c r="AK6" t="e">
        <f>ROUND($C6*'Allocators Calc'!#REF!,0)</f>
        <v>#REF!</v>
      </c>
      <c r="AL6" t="e">
        <f>ROUND($C6*'Allocators Calc'!#REF!,0)</f>
        <v>#REF!</v>
      </c>
      <c r="AM6" s="13" t="e">
        <f>ROUND($C6*'Allocators Calc'!#REF!,0)</f>
        <v>#REF!</v>
      </c>
      <c r="AN6" t="e">
        <f>ROUND($C6*'Allocators Calc'!#REF!,0)</f>
        <v>#REF!</v>
      </c>
      <c r="AO6" t="e">
        <f>ROUND($C6*'Allocators Calc'!#REF!,0)</f>
        <v>#REF!</v>
      </c>
      <c r="AP6" t="e">
        <f>ROUND($C6*'Allocators Calc'!#REF!,0)</f>
        <v>#REF!</v>
      </c>
      <c r="AQ6" t="e">
        <f>ROUND($C6*'Allocators Calc'!#REF!,0)</f>
        <v>#REF!</v>
      </c>
      <c r="AR6" t="e">
        <f>ROUND($C6*'Allocators Calc'!#REF!,0)</f>
        <v>#REF!</v>
      </c>
      <c r="AS6" s="13" t="e">
        <f>ROUND($C6*'Allocators Calc'!#REF!,0)</f>
        <v>#REF!</v>
      </c>
      <c r="AT6">
        <f>ROUND($C6*'Allocators Calc'!AM6,0)</f>
        <v>0</v>
      </c>
      <c r="AU6">
        <f>ROUND($C6*'Allocators Calc'!AN6,0)</f>
        <v>0</v>
      </c>
      <c r="AV6">
        <f>ROUND($C6*'Allocators Calc'!AO6,0)</f>
        <v>0</v>
      </c>
      <c r="AW6">
        <f>ROUND($C6*'Allocators Calc'!AP6,0)</f>
        <v>0</v>
      </c>
      <c r="AX6">
        <f>ROUND($C6*'Allocators Calc'!AQ6,0)</f>
        <v>0</v>
      </c>
      <c r="AY6" s="13">
        <f>ROUND($C6*'Allocators Calc'!AR6,0)</f>
        <v>0</v>
      </c>
      <c r="AZ6">
        <f>ROUND($C6*'Allocators Calc'!AS6,0)</f>
        <v>0</v>
      </c>
      <c r="BA6">
        <f>ROUND($C6*'Allocators Calc'!AT6,0)</f>
        <v>0</v>
      </c>
      <c r="BB6">
        <f>ROUND($C6*'Allocators Calc'!AU6,0)</f>
        <v>0</v>
      </c>
      <c r="BC6">
        <f>ROUND($C6*'Allocators Calc'!AV6,0)</f>
        <v>0</v>
      </c>
      <c r="BD6">
        <f>ROUND($C6*'Allocators Calc'!AW6,0)</f>
        <v>0</v>
      </c>
      <c r="BE6" s="13">
        <f>ROUND($C6*'Allocators Calc'!AX6,0)</f>
        <v>0</v>
      </c>
      <c r="BF6" t="e">
        <f>ROUND($C6*'Allocators Calc'!#REF!,0)</f>
        <v>#REF!</v>
      </c>
      <c r="BG6" t="e">
        <f>ROUND($C6*'Allocators Calc'!#REF!,0)</f>
        <v>#REF!</v>
      </c>
      <c r="BH6" t="e">
        <f>ROUND($C6*'Allocators Calc'!#REF!,0)</f>
        <v>#REF!</v>
      </c>
      <c r="BI6" t="e">
        <f>ROUND($C6*'Allocators Calc'!#REF!,0)</f>
        <v>#REF!</v>
      </c>
      <c r="BJ6" t="e">
        <f>ROUND($C6*'Allocators Calc'!#REF!,0)</f>
        <v>#REF!</v>
      </c>
      <c r="BK6" s="13" t="e">
        <f>ROUND($C6*'Allocators Calc'!#REF!,0)</f>
        <v>#REF!</v>
      </c>
      <c r="BL6">
        <f>ROUND($C6*'Allocators Calc'!AY6,0)</f>
        <v>0</v>
      </c>
      <c r="BM6">
        <f>ROUND($C6*'Allocators Calc'!AZ6,0)</f>
        <v>0</v>
      </c>
      <c r="BN6">
        <f>ROUND($C6*'Allocators Calc'!BA6,0)</f>
        <v>0</v>
      </c>
      <c r="BO6">
        <f>ROUND($C6*'Allocators Calc'!BB6,0)</f>
        <v>0</v>
      </c>
      <c r="BP6">
        <f>ROUND($C6*'Allocators Calc'!BC6,0)</f>
        <v>0</v>
      </c>
      <c r="BQ6" s="13">
        <f>ROUND($C6*'Allocators Calc'!BD6,0)</f>
        <v>0</v>
      </c>
      <c r="BR6" t="e">
        <f>ROUND($C6*'Allocators Calc'!#REF!,0)</f>
        <v>#REF!</v>
      </c>
      <c r="BS6" t="e">
        <f>ROUND($C6*'Allocators Calc'!#REF!,0)</f>
        <v>#REF!</v>
      </c>
      <c r="BT6" t="e">
        <f>ROUND($C6*'Allocators Calc'!#REF!,0)</f>
        <v>#REF!</v>
      </c>
      <c r="BU6" t="e">
        <f>ROUND($C6*'Allocators Calc'!#REF!,0)</f>
        <v>#REF!</v>
      </c>
      <c r="BV6" t="e">
        <f>ROUND($C6*'Allocators Calc'!#REF!,0)</f>
        <v>#REF!</v>
      </c>
      <c r="BW6" s="13" t="e">
        <f>ROUND($C6*'Allocators Calc'!#REF!,0)</f>
        <v>#REF!</v>
      </c>
      <c r="BX6" t="e">
        <f>ROUND($C6*'Allocators Calc'!#REF!,0)</f>
        <v>#REF!</v>
      </c>
      <c r="BY6" t="e">
        <f>ROUND($C6*'Allocators Calc'!#REF!,0)</f>
        <v>#REF!</v>
      </c>
      <c r="BZ6" t="e">
        <f>ROUND($C6*'Allocators Calc'!#REF!,0)</f>
        <v>#REF!</v>
      </c>
      <c r="CA6" t="e">
        <f>ROUND($C6*'Allocators Calc'!#REF!,0)</f>
        <v>#REF!</v>
      </c>
      <c r="CB6" t="e">
        <f>ROUND($C6*'Allocators Calc'!#REF!,0)</f>
        <v>#REF!</v>
      </c>
      <c r="CC6" s="13" t="e">
        <f>ROUND($C6*'Allocators Calc'!#REF!,0)</f>
        <v>#REF!</v>
      </c>
      <c r="CD6">
        <f>ROUND($C6*'Allocators Calc'!BE6,0)</f>
        <v>0</v>
      </c>
      <c r="CE6">
        <f>ROUND($C6*'Allocators Calc'!BF6,0)</f>
        <v>0</v>
      </c>
      <c r="CF6">
        <f>ROUND($C6*'Allocators Calc'!BG6,0)</f>
        <v>0</v>
      </c>
      <c r="CG6">
        <f>ROUND($C6*'Allocators Calc'!BH6,0)</f>
        <v>0</v>
      </c>
      <c r="CH6">
        <f>ROUND($C6*'Allocators Calc'!BI6,0)</f>
        <v>0</v>
      </c>
      <c r="CI6" s="13">
        <f>ROUND($C6*'Allocators Calc'!BJ6,0)</f>
        <v>0</v>
      </c>
      <c r="CJ6">
        <f>ROUND($C6*'Allocators Calc'!BK6,0)</f>
        <v>0</v>
      </c>
      <c r="CK6">
        <f>ROUND($C6*'Allocators Calc'!BL6,0)</f>
        <v>0</v>
      </c>
      <c r="CL6">
        <f>ROUND($C6*'Allocators Calc'!BM6,0)</f>
        <v>0</v>
      </c>
      <c r="CM6">
        <f>ROUND($C6*'Allocators Calc'!BN6,0)</f>
        <v>0</v>
      </c>
      <c r="CN6">
        <f>ROUND($C6*'Allocators Calc'!BO6,0)</f>
        <v>0</v>
      </c>
      <c r="CO6" s="13">
        <f>ROUND($C6*'Allocators Calc'!BP6,0)</f>
        <v>0</v>
      </c>
      <c r="CP6" t="e">
        <f>ROUND($C6*'Allocators Calc'!#REF!,0)</f>
        <v>#REF!</v>
      </c>
      <c r="CQ6" t="e">
        <f>ROUND($C6*'Allocators Calc'!#REF!,0)</f>
        <v>#REF!</v>
      </c>
      <c r="CR6" t="e">
        <f>ROUND($C6*'Allocators Calc'!#REF!,0)</f>
        <v>#REF!</v>
      </c>
      <c r="CS6" t="e">
        <f>ROUND($C6*'Allocators Calc'!#REF!,0)</f>
        <v>#REF!</v>
      </c>
      <c r="CT6" t="e">
        <f>ROUND($C6*'Allocators Calc'!#REF!,0)</f>
        <v>#REF!</v>
      </c>
      <c r="CU6" t="e">
        <f>ROUND($C6*'Allocators Calc'!#REF!,0)</f>
        <v>#REF!</v>
      </c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</row>
    <row r="7" spans="1:129" x14ac:dyDescent="0.2">
      <c r="B7">
        <v>5</v>
      </c>
      <c r="C7" s="7">
        <v>526176991</v>
      </c>
      <c r="D7" s="7">
        <v>475432475</v>
      </c>
      <c r="E7" s="7">
        <v>887065865</v>
      </c>
      <c r="F7" s="7">
        <v>165230264</v>
      </c>
      <c r="G7" s="2">
        <v>4279322</v>
      </c>
      <c r="H7" s="50" t="s">
        <v>205</v>
      </c>
      <c r="I7" s="60" t="e">
        <f t="shared" ref="I7:N7" si="4">AN$77</f>
        <v>#REF!</v>
      </c>
      <c r="J7" s="60" t="e">
        <f t="shared" si="4"/>
        <v>#REF!</v>
      </c>
      <c r="K7" s="60" t="e">
        <f t="shared" si="4"/>
        <v>#REF!</v>
      </c>
      <c r="L7" s="60" t="e">
        <f t="shared" si="4"/>
        <v>#REF!</v>
      </c>
      <c r="M7" s="60" t="e">
        <f t="shared" si="4"/>
        <v>#REF!</v>
      </c>
      <c r="N7" s="60" t="e">
        <f t="shared" si="4"/>
        <v>#REF!</v>
      </c>
      <c r="O7" s="60" t="e">
        <f t="shared" si="1"/>
        <v>#REF!</v>
      </c>
      <c r="P7" t="e">
        <f>ROUND($C7*'Allocators Calc'!#REF!,0)</f>
        <v>#REF!</v>
      </c>
      <c r="Q7" t="e">
        <f>ROUND($C7*'Allocators Calc'!#REF!,0)</f>
        <v>#REF!</v>
      </c>
      <c r="R7" t="e">
        <f>ROUND($C7*'Allocators Calc'!#REF!,0)</f>
        <v>#REF!</v>
      </c>
      <c r="S7" t="e">
        <f>ROUND($C7*'Allocators Calc'!#REF!,0)</f>
        <v>#REF!</v>
      </c>
      <c r="T7" t="e">
        <f>ROUND($C7*'Allocators Calc'!#REF!,0)</f>
        <v>#REF!</v>
      </c>
      <c r="U7" s="13" t="e">
        <f>ROUND($C7*'Allocators Calc'!#REF!,0)</f>
        <v>#REF!</v>
      </c>
      <c r="V7" t="e">
        <f>ROUND($C7*'Allocators Calc'!#REF!,0)</f>
        <v>#REF!</v>
      </c>
      <c r="W7" t="e">
        <f>ROUND($C7*'Allocators Calc'!#REF!,0)</f>
        <v>#REF!</v>
      </c>
      <c r="X7" t="e">
        <f>ROUND($C7*'Allocators Calc'!#REF!,0)</f>
        <v>#REF!</v>
      </c>
      <c r="Y7" t="e">
        <f>ROUND($C7*'Allocators Calc'!#REF!,0)</f>
        <v>#REF!</v>
      </c>
      <c r="Z7" t="e">
        <f>ROUND($C7*'Allocators Calc'!#REF!,0)</f>
        <v>#REF!</v>
      </c>
      <c r="AA7" s="13" t="e">
        <f>ROUND($C7*'Allocators Calc'!#REF!,0)</f>
        <v>#REF!</v>
      </c>
      <c r="AB7">
        <f>ROUND($C7*'Allocators Calc'!AG7,0)</f>
        <v>0</v>
      </c>
      <c r="AC7">
        <f>ROUND($C7*'Allocators Calc'!AH7,0)</f>
        <v>0</v>
      </c>
      <c r="AD7">
        <f>ROUND($C7*'Allocators Calc'!AI7,0)</f>
        <v>0</v>
      </c>
      <c r="AE7">
        <f>ROUND($C7*'Allocators Calc'!AJ7,0)</f>
        <v>0</v>
      </c>
      <c r="AF7">
        <f>ROUND($C7*'Allocators Calc'!AK7,0)</f>
        <v>0</v>
      </c>
      <c r="AG7" s="13">
        <f>ROUND($C7*'Allocators Calc'!AL7,0)</f>
        <v>0</v>
      </c>
      <c r="AH7" t="e">
        <f>ROUND($C7*'Allocators Calc'!#REF!,0)</f>
        <v>#REF!</v>
      </c>
      <c r="AI7" t="e">
        <f>ROUND($C7*'Allocators Calc'!#REF!,0)</f>
        <v>#REF!</v>
      </c>
      <c r="AJ7" t="e">
        <f>ROUND($C7*'Allocators Calc'!#REF!,0)</f>
        <v>#REF!</v>
      </c>
      <c r="AK7" t="e">
        <f>ROUND($C7*'Allocators Calc'!#REF!,0)</f>
        <v>#REF!</v>
      </c>
      <c r="AL7" t="e">
        <f>ROUND($C7*'Allocators Calc'!#REF!,0)</f>
        <v>#REF!</v>
      </c>
      <c r="AM7" s="13" t="e">
        <f>ROUND($C7*'Allocators Calc'!#REF!,0)</f>
        <v>#REF!</v>
      </c>
      <c r="AN7" t="e">
        <f>ROUND($C7*'Allocators Calc'!#REF!,0)</f>
        <v>#REF!</v>
      </c>
      <c r="AO7" t="e">
        <f>ROUND($C7*'Allocators Calc'!#REF!,0)</f>
        <v>#REF!</v>
      </c>
      <c r="AP7" t="e">
        <f>ROUND($C7*'Allocators Calc'!#REF!,0)</f>
        <v>#REF!</v>
      </c>
      <c r="AQ7" t="e">
        <f>ROUND($C7*'Allocators Calc'!#REF!,0)</f>
        <v>#REF!</v>
      </c>
      <c r="AR7" t="e">
        <f>ROUND($C7*'Allocators Calc'!#REF!,0)</f>
        <v>#REF!</v>
      </c>
      <c r="AS7" s="13" t="e">
        <f>ROUND($C7*'Allocators Calc'!#REF!,0)</f>
        <v>#REF!</v>
      </c>
      <c r="AT7">
        <f>ROUND($C7*'Allocators Calc'!AM7,0)</f>
        <v>0</v>
      </c>
      <c r="AU7">
        <f>ROUND($C7*'Allocators Calc'!AN7,0)</f>
        <v>0</v>
      </c>
      <c r="AV7">
        <f>ROUND($C7*'Allocators Calc'!AO7,0)</f>
        <v>0</v>
      </c>
      <c r="AW7">
        <f>ROUND($C7*'Allocators Calc'!AP7,0)</f>
        <v>0</v>
      </c>
      <c r="AX7">
        <f>ROUND($C7*'Allocators Calc'!AQ7,0)</f>
        <v>0</v>
      </c>
      <c r="AY7" s="13">
        <f>ROUND($C7*'Allocators Calc'!AR7,0)</f>
        <v>0</v>
      </c>
      <c r="AZ7">
        <f>ROUND($C7*'Allocators Calc'!AS7,0)</f>
        <v>0</v>
      </c>
      <c r="BA7">
        <f>ROUND($C7*'Allocators Calc'!AT7,0)</f>
        <v>0</v>
      </c>
      <c r="BB7">
        <f>ROUND($C7*'Allocators Calc'!AU7,0)</f>
        <v>0</v>
      </c>
      <c r="BC7">
        <f>ROUND($C7*'Allocators Calc'!AV7,0)</f>
        <v>0</v>
      </c>
      <c r="BD7">
        <f>ROUND($C7*'Allocators Calc'!AW7,0)</f>
        <v>0</v>
      </c>
      <c r="BE7" s="13">
        <f>ROUND($C7*'Allocators Calc'!AX7,0)</f>
        <v>0</v>
      </c>
      <c r="BF7" t="e">
        <f>ROUND($C7*'Allocators Calc'!#REF!,0)</f>
        <v>#REF!</v>
      </c>
      <c r="BG7" t="e">
        <f>ROUND($C7*'Allocators Calc'!#REF!,0)</f>
        <v>#REF!</v>
      </c>
      <c r="BH7" t="e">
        <f>ROUND($C7*'Allocators Calc'!#REF!,0)</f>
        <v>#REF!</v>
      </c>
      <c r="BI7" t="e">
        <f>ROUND($C7*'Allocators Calc'!#REF!,0)</f>
        <v>#REF!</v>
      </c>
      <c r="BJ7" t="e">
        <f>ROUND($C7*'Allocators Calc'!#REF!,0)</f>
        <v>#REF!</v>
      </c>
      <c r="BK7" s="13" t="e">
        <f>ROUND($C7*'Allocators Calc'!#REF!,0)</f>
        <v>#REF!</v>
      </c>
      <c r="BL7">
        <f>ROUND($C7*'Allocators Calc'!AY7,0)</f>
        <v>0</v>
      </c>
      <c r="BM7">
        <f>ROUND($C7*'Allocators Calc'!AZ7,0)</f>
        <v>0</v>
      </c>
      <c r="BN7">
        <f>ROUND($C7*'Allocators Calc'!BA7,0)</f>
        <v>0</v>
      </c>
      <c r="BO7">
        <f>ROUND($C7*'Allocators Calc'!BB7,0)</f>
        <v>0</v>
      </c>
      <c r="BP7">
        <f>ROUND($C7*'Allocators Calc'!BC7,0)</f>
        <v>0</v>
      </c>
      <c r="BQ7" s="13">
        <f>ROUND($C7*'Allocators Calc'!BD7,0)</f>
        <v>0</v>
      </c>
      <c r="BR7" t="e">
        <f>ROUND($C7*'Allocators Calc'!#REF!,0)</f>
        <v>#REF!</v>
      </c>
      <c r="BS7" t="e">
        <f>ROUND($C7*'Allocators Calc'!#REF!,0)</f>
        <v>#REF!</v>
      </c>
      <c r="BT7" t="e">
        <f>ROUND($C7*'Allocators Calc'!#REF!,0)</f>
        <v>#REF!</v>
      </c>
      <c r="BU7" t="e">
        <f>ROUND($C7*'Allocators Calc'!#REF!,0)</f>
        <v>#REF!</v>
      </c>
      <c r="BV7" t="e">
        <f>ROUND($C7*'Allocators Calc'!#REF!,0)</f>
        <v>#REF!</v>
      </c>
      <c r="BW7" s="13" t="e">
        <f>ROUND($C7*'Allocators Calc'!#REF!,0)</f>
        <v>#REF!</v>
      </c>
      <c r="BX7" t="e">
        <f>ROUND($C7*'Allocators Calc'!#REF!,0)</f>
        <v>#REF!</v>
      </c>
      <c r="BY7" t="e">
        <f>ROUND($C7*'Allocators Calc'!#REF!,0)</f>
        <v>#REF!</v>
      </c>
      <c r="BZ7" t="e">
        <f>ROUND($C7*'Allocators Calc'!#REF!,0)</f>
        <v>#REF!</v>
      </c>
      <c r="CA7" t="e">
        <f>ROUND($C7*'Allocators Calc'!#REF!,0)</f>
        <v>#REF!</v>
      </c>
      <c r="CB7" t="e">
        <f>ROUND($C7*'Allocators Calc'!#REF!,0)</f>
        <v>#REF!</v>
      </c>
      <c r="CC7" s="13" t="e">
        <f>ROUND($C7*'Allocators Calc'!#REF!,0)</f>
        <v>#REF!</v>
      </c>
      <c r="CD7">
        <f>ROUND($C7*'Allocators Calc'!BE7,0)</f>
        <v>0</v>
      </c>
      <c r="CE7">
        <f>ROUND($C7*'Allocators Calc'!BF7,0)</f>
        <v>0</v>
      </c>
      <c r="CF7">
        <f>ROUND($C7*'Allocators Calc'!BG7,0)</f>
        <v>0</v>
      </c>
      <c r="CG7">
        <f>ROUND($C7*'Allocators Calc'!BH7,0)</f>
        <v>0</v>
      </c>
      <c r="CH7">
        <f>ROUND($C7*'Allocators Calc'!BI7,0)</f>
        <v>0</v>
      </c>
      <c r="CI7" s="13">
        <f>ROUND($C7*'Allocators Calc'!BJ7,0)</f>
        <v>0</v>
      </c>
      <c r="CJ7">
        <f>ROUND($C7*'Allocators Calc'!BK7,0)</f>
        <v>0</v>
      </c>
      <c r="CK7">
        <f>ROUND($C7*'Allocators Calc'!BL7,0)</f>
        <v>0</v>
      </c>
      <c r="CL7">
        <f>ROUND($C7*'Allocators Calc'!BM7,0)</f>
        <v>0</v>
      </c>
      <c r="CM7">
        <f>ROUND($C7*'Allocators Calc'!BN7,0)</f>
        <v>0</v>
      </c>
      <c r="CN7">
        <f>ROUND($C7*'Allocators Calc'!BO7,0)</f>
        <v>0</v>
      </c>
      <c r="CO7" s="13">
        <f>ROUND($C7*'Allocators Calc'!BP7,0)</f>
        <v>0</v>
      </c>
      <c r="CP7" t="e">
        <f>ROUND($C7*'Allocators Calc'!#REF!,0)</f>
        <v>#REF!</v>
      </c>
      <c r="CQ7" t="e">
        <f>ROUND($C7*'Allocators Calc'!#REF!,0)</f>
        <v>#REF!</v>
      </c>
      <c r="CR7" t="e">
        <f>ROUND($C7*'Allocators Calc'!#REF!,0)</f>
        <v>#REF!</v>
      </c>
      <c r="CS7" t="e">
        <f>ROUND($C7*'Allocators Calc'!#REF!,0)</f>
        <v>#REF!</v>
      </c>
      <c r="CT7" t="e">
        <f>ROUND($C7*'Allocators Calc'!#REF!,0)</f>
        <v>#REF!</v>
      </c>
      <c r="CU7" t="e">
        <f>ROUND($C7*'Allocators Calc'!#REF!,0)</f>
        <v>#REF!</v>
      </c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1:129" x14ac:dyDescent="0.2">
      <c r="B8">
        <v>6</v>
      </c>
      <c r="C8" s="7">
        <v>638159218</v>
      </c>
      <c r="D8" s="7">
        <v>539267032</v>
      </c>
      <c r="E8" s="7">
        <v>902701291</v>
      </c>
      <c r="F8" s="7">
        <v>173166801</v>
      </c>
      <c r="G8" s="2">
        <v>4256259</v>
      </c>
      <c r="H8" s="51" t="s">
        <v>35</v>
      </c>
      <c r="I8" s="60">
        <f t="shared" ref="I8:N8" si="5">AT$77</f>
        <v>114962</v>
      </c>
      <c r="J8" s="60">
        <f t="shared" si="5"/>
        <v>268245</v>
      </c>
      <c r="K8" s="60">
        <f t="shared" si="5"/>
        <v>574804</v>
      </c>
      <c r="L8" s="60">
        <f t="shared" si="5"/>
        <v>276519630</v>
      </c>
      <c r="M8" s="60">
        <f t="shared" si="5"/>
        <v>44875704</v>
      </c>
      <c r="N8" s="60">
        <f t="shared" si="5"/>
        <v>21121757</v>
      </c>
      <c r="O8" s="60">
        <f t="shared" si="1"/>
        <v>343475102</v>
      </c>
      <c r="P8" t="e">
        <f>ROUND($C8*'Allocators Calc'!#REF!,0)</f>
        <v>#REF!</v>
      </c>
      <c r="Q8" t="e">
        <f>ROUND($C8*'Allocators Calc'!#REF!,0)</f>
        <v>#REF!</v>
      </c>
      <c r="R8" t="e">
        <f>ROUND($C8*'Allocators Calc'!#REF!,0)</f>
        <v>#REF!</v>
      </c>
      <c r="S8" t="e">
        <f>ROUND($C8*'Allocators Calc'!#REF!,0)</f>
        <v>#REF!</v>
      </c>
      <c r="T8" t="e">
        <f>ROUND($C8*'Allocators Calc'!#REF!,0)</f>
        <v>#REF!</v>
      </c>
      <c r="U8" s="13" t="e">
        <f>ROUND($C8*'Allocators Calc'!#REF!,0)</f>
        <v>#REF!</v>
      </c>
      <c r="V8" t="e">
        <f>ROUND($C8*'Allocators Calc'!#REF!,0)</f>
        <v>#REF!</v>
      </c>
      <c r="W8" t="e">
        <f>ROUND($C8*'Allocators Calc'!#REF!,0)</f>
        <v>#REF!</v>
      </c>
      <c r="X8" t="e">
        <f>ROUND($C8*'Allocators Calc'!#REF!,0)</f>
        <v>#REF!</v>
      </c>
      <c r="Y8" t="e">
        <f>ROUND($C8*'Allocators Calc'!#REF!,0)</f>
        <v>#REF!</v>
      </c>
      <c r="Z8" t="e">
        <f>ROUND($C8*'Allocators Calc'!#REF!,0)</f>
        <v>#REF!</v>
      </c>
      <c r="AA8" s="13" t="e">
        <f>ROUND($C8*'Allocators Calc'!#REF!,0)</f>
        <v>#REF!</v>
      </c>
      <c r="AB8">
        <f>ROUND($C8*'Allocators Calc'!AG8,0)</f>
        <v>0</v>
      </c>
      <c r="AC8">
        <f>ROUND($C8*'Allocators Calc'!AH8,0)</f>
        <v>0</v>
      </c>
      <c r="AD8">
        <f>ROUND($C8*'Allocators Calc'!AI8,0)</f>
        <v>0</v>
      </c>
      <c r="AE8">
        <f>ROUND($C8*'Allocators Calc'!AJ8,0)</f>
        <v>0</v>
      </c>
      <c r="AF8">
        <f>ROUND($C8*'Allocators Calc'!AK8,0)</f>
        <v>0</v>
      </c>
      <c r="AG8" s="13">
        <f>ROUND($C8*'Allocators Calc'!AL8,0)</f>
        <v>0</v>
      </c>
      <c r="AH8" t="e">
        <f>ROUND($C8*'Allocators Calc'!#REF!,0)</f>
        <v>#REF!</v>
      </c>
      <c r="AI8" t="e">
        <f>ROUND($C8*'Allocators Calc'!#REF!,0)</f>
        <v>#REF!</v>
      </c>
      <c r="AJ8" t="e">
        <f>ROUND($C8*'Allocators Calc'!#REF!,0)</f>
        <v>#REF!</v>
      </c>
      <c r="AK8" t="e">
        <f>ROUND($C8*'Allocators Calc'!#REF!,0)</f>
        <v>#REF!</v>
      </c>
      <c r="AL8" t="e">
        <f>ROUND($C8*'Allocators Calc'!#REF!,0)</f>
        <v>#REF!</v>
      </c>
      <c r="AM8" s="13" t="e">
        <f>ROUND($C8*'Allocators Calc'!#REF!,0)</f>
        <v>#REF!</v>
      </c>
      <c r="AN8" t="e">
        <f>ROUND($C8*'Allocators Calc'!#REF!,0)</f>
        <v>#REF!</v>
      </c>
      <c r="AO8" t="e">
        <f>ROUND($C8*'Allocators Calc'!#REF!,0)</f>
        <v>#REF!</v>
      </c>
      <c r="AP8" t="e">
        <f>ROUND($C8*'Allocators Calc'!#REF!,0)</f>
        <v>#REF!</v>
      </c>
      <c r="AQ8" t="e">
        <f>ROUND($C8*'Allocators Calc'!#REF!,0)</f>
        <v>#REF!</v>
      </c>
      <c r="AR8" t="e">
        <f>ROUND($C8*'Allocators Calc'!#REF!,0)</f>
        <v>#REF!</v>
      </c>
      <c r="AS8" s="13" t="e">
        <f>ROUND($C8*'Allocators Calc'!#REF!,0)</f>
        <v>#REF!</v>
      </c>
      <c r="AT8">
        <f>ROUND($C8*'Allocators Calc'!AM8,0)</f>
        <v>0</v>
      </c>
      <c r="AU8">
        <f>ROUND($C8*'Allocators Calc'!AN8,0)</f>
        <v>0</v>
      </c>
      <c r="AV8">
        <f>ROUND($C8*'Allocators Calc'!AO8,0)</f>
        <v>0</v>
      </c>
      <c r="AW8">
        <f>ROUND($C8*'Allocators Calc'!AP8,0)</f>
        <v>0</v>
      </c>
      <c r="AX8">
        <f>ROUND($C8*'Allocators Calc'!AQ8,0)</f>
        <v>0</v>
      </c>
      <c r="AY8" s="13">
        <f>ROUND($C8*'Allocators Calc'!AR8,0)</f>
        <v>0</v>
      </c>
      <c r="AZ8">
        <f>ROUND($C8*'Allocators Calc'!AS8,0)</f>
        <v>0</v>
      </c>
      <c r="BA8">
        <f>ROUND($C8*'Allocators Calc'!AT8,0)</f>
        <v>0</v>
      </c>
      <c r="BB8">
        <f>ROUND($C8*'Allocators Calc'!AU8,0)</f>
        <v>0</v>
      </c>
      <c r="BC8">
        <f>ROUND($C8*'Allocators Calc'!AV8,0)</f>
        <v>0</v>
      </c>
      <c r="BD8">
        <f>ROUND($C8*'Allocators Calc'!AW8,0)</f>
        <v>0</v>
      </c>
      <c r="BE8" s="13">
        <f>ROUND($C8*'Allocators Calc'!AX8,0)</f>
        <v>0</v>
      </c>
      <c r="BF8" t="e">
        <f>ROUND($C8*'Allocators Calc'!#REF!,0)</f>
        <v>#REF!</v>
      </c>
      <c r="BG8" t="e">
        <f>ROUND($C8*'Allocators Calc'!#REF!,0)</f>
        <v>#REF!</v>
      </c>
      <c r="BH8" t="e">
        <f>ROUND($C8*'Allocators Calc'!#REF!,0)</f>
        <v>#REF!</v>
      </c>
      <c r="BI8" t="e">
        <f>ROUND($C8*'Allocators Calc'!#REF!,0)</f>
        <v>#REF!</v>
      </c>
      <c r="BJ8" t="e">
        <f>ROUND($C8*'Allocators Calc'!#REF!,0)</f>
        <v>#REF!</v>
      </c>
      <c r="BK8" s="13" t="e">
        <f>ROUND($C8*'Allocators Calc'!#REF!,0)</f>
        <v>#REF!</v>
      </c>
      <c r="BL8">
        <f>ROUND($C8*'Allocators Calc'!AY8,0)</f>
        <v>0</v>
      </c>
      <c r="BM8">
        <f>ROUND($C8*'Allocators Calc'!AZ8,0)</f>
        <v>0</v>
      </c>
      <c r="BN8">
        <f>ROUND($C8*'Allocators Calc'!BA8,0)</f>
        <v>0</v>
      </c>
      <c r="BO8">
        <f>ROUND($C8*'Allocators Calc'!BB8,0)</f>
        <v>0</v>
      </c>
      <c r="BP8">
        <f>ROUND($C8*'Allocators Calc'!BC8,0)</f>
        <v>0</v>
      </c>
      <c r="BQ8" s="13">
        <f>ROUND($C8*'Allocators Calc'!BD8,0)</f>
        <v>0</v>
      </c>
      <c r="BR8" t="e">
        <f>ROUND($C8*'Allocators Calc'!#REF!,0)</f>
        <v>#REF!</v>
      </c>
      <c r="BS8" t="e">
        <f>ROUND($C8*'Allocators Calc'!#REF!,0)</f>
        <v>#REF!</v>
      </c>
      <c r="BT8" t="e">
        <f>ROUND($C8*'Allocators Calc'!#REF!,0)</f>
        <v>#REF!</v>
      </c>
      <c r="BU8" t="e">
        <f>ROUND($C8*'Allocators Calc'!#REF!,0)</f>
        <v>#REF!</v>
      </c>
      <c r="BV8" t="e">
        <f>ROUND($C8*'Allocators Calc'!#REF!,0)</f>
        <v>#REF!</v>
      </c>
      <c r="BW8" s="13" t="e">
        <f>ROUND($C8*'Allocators Calc'!#REF!,0)</f>
        <v>#REF!</v>
      </c>
      <c r="BX8" t="e">
        <f>ROUND($C8*'Allocators Calc'!#REF!,0)</f>
        <v>#REF!</v>
      </c>
      <c r="BY8" t="e">
        <f>ROUND($C8*'Allocators Calc'!#REF!,0)</f>
        <v>#REF!</v>
      </c>
      <c r="BZ8" t="e">
        <f>ROUND($C8*'Allocators Calc'!#REF!,0)</f>
        <v>#REF!</v>
      </c>
      <c r="CA8" t="e">
        <f>ROUND($C8*'Allocators Calc'!#REF!,0)</f>
        <v>#REF!</v>
      </c>
      <c r="CB8" t="e">
        <f>ROUND($C8*'Allocators Calc'!#REF!,0)</f>
        <v>#REF!</v>
      </c>
      <c r="CC8" s="13" t="e">
        <f>ROUND($C8*'Allocators Calc'!#REF!,0)</f>
        <v>#REF!</v>
      </c>
      <c r="CD8">
        <f>ROUND($C8*'Allocators Calc'!BE8,0)</f>
        <v>0</v>
      </c>
      <c r="CE8">
        <f>ROUND($C8*'Allocators Calc'!BF8,0)</f>
        <v>0</v>
      </c>
      <c r="CF8">
        <f>ROUND($C8*'Allocators Calc'!BG8,0)</f>
        <v>0</v>
      </c>
      <c r="CG8">
        <f>ROUND($C8*'Allocators Calc'!BH8,0)</f>
        <v>0</v>
      </c>
      <c r="CH8">
        <f>ROUND($C8*'Allocators Calc'!BI8,0)</f>
        <v>0</v>
      </c>
      <c r="CI8" s="13">
        <f>ROUND($C8*'Allocators Calc'!BJ8,0)</f>
        <v>0</v>
      </c>
      <c r="CJ8">
        <f>ROUND($C8*'Allocators Calc'!BK8,0)</f>
        <v>0</v>
      </c>
      <c r="CK8">
        <f>ROUND($C8*'Allocators Calc'!BL8,0)</f>
        <v>0</v>
      </c>
      <c r="CL8">
        <f>ROUND($C8*'Allocators Calc'!BM8,0)</f>
        <v>0</v>
      </c>
      <c r="CM8">
        <f>ROUND($C8*'Allocators Calc'!BN8,0)</f>
        <v>0</v>
      </c>
      <c r="CN8">
        <f>ROUND($C8*'Allocators Calc'!BO8,0)</f>
        <v>0</v>
      </c>
      <c r="CO8" s="13">
        <f>ROUND($C8*'Allocators Calc'!BP8,0)</f>
        <v>0</v>
      </c>
      <c r="CP8" t="e">
        <f>ROUND($C8*'Allocators Calc'!#REF!,0)</f>
        <v>#REF!</v>
      </c>
      <c r="CQ8" t="e">
        <f>ROUND($C8*'Allocators Calc'!#REF!,0)</f>
        <v>#REF!</v>
      </c>
      <c r="CR8" t="e">
        <f>ROUND($C8*'Allocators Calc'!#REF!,0)</f>
        <v>#REF!</v>
      </c>
      <c r="CS8" t="e">
        <f>ROUND($C8*'Allocators Calc'!#REF!,0)</f>
        <v>#REF!</v>
      </c>
      <c r="CT8" t="e">
        <f>ROUND($C8*'Allocators Calc'!#REF!,0)</f>
        <v>#REF!</v>
      </c>
      <c r="CU8" t="e">
        <f>ROUND($C8*'Allocators Calc'!#REF!,0)</f>
        <v>#REF!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29" x14ac:dyDescent="0.2">
      <c r="B9">
        <v>7</v>
      </c>
      <c r="C9" s="7">
        <v>803124525</v>
      </c>
      <c r="D9" s="7">
        <v>593993124</v>
      </c>
      <c r="E9" s="7">
        <v>924096673</v>
      </c>
      <c r="F9" s="7">
        <v>178599976</v>
      </c>
      <c r="G9" s="2">
        <v>4251186</v>
      </c>
      <c r="H9" s="53" t="s">
        <v>176</v>
      </c>
      <c r="I9" s="60">
        <f t="shared" ref="I9:N9" si="6">AZ$77</f>
        <v>771919</v>
      </c>
      <c r="J9" s="60">
        <f t="shared" si="6"/>
        <v>1764830</v>
      </c>
      <c r="K9" s="60">
        <f t="shared" si="6"/>
        <v>3533685</v>
      </c>
      <c r="L9" s="60">
        <f t="shared" si="6"/>
        <v>397309081</v>
      </c>
      <c r="M9" s="60">
        <f t="shared" si="6"/>
        <v>364152707</v>
      </c>
      <c r="N9" s="60">
        <f t="shared" si="6"/>
        <v>31954217</v>
      </c>
      <c r="O9" s="60">
        <f t="shared" si="1"/>
        <v>799486439</v>
      </c>
      <c r="P9" t="e">
        <f>ROUND($C9*'Allocators Calc'!#REF!,0)</f>
        <v>#REF!</v>
      </c>
      <c r="Q9" t="e">
        <f>ROUND($C9*'Allocators Calc'!#REF!,0)</f>
        <v>#REF!</v>
      </c>
      <c r="R9" t="e">
        <f>ROUND($C9*'Allocators Calc'!#REF!,0)</f>
        <v>#REF!</v>
      </c>
      <c r="S9" t="e">
        <f>ROUND($C9*'Allocators Calc'!#REF!,0)</f>
        <v>#REF!</v>
      </c>
      <c r="T9" t="e">
        <f>ROUND($C9*'Allocators Calc'!#REF!,0)</f>
        <v>#REF!</v>
      </c>
      <c r="U9" s="13" t="e">
        <f>ROUND($C9*'Allocators Calc'!#REF!,0)</f>
        <v>#REF!</v>
      </c>
      <c r="V9" t="e">
        <f>ROUND($C9*'Allocators Calc'!#REF!,0)</f>
        <v>#REF!</v>
      </c>
      <c r="W9" t="e">
        <f>ROUND($C9*'Allocators Calc'!#REF!,0)</f>
        <v>#REF!</v>
      </c>
      <c r="X9" t="e">
        <f>ROUND($C9*'Allocators Calc'!#REF!,0)</f>
        <v>#REF!</v>
      </c>
      <c r="Y9" t="e">
        <f>ROUND($C9*'Allocators Calc'!#REF!,0)</f>
        <v>#REF!</v>
      </c>
      <c r="Z9" t="e">
        <f>ROUND($C9*'Allocators Calc'!#REF!,0)</f>
        <v>#REF!</v>
      </c>
      <c r="AA9" s="13" t="e">
        <f>ROUND($C9*'Allocators Calc'!#REF!,0)</f>
        <v>#REF!</v>
      </c>
      <c r="AB9">
        <f>ROUND($C9*'Allocators Calc'!AG9,0)</f>
        <v>0</v>
      </c>
      <c r="AC9">
        <f>ROUND($C9*'Allocators Calc'!AH9,0)</f>
        <v>0</v>
      </c>
      <c r="AD9">
        <f>ROUND($C9*'Allocators Calc'!AI9,0)</f>
        <v>0</v>
      </c>
      <c r="AE9">
        <f>ROUND($C9*'Allocators Calc'!AJ9,0)</f>
        <v>0</v>
      </c>
      <c r="AF9">
        <f>ROUND($C9*'Allocators Calc'!AK9,0)</f>
        <v>0</v>
      </c>
      <c r="AG9" s="13">
        <f>ROUND($C9*'Allocators Calc'!AL9,0)</f>
        <v>0</v>
      </c>
      <c r="AH9" t="e">
        <f>ROUND($C9*'Allocators Calc'!#REF!,0)</f>
        <v>#REF!</v>
      </c>
      <c r="AI9" t="e">
        <f>ROUND($C9*'Allocators Calc'!#REF!,0)</f>
        <v>#REF!</v>
      </c>
      <c r="AJ9" t="e">
        <f>ROUND($C9*'Allocators Calc'!#REF!,0)</f>
        <v>#REF!</v>
      </c>
      <c r="AK9" t="e">
        <f>ROUND($C9*'Allocators Calc'!#REF!,0)</f>
        <v>#REF!</v>
      </c>
      <c r="AL9" t="e">
        <f>ROUND($C9*'Allocators Calc'!#REF!,0)</f>
        <v>#REF!</v>
      </c>
      <c r="AM9" s="13" t="e">
        <f>ROUND($C9*'Allocators Calc'!#REF!,0)</f>
        <v>#REF!</v>
      </c>
      <c r="AN9" t="e">
        <f>ROUND($C9*'Allocators Calc'!#REF!,0)</f>
        <v>#REF!</v>
      </c>
      <c r="AO9" t="e">
        <f>ROUND($C9*'Allocators Calc'!#REF!,0)</f>
        <v>#REF!</v>
      </c>
      <c r="AP9" t="e">
        <f>ROUND($C9*'Allocators Calc'!#REF!,0)</f>
        <v>#REF!</v>
      </c>
      <c r="AQ9" t="e">
        <f>ROUND($C9*'Allocators Calc'!#REF!,0)</f>
        <v>#REF!</v>
      </c>
      <c r="AR9" t="e">
        <f>ROUND($C9*'Allocators Calc'!#REF!,0)</f>
        <v>#REF!</v>
      </c>
      <c r="AS9" s="13" t="e">
        <f>ROUND($C9*'Allocators Calc'!#REF!,0)</f>
        <v>#REF!</v>
      </c>
      <c r="AT9">
        <f>ROUND($C9*'Allocators Calc'!AM9,0)</f>
        <v>0</v>
      </c>
      <c r="AU9">
        <f>ROUND($C9*'Allocators Calc'!AN9,0)</f>
        <v>0</v>
      </c>
      <c r="AV9">
        <f>ROUND($C9*'Allocators Calc'!AO9,0)</f>
        <v>0</v>
      </c>
      <c r="AW9">
        <f>ROUND($C9*'Allocators Calc'!AP9,0)</f>
        <v>0</v>
      </c>
      <c r="AX9">
        <f>ROUND($C9*'Allocators Calc'!AQ9,0)</f>
        <v>0</v>
      </c>
      <c r="AY9" s="13">
        <f>ROUND($C9*'Allocators Calc'!AR9,0)</f>
        <v>0</v>
      </c>
      <c r="AZ9">
        <f>ROUND($C9*'Allocators Calc'!AS9,0)</f>
        <v>0</v>
      </c>
      <c r="BA9">
        <f>ROUND($C9*'Allocators Calc'!AT9,0)</f>
        <v>0</v>
      </c>
      <c r="BB9">
        <f>ROUND($C9*'Allocators Calc'!AU9,0)</f>
        <v>0</v>
      </c>
      <c r="BC9">
        <f>ROUND($C9*'Allocators Calc'!AV9,0)</f>
        <v>0</v>
      </c>
      <c r="BD9">
        <f>ROUND($C9*'Allocators Calc'!AW9,0)</f>
        <v>0</v>
      </c>
      <c r="BE9" s="13">
        <f>ROUND($C9*'Allocators Calc'!AX9,0)</f>
        <v>0</v>
      </c>
      <c r="BF9" t="e">
        <f>ROUND($C9*'Allocators Calc'!#REF!,0)</f>
        <v>#REF!</v>
      </c>
      <c r="BG9" t="e">
        <f>ROUND($C9*'Allocators Calc'!#REF!,0)</f>
        <v>#REF!</v>
      </c>
      <c r="BH9" t="e">
        <f>ROUND($C9*'Allocators Calc'!#REF!,0)</f>
        <v>#REF!</v>
      </c>
      <c r="BI9" t="e">
        <f>ROUND($C9*'Allocators Calc'!#REF!,0)</f>
        <v>#REF!</v>
      </c>
      <c r="BJ9" t="e">
        <f>ROUND($C9*'Allocators Calc'!#REF!,0)</f>
        <v>#REF!</v>
      </c>
      <c r="BK9" s="13" t="e">
        <f>ROUND($C9*'Allocators Calc'!#REF!,0)</f>
        <v>#REF!</v>
      </c>
      <c r="BL9">
        <f>ROUND($C9*'Allocators Calc'!AY9,0)</f>
        <v>0</v>
      </c>
      <c r="BM9">
        <f>ROUND($C9*'Allocators Calc'!AZ9,0)</f>
        <v>0</v>
      </c>
      <c r="BN9">
        <f>ROUND($C9*'Allocators Calc'!BA9,0)</f>
        <v>0</v>
      </c>
      <c r="BO9">
        <f>ROUND($C9*'Allocators Calc'!BB9,0)</f>
        <v>0</v>
      </c>
      <c r="BP9">
        <f>ROUND($C9*'Allocators Calc'!BC9,0)</f>
        <v>0</v>
      </c>
      <c r="BQ9" s="13">
        <f>ROUND($C9*'Allocators Calc'!BD9,0)</f>
        <v>0</v>
      </c>
      <c r="BR9" t="e">
        <f>ROUND($C9*'Allocators Calc'!#REF!,0)</f>
        <v>#REF!</v>
      </c>
      <c r="BS9" t="e">
        <f>ROUND($C9*'Allocators Calc'!#REF!,0)</f>
        <v>#REF!</v>
      </c>
      <c r="BT9" t="e">
        <f>ROUND($C9*'Allocators Calc'!#REF!,0)</f>
        <v>#REF!</v>
      </c>
      <c r="BU9" t="e">
        <f>ROUND($C9*'Allocators Calc'!#REF!,0)</f>
        <v>#REF!</v>
      </c>
      <c r="BV9" t="e">
        <f>ROUND($C9*'Allocators Calc'!#REF!,0)</f>
        <v>#REF!</v>
      </c>
      <c r="BW9" s="13" t="e">
        <f>ROUND($C9*'Allocators Calc'!#REF!,0)</f>
        <v>#REF!</v>
      </c>
      <c r="BX9" t="e">
        <f>ROUND($C9*'Allocators Calc'!#REF!,0)</f>
        <v>#REF!</v>
      </c>
      <c r="BY9" t="e">
        <f>ROUND($C9*'Allocators Calc'!#REF!,0)</f>
        <v>#REF!</v>
      </c>
      <c r="BZ9" t="e">
        <f>ROUND($C9*'Allocators Calc'!#REF!,0)</f>
        <v>#REF!</v>
      </c>
      <c r="CA9" t="e">
        <f>ROUND($C9*'Allocators Calc'!#REF!,0)</f>
        <v>#REF!</v>
      </c>
      <c r="CB9" t="e">
        <f>ROUND($C9*'Allocators Calc'!#REF!,0)</f>
        <v>#REF!</v>
      </c>
      <c r="CC9" s="13" t="e">
        <f>ROUND($C9*'Allocators Calc'!#REF!,0)</f>
        <v>#REF!</v>
      </c>
      <c r="CD9">
        <f>ROUND($C9*'Allocators Calc'!BE9,0)</f>
        <v>0</v>
      </c>
      <c r="CE9">
        <f>ROUND($C9*'Allocators Calc'!BF9,0)</f>
        <v>0</v>
      </c>
      <c r="CF9">
        <f>ROUND($C9*'Allocators Calc'!BG9,0)</f>
        <v>0</v>
      </c>
      <c r="CG9">
        <f>ROUND($C9*'Allocators Calc'!BH9,0)</f>
        <v>0</v>
      </c>
      <c r="CH9">
        <f>ROUND($C9*'Allocators Calc'!BI9,0)</f>
        <v>0</v>
      </c>
      <c r="CI9" s="13">
        <f>ROUND($C9*'Allocators Calc'!BJ9,0)</f>
        <v>0</v>
      </c>
      <c r="CJ9">
        <f>ROUND($C9*'Allocators Calc'!BK9,0)</f>
        <v>0</v>
      </c>
      <c r="CK9">
        <f>ROUND($C9*'Allocators Calc'!BL9,0)</f>
        <v>0</v>
      </c>
      <c r="CL9">
        <f>ROUND($C9*'Allocators Calc'!BM9,0)</f>
        <v>0</v>
      </c>
      <c r="CM9">
        <f>ROUND($C9*'Allocators Calc'!BN9,0)</f>
        <v>0</v>
      </c>
      <c r="CN9">
        <f>ROUND($C9*'Allocators Calc'!BO9,0)</f>
        <v>0</v>
      </c>
      <c r="CO9" s="13">
        <f>ROUND($C9*'Allocators Calc'!BP9,0)</f>
        <v>0</v>
      </c>
      <c r="CP9" t="e">
        <f>ROUND($C9*'Allocators Calc'!#REF!,0)</f>
        <v>#REF!</v>
      </c>
      <c r="CQ9" t="e">
        <f>ROUND($C9*'Allocators Calc'!#REF!,0)</f>
        <v>#REF!</v>
      </c>
      <c r="CR9" t="e">
        <f>ROUND($C9*'Allocators Calc'!#REF!,0)</f>
        <v>#REF!</v>
      </c>
      <c r="CS9" t="e">
        <f>ROUND($C9*'Allocators Calc'!#REF!,0)</f>
        <v>#REF!</v>
      </c>
      <c r="CT9" t="e">
        <f>ROUND($C9*'Allocators Calc'!#REF!,0)</f>
        <v>#REF!</v>
      </c>
      <c r="CU9" t="e">
        <f>ROUND($C9*'Allocators Calc'!#REF!,0)</f>
        <v>#REF!</v>
      </c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</row>
    <row r="10" spans="1:129" x14ac:dyDescent="0.2">
      <c r="B10">
        <v>8</v>
      </c>
      <c r="C10" s="7">
        <v>802996690</v>
      </c>
      <c r="D10" s="7">
        <v>583813905</v>
      </c>
      <c r="E10" s="7">
        <v>927279022</v>
      </c>
      <c r="F10" s="7">
        <v>188038498</v>
      </c>
      <c r="G10" s="2">
        <v>4241394</v>
      </c>
      <c r="H10" s="53" t="s">
        <v>206</v>
      </c>
      <c r="I10" s="60" t="e">
        <f t="shared" ref="I10:N10" si="7">BF$77</f>
        <v>#REF!</v>
      </c>
      <c r="J10" s="60" t="e">
        <f t="shared" si="7"/>
        <v>#REF!</v>
      </c>
      <c r="K10" s="60" t="e">
        <f t="shared" si="7"/>
        <v>#REF!</v>
      </c>
      <c r="L10" s="60" t="e">
        <f t="shared" si="7"/>
        <v>#REF!</v>
      </c>
      <c r="M10" s="60" t="e">
        <f t="shared" si="7"/>
        <v>#REF!</v>
      </c>
      <c r="N10" s="60" t="e">
        <f t="shared" si="7"/>
        <v>#REF!</v>
      </c>
      <c r="O10" s="60" t="e">
        <f t="shared" si="1"/>
        <v>#REF!</v>
      </c>
      <c r="P10" t="e">
        <f>ROUND($C10*'Allocators Calc'!#REF!,0)</f>
        <v>#REF!</v>
      </c>
      <c r="Q10" t="e">
        <f>ROUND($C10*'Allocators Calc'!#REF!,0)</f>
        <v>#REF!</v>
      </c>
      <c r="R10" t="e">
        <f>ROUND($C10*'Allocators Calc'!#REF!,0)</f>
        <v>#REF!</v>
      </c>
      <c r="S10" t="e">
        <f>ROUND($C10*'Allocators Calc'!#REF!,0)</f>
        <v>#REF!</v>
      </c>
      <c r="T10" t="e">
        <f>ROUND($C10*'Allocators Calc'!#REF!,0)</f>
        <v>#REF!</v>
      </c>
      <c r="U10" s="13" t="e">
        <f>ROUND($C10*'Allocators Calc'!#REF!,0)</f>
        <v>#REF!</v>
      </c>
      <c r="V10" t="e">
        <f>ROUND($C10*'Allocators Calc'!#REF!,0)</f>
        <v>#REF!</v>
      </c>
      <c r="W10" t="e">
        <f>ROUND($C10*'Allocators Calc'!#REF!,0)</f>
        <v>#REF!</v>
      </c>
      <c r="X10" t="e">
        <f>ROUND($C10*'Allocators Calc'!#REF!,0)</f>
        <v>#REF!</v>
      </c>
      <c r="Y10" t="e">
        <f>ROUND($C10*'Allocators Calc'!#REF!,0)</f>
        <v>#REF!</v>
      </c>
      <c r="Z10" t="e">
        <f>ROUND($C10*'Allocators Calc'!#REF!,0)</f>
        <v>#REF!</v>
      </c>
      <c r="AA10" s="13" t="e">
        <f>ROUND($C10*'Allocators Calc'!#REF!,0)</f>
        <v>#REF!</v>
      </c>
      <c r="AB10">
        <f>ROUND($C10*'Allocators Calc'!AG10,0)</f>
        <v>0</v>
      </c>
      <c r="AC10">
        <f>ROUND($C10*'Allocators Calc'!AH10,0)</f>
        <v>0</v>
      </c>
      <c r="AD10">
        <f>ROUND($C10*'Allocators Calc'!AI10,0)</f>
        <v>0</v>
      </c>
      <c r="AE10">
        <f>ROUND($C10*'Allocators Calc'!AJ10,0)</f>
        <v>0</v>
      </c>
      <c r="AF10">
        <f>ROUND($C10*'Allocators Calc'!AK10,0)</f>
        <v>0</v>
      </c>
      <c r="AG10" s="13">
        <f>ROUND($C10*'Allocators Calc'!AL10,0)</f>
        <v>0</v>
      </c>
      <c r="AH10" t="e">
        <f>ROUND($C10*'Allocators Calc'!#REF!,0)</f>
        <v>#REF!</v>
      </c>
      <c r="AI10" t="e">
        <f>ROUND($C10*'Allocators Calc'!#REF!,0)</f>
        <v>#REF!</v>
      </c>
      <c r="AJ10" t="e">
        <f>ROUND($C10*'Allocators Calc'!#REF!,0)</f>
        <v>#REF!</v>
      </c>
      <c r="AK10" t="e">
        <f>ROUND($C10*'Allocators Calc'!#REF!,0)</f>
        <v>#REF!</v>
      </c>
      <c r="AL10" t="e">
        <f>ROUND($C10*'Allocators Calc'!#REF!,0)</f>
        <v>#REF!</v>
      </c>
      <c r="AM10" s="13" t="e">
        <f>ROUND($C10*'Allocators Calc'!#REF!,0)</f>
        <v>#REF!</v>
      </c>
      <c r="AN10" t="e">
        <f>ROUND($C10*'Allocators Calc'!#REF!,0)</f>
        <v>#REF!</v>
      </c>
      <c r="AO10" t="e">
        <f>ROUND($C10*'Allocators Calc'!#REF!,0)</f>
        <v>#REF!</v>
      </c>
      <c r="AP10" t="e">
        <f>ROUND($C10*'Allocators Calc'!#REF!,0)</f>
        <v>#REF!</v>
      </c>
      <c r="AQ10" t="e">
        <f>ROUND($C10*'Allocators Calc'!#REF!,0)</f>
        <v>#REF!</v>
      </c>
      <c r="AR10" t="e">
        <f>ROUND($C10*'Allocators Calc'!#REF!,0)</f>
        <v>#REF!</v>
      </c>
      <c r="AS10" s="13" t="e">
        <f>ROUND($C10*'Allocators Calc'!#REF!,0)</f>
        <v>#REF!</v>
      </c>
      <c r="AT10">
        <f>ROUND($C10*'Allocators Calc'!AM10,0)</f>
        <v>0</v>
      </c>
      <c r="AU10">
        <f>ROUND($C10*'Allocators Calc'!AN10,0)</f>
        <v>0</v>
      </c>
      <c r="AV10">
        <f>ROUND($C10*'Allocators Calc'!AO10,0)</f>
        <v>0</v>
      </c>
      <c r="AW10">
        <f>ROUND($C10*'Allocators Calc'!AP10,0)</f>
        <v>0</v>
      </c>
      <c r="AX10">
        <f>ROUND($C10*'Allocators Calc'!AQ10,0)</f>
        <v>0</v>
      </c>
      <c r="AY10" s="13">
        <f>ROUND($C10*'Allocators Calc'!AR10,0)</f>
        <v>0</v>
      </c>
      <c r="AZ10">
        <f>ROUND($C10*'Allocators Calc'!AS10,0)</f>
        <v>0</v>
      </c>
      <c r="BA10">
        <f>ROUND($C10*'Allocators Calc'!AT10,0)</f>
        <v>0</v>
      </c>
      <c r="BB10">
        <f>ROUND($C10*'Allocators Calc'!AU10,0)</f>
        <v>0</v>
      </c>
      <c r="BC10">
        <f>ROUND($C10*'Allocators Calc'!AV10,0)</f>
        <v>0</v>
      </c>
      <c r="BD10">
        <f>ROUND($C10*'Allocators Calc'!AW10,0)</f>
        <v>0</v>
      </c>
      <c r="BE10" s="13">
        <f>ROUND($C10*'Allocators Calc'!AX10,0)</f>
        <v>0</v>
      </c>
      <c r="BF10" t="e">
        <f>ROUND($C10*'Allocators Calc'!#REF!,0)</f>
        <v>#REF!</v>
      </c>
      <c r="BG10" t="e">
        <f>ROUND($C10*'Allocators Calc'!#REF!,0)</f>
        <v>#REF!</v>
      </c>
      <c r="BH10" t="e">
        <f>ROUND($C10*'Allocators Calc'!#REF!,0)</f>
        <v>#REF!</v>
      </c>
      <c r="BI10" t="e">
        <f>ROUND($C10*'Allocators Calc'!#REF!,0)</f>
        <v>#REF!</v>
      </c>
      <c r="BJ10" t="e">
        <f>ROUND($C10*'Allocators Calc'!#REF!,0)</f>
        <v>#REF!</v>
      </c>
      <c r="BK10" s="13" t="e">
        <f>ROUND($C10*'Allocators Calc'!#REF!,0)</f>
        <v>#REF!</v>
      </c>
      <c r="BL10">
        <f>ROUND($C10*'Allocators Calc'!AY10,0)</f>
        <v>0</v>
      </c>
      <c r="BM10">
        <f>ROUND($C10*'Allocators Calc'!AZ10,0)</f>
        <v>0</v>
      </c>
      <c r="BN10">
        <f>ROUND($C10*'Allocators Calc'!BA10,0)</f>
        <v>0</v>
      </c>
      <c r="BO10">
        <f>ROUND($C10*'Allocators Calc'!BB10,0)</f>
        <v>0</v>
      </c>
      <c r="BP10">
        <f>ROUND($C10*'Allocators Calc'!BC10,0)</f>
        <v>0</v>
      </c>
      <c r="BQ10" s="13">
        <f>ROUND($C10*'Allocators Calc'!BD10,0)</f>
        <v>0</v>
      </c>
      <c r="BR10" t="e">
        <f>ROUND($C10*'Allocators Calc'!#REF!,0)</f>
        <v>#REF!</v>
      </c>
      <c r="BS10" t="e">
        <f>ROUND($C10*'Allocators Calc'!#REF!,0)</f>
        <v>#REF!</v>
      </c>
      <c r="BT10" t="e">
        <f>ROUND($C10*'Allocators Calc'!#REF!,0)</f>
        <v>#REF!</v>
      </c>
      <c r="BU10" t="e">
        <f>ROUND($C10*'Allocators Calc'!#REF!,0)</f>
        <v>#REF!</v>
      </c>
      <c r="BV10" t="e">
        <f>ROUND($C10*'Allocators Calc'!#REF!,0)</f>
        <v>#REF!</v>
      </c>
      <c r="BW10" s="13" t="e">
        <f>ROUND($C10*'Allocators Calc'!#REF!,0)</f>
        <v>#REF!</v>
      </c>
      <c r="BX10" t="e">
        <f>ROUND($C10*'Allocators Calc'!#REF!,0)</f>
        <v>#REF!</v>
      </c>
      <c r="BY10" t="e">
        <f>ROUND($C10*'Allocators Calc'!#REF!,0)</f>
        <v>#REF!</v>
      </c>
      <c r="BZ10" t="e">
        <f>ROUND($C10*'Allocators Calc'!#REF!,0)</f>
        <v>#REF!</v>
      </c>
      <c r="CA10" t="e">
        <f>ROUND($C10*'Allocators Calc'!#REF!,0)</f>
        <v>#REF!</v>
      </c>
      <c r="CB10" t="e">
        <f>ROUND($C10*'Allocators Calc'!#REF!,0)</f>
        <v>#REF!</v>
      </c>
      <c r="CC10" s="13" t="e">
        <f>ROUND($C10*'Allocators Calc'!#REF!,0)</f>
        <v>#REF!</v>
      </c>
      <c r="CD10">
        <f>ROUND($C10*'Allocators Calc'!BE10,0)</f>
        <v>0</v>
      </c>
      <c r="CE10">
        <f>ROUND($C10*'Allocators Calc'!BF10,0)</f>
        <v>0</v>
      </c>
      <c r="CF10">
        <f>ROUND($C10*'Allocators Calc'!BG10,0)</f>
        <v>0</v>
      </c>
      <c r="CG10">
        <f>ROUND($C10*'Allocators Calc'!BH10,0)</f>
        <v>0</v>
      </c>
      <c r="CH10">
        <f>ROUND($C10*'Allocators Calc'!BI10,0)</f>
        <v>0</v>
      </c>
      <c r="CI10" s="13">
        <f>ROUND($C10*'Allocators Calc'!BJ10,0)</f>
        <v>0</v>
      </c>
      <c r="CJ10">
        <f>ROUND($C10*'Allocators Calc'!BK10,0)</f>
        <v>0</v>
      </c>
      <c r="CK10">
        <f>ROUND($C10*'Allocators Calc'!BL10,0)</f>
        <v>0</v>
      </c>
      <c r="CL10">
        <f>ROUND($C10*'Allocators Calc'!BM10,0)</f>
        <v>0</v>
      </c>
      <c r="CM10">
        <f>ROUND($C10*'Allocators Calc'!BN10,0)</f>
        <v>0</v>
      </c>
      <c r="CN10">
        <f>ROUND($C10*'Allocators Calc'!BO10,0)</f>
        <v>0</v>
      </c>
      <c r="CO10" s="13">
        <f>ROUND($C10*'Allocators Calc'!BP10,0)</f>
        <v>0</v>
      </c>
      <c r="CP10" t="e">
        <f>ROUND($C10*'Allocators Calc'!#REF!,0)</f>
        <v>#REF!</v>
      </c>
      <c r="CQ10" t="e">
        <f>ROUND($C10*'Allocators Calc'!#REF!,0)</f>
        <v>#REF!</v>
      </c>
      <c r="CR10" t="e">
        <f>ROUND($C10*'Allocators Calc'!#REF!,0)</f>
        <v>#REF!</v>
      </c>
      <c r="CS10" t="e">
        <f>ROUND($C10*'Allocators Calc'!#REF!,0)</f>
        <v>#REF!</v>
      </c>
      <c r="CT10" t="e">
        <f>ROUND($C10*'Allocators Calc'!#REF!,0)</f>
        <v>#REF!</v>
      </c>
      <c r="CU10" t="e">
        <f>ROUND($C10*'Allocators Calc'!#REF!,0)</f>
        <v>#REF!</v>
      </c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</row>
    <row r="11" spans="1:129" x14ac:dyDescent="0.2">
      <c r="B11">
        <v>9</v>
      </c>
      <c r="C11" s="7">
        <v>739887936</v>
      </c>
      <c r="D11" s="7">
        <v>570894951</v>
      </c>
      <c r="E11" s="7">
        <v>916347774</v>
      </c>
      <c r="F11" s="7">
        <v>196625715</v>
      </c>
      <c r="G11" s="2">
        <v>4296291</v>
      </c>
      <c r="H11" s="55" t="s">
        <v>177</v>
      </c>
      <c r="I11" s="60">
        <f t="shared" ref="I11:N11" si="8">BL$77</f>
        <v>111071853</v>
      </c>
      <c r="J11" s="60">
        <f t="shared" si="8"/>
        <v>219294979</v>
      </c>
      <c r="K11" s="60">
        <f t="shared" si="8"/>
        <v>332659716</v>
      </c>
      <c r="L11" s="60">
        <f t="shared" si="8"/>
        <v>2097373948</v>
      </c>
      <c r="M11" s="60">
        <f t="shared" si="8"/>
        <v>1156499139</v>
      </c>
      <c r="N11" s="60">
        <f t="shared" si="8"/>
        <v>847451780</v>
      </c>
      <c r="O11" s="60">
        <f t="shared" si="1"/>
        <v>4764351415</v>
      </c>
      <c r="P11" t="e">
        <f>ROUND($C11*'Allocators Calc'!#REF!,0)</f>
        <v>#REF!</v>
      </c>
      <c r="Q11" t="e">
        <f>ROUND($C11*'Allocators Calc'!#REF!,0)</f>
        <v>#REF!</v>
      </c>
      <c r="R11" t="e">
        <f>ROUND($C11*'Allocators Calc'!#REF!,0)</f>
        <v>#REF!</v>
      </c>
      <c r="S11" t="e">
        <f>ROUND($C11*'Allocators Calc'!#REF!,0)</f>
        <v>#REF!</v>
      </c>
      <c r="T11" t="e">
        <f>ROUND($C11*'Allocators Calc'!#REF!,0)</f>
        <v>#REF!</v>
      </c>
      <c r="U11" s="13" t="e">
        <f>ROUND($C11*'Allocators Calc'!#REF!,0)</f>
        <v>#REF!</v>
      </c>
      <c r="V11" t="e">
        <f>ROUND($C11*'Allocators Calc'!#REF!,0)</f>
        <v>#REF!</v>
      </c>
      <c r="W11" t="e">
        <f>ROUND($C11*'Allocators Calc'!#REF!,0)</f>
        <v>#REF!</v>
      </c>
      <c r="X11" t="e">
        <f>ROUND($C11*'Allocators Calc'!#REF!,0)</f>
        <v>#REF!</v>
      </c>
      <c r="Y11" t="e">
        <f>ROUND($C11*'Allocators Calc'!#REF!,0)</f>
        <v>#REF!</v>
      </c>
      <c r="Z11" t="e">
        <f>ROUND($C11*'Allocators Calc'!#REF!,0)</f>
        <v>#REF!</v>
      </c>
      <c r="AA11" s="13" t="e">
        <f>ROUND($C11*'Allocators Calc'!#REF!,0)</f>
        <v>#REF!</v>
      </c>
      <c r="AB11">
        <f>ROUND($C11*'Allocators Calc'!AG11,0)</f>
        <v>0</v>
      </c>
      <c r="AC11">
        <f>ROUND($C11*'Allocators Calc'!AH11,0)</f>
        <v>0</v>
      </c>
      <c r="AD11">
        <f>ROUND($C11*'Allocators Calc'!AI11,0)</f>
        <v>0</v>
      </c>
      <c r="AE11">
        <f>ROUND($C11*'Allocators Calc'!AJ11,0)</f>
        <v>0</v>
      </c>
      <c r="AF11">
        <f>ROUND($C11*'Allocators Calc'!AK11,0)</f>
        <v>0</v>
      </c>
      <c r="AG11" s="13">
        <f>ROUND($C11*'Allocators Calc'!AL11,0)</f>
        <v>0</v>
      </c>
      <c r="AH11" t="e">
        <f>ROUND($C11*'Allocators Calc'!#REF!,0)</f>
        <v>#REF!</v>
      </c>
      <c r="AI11" t="e">
        <f>ROUND($C11*'Allocators Calc'!#REF!,0)</f>
        <v>#REF!</v>
      </c>
      <c r="AJ11" t="e">
        <f>ROUND($C11*'Allocators Calc'!#REF!,0)</f>
        <v>#REF!</v>
      </c>
      <c r="AK11" t="e">
        <f>ROUND($C11*'Allocators Calc'!#REF!,0)</f>
        <v>#REF!</v>
      </c>
      <c r="AL11" t="e">
        <f>ROUND($C11*'Allocators Calc'!#REF!,0)</f>
        <v>#REF!</v>
      </c>
      <c r="AM11" s="13" t="e">
        <f>ROUND($C11*'Allocators Calc'!#REF!,0)</f>
        <v>#REF!</v>
      </c>
      <c r="AN11" t="e">
        <f>ROUND($C11*'Allocators Calc'!#REF!,0)</f>
        <v>#REF!</v>
      </c>
      <c r="AO11" t="e">
        <f>ROUND($C11*'Allocators Calc'!#REF!,0)</f>
        <v>#REF!</v>
      </c>
      <c r="AP11" t="e">
        <f>ROUND($C11*'Allocators Calc'!#REF!,0)</f>
        <v>#REF!</v>
      </c>
      <c r="AQ11" t="e">
        <f>ROUND($C11*'Allocators Calc'!#REF!,0)</f>
        <v>#REF!</v>
      </c>
      <c r="AR11" t="e">
        <f>ROUND($C11*'Allocators Calc'!#REF!,0)</f>
        <v>#REF!</v>
      </c>
      <c r="AS11" s="13" t="e">
        <f>ROUND($C11*'Allocators Calc'!#REF!,0)</f>
        <v>#REF!</v>
      </c>
      <c r="AT11">
        <f>ROUND($C11*'Allocators Calc'!AM11,0)</f>
        <v>0</v>
      </c>
      <c r="AU11">
        <f>ROUND($C11*'Allocators Calc'!AN11,0)</f>
        <v>0</v>
      </c>
      <c r="AV11">
        <f>ROUND($C11*'Allocators Calc'!AO11,0)</f>
        <v>0</v>
      </c>
      <c r="AW11">
        <f>ROUND($C11*'Allocators Calc'!AP11,0)</f>
        <v>0</v>
      </c>
      <c r="AX11">
        <f>ROUND($C11*'Allocators Calc'!AQ11,0)</f>
        <v>0</v>
      </c>
      <c r="AY11" s="13">
        <f>ROUND($C11*'Allocators Calc'!AR11,0)</f>
        <v>0</v>
      </c>
      <c r="AZ11">
        <f>ROUND($C11*'Allocators Calc'!AS11,0)</f>
        <v>0</v>
      </c>
      <c r="BA11">
        <f>ROUND($C11*'Allocators Calc'!AT11,0)</f>
        <v>0</v>
      </c>
      <c r="BB11">
        <f>ROUND($C11*'Allocators Calc'!AU11,0)</f>
        <v>0</v>
      </c>
      <c r="BC11">
        <f>ROUND($C11*'Allocators Calc'!AV11,0)</f>
        <v>0</v>
      </c>
      <c r="BD11">
        <f>ROUND($C11*'Allocators Calc'!AW11,0)</f>
        <v>0</v>
      </c>
      <c r="BE11" s="13">
        <f>ROUND($C11*'Allocators Calc'!AX11,0)</f>
        <v>0</v>
      </c>
      <c r="BF11" t="e">
        <f>ROUND($C11*'Allocators Calc'!#REF!,0)</f>
        <v>#REF!</v>
      </c>
      <c r="BG11" t="e">
        <f>ROUND($C11*'Allocators Calc'!#REF!,0)</f>
        <v>#REF!</v>
      </c>
      <c r="BH11" t="e">
        <f>ROUND($C11*'Allocators Calc'!#REF!,0)</f>
        <v>#REF!</v>
      </c>
      <c r="BI11" t="e">
        <f>ROUND($C11*'Allocators Calc'!#REF!,0)</f>
        <v>#REF!</v>
      </c>
      <c r="BJ11" t="e">
        <f>ROUND($C11*'Allocators Calc'!#REF!,0)</f>
        <v>#REF!</v>
      </c>
      <c r="BK11" s="13" t="e">
        <f>ROUND($C11*'Allocators Calc'!#REF!,0)</f>
        <v>#REF!</v>
      </c>
      <c r="BL11">
        <f>ROUND($C11*'Allocators Calc'!AY11,0)</f>
        <v>0</v>
      </c>
      <c r="BM11">
        <f>ROUND($C11*'Allocators Calc'!AZ11,0)</f>
        <v>0</v>
      </c>
      <c r="BN11">
        <f>ROUND($C11*'Allocators Calc'!BA11,0)</f>
        <v>0</v>
      </c>
      <c r="BO11">
        <f>ROUND($C11*'Allocators Calc'!BB11,0)</f>
        <v>0</v>
      </c>
      <c r="BP11">
        <f>ROUND($C11*'Allocators Calc'!BC11,0)</f>
        <v>0</v>
      </c>
      <c r="BQ11" s="13">
        <f>ROUND($C11*'Allocators Calc'!BD11,0)</f>
        <v>0</v>
      </c>
      <c r="BR11" t="e">
        <f>ROUND($C11*'Allocators Calc'!#REF!,0)</f>
        <v>#REF!</v>
      </c>
      <c r="BS11" t="e">
        <f>ROUND($C11*'Allocators Calc'!#REF!,0)</f>
        <v>#REF!</v>
      </c>
      <c r="BT11" t="e">
        <f>ROUND($C11*'Allocators Calc'!#REF!,0)</f>
        <v>#REF!</v>
      </c>
      <c r="BU11" t="e">
        <f>ROUND($C11*'Allocators Calc'!#REF!,0)</f>
        <v>#REF!</v>
      </c>
      <c r="BV11" t="e">
        <f>ROUND($C11*'Allocators Calc'!#REF!,0)</f>
        <v>#REF!</v>
      </c>
      <c r="BW11" s="13" t="e">
        <f>ROUND($C11*'Allocators Calc'!#REF!,0)</f>
        <v>#REF!</v>
      </c>
      <c r="BX11" t="e">
        <f>ROUND($C11*'Allocators Calc'!#REF!,0)</f>
        <v>#REF!</v>
      </c>
      <c r="BY11" t="e">
        <f>ROUND($C11*'Allocators Calc'!#REF!,0)</f>
        <v>#REF!</v>
      </c>
      <c r="BZ11" t="e">
        <f>ROUND($C11*'Allocators Calc'!#REF!,0)</f>
        <v>#REF!</v>
      </c>
      <c r="CA11" t="e">
        <f>ROUND($C11*'Allocators Calc'!#REF!,0)</f>
        <v>#REF!</v>
      </c>
      <c r="CB11" t="e">
        <f>ROUND($C11*'Allocators Calc'!#REF!,0)</f>
        <v>#REF!</v>
      </c>
      <c r="CC11" s="13" t="e">
        <f>ROUND($C11*'Allocators Calc'!#REF!,0)</f>
        <v>#REF!</v>
      </c>
      <c r="CD11">
        <f>ROUND($C11*'Allocators Calc'!BE11,0)</f>
        <v>0</v>
      </c>
      <c r="CE11">
        <f>ROUND($C11*'Allocators Calc'!BF11,0)</f>
        <v>0</v>
      </c>
      <c r="CF11">
        <f>ROUND($C11*'Allocators Calc'!BG11,0)</f>
        <v>0</v>
      </c>
      <c r="CG11">
        <f>ROUND($C11*'Allocators Calc'!BH11,0)</f>
        <v>0</v>
      </c>
      <c r="CH11">
        <f>ROUND($C11*'Allocators Calc'!BI11,0)</f>
        <v>0</v>
      </c>
      <c r="CI11" s="13">
        <f>ROUND($C11*'Allocators Calc'!BJ11,0)</f>
        <v>0</v>
      </c>
      <c r="CJ11">
        <f>ROUND($C11*'Allocators Calc'!BK11,0)</f>
        <v>0</v>
      </c>
      <c r="CK11">
        <f>ROUND($C11*'Allocators Calc'!BL11,0)</f>
        <v>0</v>
      </c>
      <c r="CL11">
        <f>ROUND($C11*'Allocators Calc'!BM11,0)</f>
        <v>0</v>
      </c>
      <c r="CM11">
        <f>ROUND($C11*'Allocators Calc'!BN11,0)</f>
        <v>0</v>
      </c>
      <c r="CN11">
        <f>ROUND($C11*'Allocators Calc'!BO11,0)</f>
        <v>0</v>
      </c>
      <c r="CO11" s="13">
        <f>ROUND($C11*'Allocators Calc'!BP11,0)</f>
        <v>0</v>
      </c>
      <c r="CP11" t="e">
        <f>ROUND($C11*'Allocators Calc'!#REF!,0)</f>
        <v>#REF!</v>
      </c>
      <c r="CQ11" t="e">
        <f>ROUND($C11*'Allocators Calc'!#REF!,0)</f>
        <v>#REF!</v>
      </c>
      <c r="CR11" t="e">
        <f>ROUND($C11*'Allocators Calc'!#REF!,0)</f>
        <v>#REF!</v>
      </c>
      <c r="CS11" t="e">
        <f>ROUND($C11*'Allocators Calc'!#REF!,0)</f>
        <v>#REF!</v>
      </c>
      <c r="CT11" t="e">
        <f>ROUND($C11*'Allocators Calc'!#REF!,0)</f>
        <v>#REF!</v>
      </c>
      <c r="CU11" t="e">
        <f>ROUND($C11*'Allocators Calc'!#REF!,0)</f>
        <v>#REF!</v>
      </c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</row>
    <row r="12" spans="1:129" x14ac:dyDescent="0.2">
      <c r="B12">
        <v>10</v>
      </c>
      <c r="C12" s="7">
        <v>562000659</v>
      </c>
      <c r="D12" s="7">
        <v>493671150</v>
      </c>
      <c r="E12" s="7">
        <v>892773872</v>
      </c>
      <c r="F12" s="7">
        <v>171013748</v>
      </c>
      <c r="G12" s="2">
        <v>4328094</v>
      </c>
      <c r="H12" s="55" t="s">
        <v>207</v>
      </c>
      <c r="I12" s="60" t="e">
        <f t="shared" ref="I12:N12" si="9">BR$77</f>
        <v>#REF!</v>
      </c>
      <c r="J12" s="60" t="e">
        <f t="shared" si="9"/>
        <v>#REF!</v>
      </c>
      <c r="K12" s="60" t="e">
        <f t="shared" si="9"/>
        <v>#REF!</v>
      </c>
      <c r="L12" s="60" t="e">
        <f t="shared" si="9"/>
        <v>#REF!</v>
      </c>
      <c r="M12" s="60" t="e">
        <f t="shared" si="9"/>
        <v>#REF!</v>
      </c>
      <c r="N12" s="60" t="e">
        <f t="shared" si="9"/>
        <v>#REF!</v>
      </c>
      <c r="O12" s="60" t="e">
        <f t="shared" si="1"/>
        <v>#REF!</v>
      </c>
      <c r="P12" t="e">
        <f>ROUND($C12*'Allocators Calc'!#REF!,0)</f>
        <v>#REF!</v>
      </c>
      <c r="Q12" t="e">
        <f>ROUND($C12*'Allocators Calc'!#REF!,0)</f>
        <v>#REF!</v>
      </c>
      <c r="R12" t="e">
        <f>ROUND($C12*'Allocators Calc'!#REF!,0)</f>
        <v>#REF!</v>
      </c>
      <c r="S12" t="e">
        <f>ROUND($C12*'Allocators Calc'!#REF!,0)</f>
        <v>#REF!</v>
      </c>
      <c r="T12" t="e">
        <f>ROUND($C12*'Allocators Calc'!#REF!,0)</f>
        <v>#REF!</v>
      </c>
      <c r="U12" s="13" t="e">
        <f>ROUND($C12*'Allocators Calc'!#REF!,0)</f>
        <v>#REF!</v>
      </c>
      <c r="V12" t="e">
        <f>ROUND($C12*'Allocators Calc'!#REF!,0)</f>
        <v>#REF!</v>
      </c>
      <c r="W12" t="e">
        <f>ROUND($C12*'Allocators Calc'!#REF!,0)</f>
        <v>#REF!</v>
      </c>
      <c r="X12" t="e">
        <f>ROUND($C12*'Allocators Calc'!#REF!,0)</f>
        <v>#REF!</v>
      </c>
      <c r="Y12" t="e">
        <f>ROUND($C12*'Allocators Calc'!#REF!,0)</f>
        <v>#REF!</v>
      </c>
      <c r="Z12" t="e">
        <f>ROUND($C12*'Allocators Calc'!#REF!,0)</f>
        <v>#REF!</v>
      </c>
      <c r="AA12" s="13" t="e">
        <f>ROUND($C12*'Allocators Calc'!#REF!,0)</f>
        <v>#REF!</v>
      </c>
      <c r="AB12">
        <f>ROUND($C12*'Allocators Calc'!AG12,0)</f>
        <v>0</v>
      </c>
      <c r="AC12">
        <f>ROUND($C12*'Allocators Calc'!AH12,0)</f>
        <v>0</v>
      </c>
      <c r="AD12">
        <f>ROUND($C12*'Allocators Calc'!AI12,0)</f>
        <v>0</v>
      </c>
      <c r="AE12">
        <f>ROUND($C12*'Allocators Calc'!AJ12,0)</f>
        <v>0</v>
      </c>
      <c r="AF12">
        <f>ROUND($C12*'Allocators Calc'!AK12,0)</f>
        <v>0</v>
      </c>
      <c r="AG12" s="13">
        <f>ROUND($C12*'Allocators Calc'!AL12,0)</f>
        <v>0</v>
      </c>
      <c r="AH12" t="e">
        <f>ROUND($C12*'Allocators Calc'!#REF!,0)</f>
        <v>#REF!</v>
      </c>
      <c r="AI12" t="e">
        <f>ROUND($C12*'Allocators Calc'!#REF!,0)</f>
        <v>#REF!</v>
      </c>
      <c r="AJ12" t="e">
        <f>ROUND($C12*'Allocators Calc'!#REF!,0)</f>
        <v>#REF!</v>
      </c>
      <c r="AK12" t="e">
        <f>ROUND($C12*'Allocators Calc'!#REF!,0)</f>
        <v>#REF!</v>
      </c>
      <c r="AL12" t="e">
        <f>ROUND($C12*'Allocators Calc'!#REF!,0)</f>
        <v>#REF!</v>
      </c>
      <c r="AM12" s="13" t="e">
        <f>ROUND($C12*'Allocators Calc'!#REF!,0)</f>
        <v>#REF!</v>
      </c>
      <c r="AN12" t="e">
        <f>ROUND($C12*'Allocators Calc'!#REF!,0)</f>
        <v>#REF!</v>
      </c>
      <c r="AO12" t="e">
        <f>ROUND($C12*'Allocators Calc'!#REF!,0)</f>
        <v>#REF!</v>
      </c>
      <c r="AP12" t="e">
        <f>ROUND($C12*'Allocators Calc'!#REF!,0)</f>
        <v>#REF!</v>
      </c>
      <c r="AQ12" t="e">
        <f>ROUND($C12*'Allocators Calc'!#REF!,0)</f>
        <v>#REF!</v>
      </c>
      <c r="AR12" t="e">
        <f>ROUND($C12*'Allocators Calc'!#REF!,0)</f>
        <v>#REF!</v>
      </c>
      <c r="AS12" s="13" t="e">
        <f>ROUND($C12*'Allocators Calc'!#REF!,0)</f>
        <v>#REF!</v>
      </c>
      <c r="AT12">
        <f>ROUND($C12*'Allocators Calc'!AM12,0)</f>
        <v>0</v>
      </c>
      <c r="AU12">
        <f>ROUND($C12*'Allocators Calc'!AN12,0)</f>
        <v>0</v>
      </c>
      <c r="AV12">
        <f>ROUND($C12*'Allocators Calc'!AO12,0)</f>
        <v>0</v>
      </c>
      <c r="AW12">
        <f>ROUND($C12*'Allocators Calc'!AP12,0)</f>
        <v>0</v>
      </c>
      <c r="AX12">
        <f>ROUND($C12*'Allocators Calc'!AQ12,0)</f>
        <v>0</v>
      </c>
      <c r="AY12" s="13">
        <f>ROUND($C12*'Allocators Calc'!AR12,0)</f>
        <v>0</v>
      </c>
      <c r="AZ12">
        <f>ROUND($C12*'Allocators Calc'!AS12,0)</f>
        <v>0</v>
      </c>
      <c r="BA12">
        <f>ROUND($C12*'Allocators Calc'!AT12,0)</f>
        <v>0</v>
      </c>
      <c r="BB12">
        <f>ROUND($C12*'Allocators Calc'!AU12,0)</f>
        <v>0</v>
      </c>
      <c r="BC12">
        <f>ROUND($C12*'Allocators Calc'!AV12,0)</f>
        <v>0</v>
      </c>
      <c r="BD12">
        <f>ROUND($C12*'Allocators Calc'!AW12,0)</f>
        <v>0</v>
      </c>
      <c r="BE12" s="13">
        <f>ROUND($C12*'Allocators Calc'!AX12,0)</f>
        <v>0</v>
      </c>
      <c r="BF12" t="e">
        <f>ROUND($C12*'Allocators Calc'!#REF!,0)</f>
        <v>#REF!</v>
      </c>
      <c r="BG12" t="e">
        <f>ROUND($C12*'Allocators Calc'!#REF!,0)</f>
        <v>#REF!</v>
      </c>
      <c r="BH12" t="e">
        <f>ROUND($C12*'Allocators Calc'!#REF!,0)</f>
        <v>#REF!</v>
      </c>
      <c r="BI12" t="e">
        <f>ROUND($C12*'Allocators Calc'!#REF!,0)</f>
        <v>#REF!</v>
      </c>
      <c r="BJ12" t="e">
        <f>ROUND($C12*'Allocators Calc'!#REF!,0)</f>
        <v>#REF!</v>
      </c>
      <c r="BK12" s="13" t="e">
        <f>ROUND($C12*'Allocators Calc'!#REF!,0)</f>
        <v>#REF!</v>
      </c>
      <c r="BL12">
        <f>ROUND($C12*'Allocators Calc'!AY12,0)</f>
        <v>0</v>
      </c>
      <c r="BM12">
        <f>ROUND($C12*'Allocators Calc'!AZ12,0)</f>
        <v>0</v>
      </c>
      <c r="BN12">
        <f>ROUND($C12*'Allocators Calc'!BA12,0)</f>
        <v>0</v>
      </c>
      <c r="BO12">
        <f>ROUND($C12*'Allocators Calc'!BB12,0)</f>
        <v>0</v>
      </c>
      <c r="BP12">
        <f>ROUND($C12*'Allocators Calc'!BC12,0)</f>
        <v>0</v>
      </c>
      <c r="BQ12" s="13">
        <f>ROUND($C12*'Allocators Calc'!BD12,0)</f>
        <v>0</v>
      </c>
      <c r="BR12" t="e">
        <f>ROUND($C12*'Allocators Calc'!#REF!,0)</f>
        <v>#REF!</v>
      </c>
      <c r="BS12" t="e">
        <f>ROUND($C12*'Allocators Calc'!#REF!,0)</f>
        <v>#REF!</v>
      </c>
      <c r="BT12" t="e">
        <f>ROUND($C12*'Allocators Calc'!#REF!,0)</f>
        <v>#REF!</v>
      </c>
      <c r="BU12" t="e">
        <f>ROUND($C12*'Allocators Calc'!#REF!,0)</f>
        <v>#REF!</v>
      </c>
      <c r="BV12" t="e">
        <f>ROUND($C12*'Allocators Calc'!#REF!,0)</f>
        <v>#REF!</v>
      </c>
      <c r="BW12" s="13" t="e">
        <f>ROUND($C12*'Allocators Calc'!#REF!,0)</f>
        <v>#REF!</v>
      </c>
      <c r="BX12" t="e">
        <f>ROUND($C12*'Allocators Calc'!#REF!,0)</f>
        <v>#REF!</v>
      </c>
      <c r="BY12" t="e">
        <f>ROUND($C12*'Allocators Calc'!#REF!,0)</f>
        <v>#REF!</v>
      </c>
      <c r="BZ12" t="e">
        <f>ROUND($C12*'Allocators Calc'!#REF!,0)</f>
        <v>#REF!</v>
      </c>
      <c r="CA12" t="e">
        <f>ROUND($C12*'Allocators Calc'!#REF!,0)</f>
        <v>#REF!</v>
      </c>
      <c r="CB12" t="e">
        <f>ROUND($C12*'Allocators Calc'!#REF!,0)</f>
        <v>#REF!</v>
      </c>
      <c r="CC12" s="13" t="e">
        <f>ROUND($C12*'Allocators Calc'!#REF!,0)</f>
        <v>#REF!</v>
      </c>
      <c r="CD12">
        <f>ROUND($C12*'Allocators Calc'!BE12,0)</f>
        <v>0</v>
      </c>
      <c r="CE12">
        <f>ROUND($C12*'Allocators Calc'!BF12,0)</f>
        <v>0</v>
      </c>
      <c r="CF12">
        <f>ROUND($C12*'Allocators Calc'!BG12,0)</f>
        <v>0</v>
      </c>
      <c r="CG12">
        <f>ROUND($C12*'Allocators Calc'!BH12,0)</f>
        <v>0</v>
      </c>
      <c r="CH12">
        <f>ROUND($C12*'Allocators Calc'!BI12,0)</f>
        <v>0</v>
      </c>
      <c r="CI12" s="13">
        <f>ROUND($C12*'Allocators Calc'!BJ12,0)</f>
        <v>0</v>
      </c>
      <c r="CJ12">
        <f>ROUND($C12*'Allocators Calc'!BK12,0)</f>
        <v>0</v>
      </c>
      <c r="CK12">
        <f>ROUND($C12*'Allocators Calc'!BL12,0)</f>
        <v>0</v>
      </c>
      <c r="CL12">
        <f>ROUND($C12*'Allocators Calc'!BM12,0)</f>
        <v>0</v>
      </c>
      <c r="CM12">
        <f>ROUND($C12*'Allocators Calc'!BN12,0)</f>
        <v>0</v>
      </c>
      <c r="CN12">
        <f>ROUND($C12*'Allocators Calc'!BO12,0)</f>
        <v>0</v>
      </c>
      <c r="CO12" s="13">
        <f>ROUND($C12*'Allocators Calc'!BP12,0)</f>
        <v>0</v>
      </c>
      <c r="CP12" t="e">
        <f>ROUND($C12*'Allocators Calc'!#REF!,0)</f>
        <v>#REF!</v>
      </c>
      <c r="CQ12" t="e">
        <f>ROUND($C12*'Allocators Calc'!#REF!,0)</f>
        <v>#REF!</v>
      </c>
      <c r="CR12" t="e">
        <f>ROUND($C12*'Allocators Calc'!#REF!,0)</f>
        <v>#REF!</v>
      </c>
      <c r="CS12" t="e">
        <f>ROUND($C12*'Allocators Calc'!#REF!,0)</f>
        <v>#REF!</v>
      </c>
      <c r="CT12" t="e">
        <f>ROUND($C12*'Allocators Calc'!#REF!,0)</f>
        <v>#REF!</v>
      </c>
      <c r="CU12" t="e">
        <f>ROUND($C12*'Allocators Calc'!#REF!,0)</f>
        <v>#REF!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</row>
    <row r="13" spans="1:129" x14ac:dyDescent="0.2">
      <c r="B13">
        <v>11</v>
      </c>
      <c r="C13" s="7">
        <v>566658154</v>
      </c>
      <c r="D13" s="7">
        <v>455556983</v>
      </c>
      <c r="E13" s="7">
        <v>882926416</v>
      </c>
      <c r="F13" s="7">
        <v>159237354</v>
      </c>
      <c r="G13" s="2">
        <v>4376803</v>
      </c>
      <c r="H13" s="55" t="s">
        <v>208</v>
      </c>
      <c r="I13" s="60" t="e">
        <f t="shared" ref="I13:N13" si="10">BX$77</f>
        <v>#REF!</v>
      </c>
      <c r="J13" s="60" t="e">
        <f t="shared" si="10"/>
        <v>#REF!</v>
      </c>
      <c r="K13" s="60" t="e">
        <f t="shared" si="10"/>
        <v>#REF!</v>
      </c>
      <c r="L13" s="60" t="e">
        <f t="shared" si="10"/>
        <v>#REF!</v>
      </c>
      <c r="M13" s="60" t="e">
        <f t="shared" si="10"/>
        <v>#REF!</v>
      </c>
      <c r="N13" s="60" t="e">
        <f t="shared" si="10"/>
        <v>#REF!</v>
      </c>
      <c r="O13" s="60" t="e">
        <f t="shared" si="1"/>
        <v>#REF!</v>
      </c>
      <c r="P13" t="e">
        <f>ROUND($C13*'Allocators Calc'!#REF!,0)</f>
        <v>#REF!</v>
      </c>
      <c r="Q13" t="e">
        <f>ROUND($C13*'Allocators Calc'!#REF!,0)</f>
        <v>#REF!</v>
      </c>
      <c r="R13" t="e">
        <f>ROUND($C13*'Allocators Calc'!#REF!,0)</f>
        <v>#REF!</v>
      </c>
      <c r="S13" t="e">
        <f>ROUND($C13*'Allocators Calc'!#REF!,0)</f>
        <v>#REF!</v>
      </c>
      <c r="T13" t="e">
        <f>ROUND($C13*'Allocators Calc'!#REF!,0)</f>
        <v>#REF!</v>
      </c>
      <c r="U13" s="13" t="e">
        <f>ROUND($C13*'Allocators Calc'!#REF!,0)</f>
        <v>#REF!</v>
      </c>
      <c r="V13" t="e">
        <f>ROUND($C13*'Allocators Calc'!#REF!,0)</f>
        <v>#REF!</v>
      </c>
      <c r="W13" t="e">
        <f>ROUND($C13*'Allocators Calc'!#REF!,0)</f>
        <v>#REF!</v>
      </c>
      <c r="X13" t="e">
        <f>ROUND($C13*'Allocators Calc'!#REF!,0)</f>
        <v>#REF!</v>
      </c>
      <c r="Y13" t="e">
        <f>ROUND($C13*'Allocators Calc'!#REF!,0)</f>
        <v>#REF!</v>
      </c>
      <c r="Z13" t="e">
        <f>ROUND($C13*'Allocators Calc'!#REF!,0)</f>
        <v>#REF!</v>
      </c>
      <c r="AA13" s="13" t="e">
        <f>ROUND($C13*'Allocators Calc'!#REF!,0)</f>
        <v>#REF!</v>
      </c>
      <c r="AB13">
        <f>ROUND($C13*'Allocators Calc'!AG13,0)</f>
        <v>0</v>
      </c>
      <c r="AC13">
        <f>ROUND($C13*'Allocators Calc'!AH13,0)</f>
        <v>0</v>
      </c>
      <c r="AD13">
        <f>ROUND($C13*'Allocators Calc'!AI13,0)</f>
        <v>0</v>
      </c>
      <c r="AE13">
        <f>ROUND($C13*'Allocators Calc'!AJ13,0)</f>
        <v>0</v>
      </c>
      <c r="AF13">
        <f>ROUND($C13*'Allocators Calc'!AK13,0)</f>
        <v>0</v>
      </c>
      <c r="AG13" s="13">
        <f>ROUND($C13*'Allocators Calc'!AL13,0)</f>
        <v>0</v>
      </c>
      <c r="AH13" t="e">
        <f>ROUND($C13*'Allocators Calc'!#REF!,0)</f>
        <v>#REF!</v>
      </c>
      <c r="AI13" t="e">
        <f>ROUND($C13*'Allocators Calc'!#REF!,0)</f>
        <v>#REF!</v>
      </c>
      <c r="AJ13" t="e">
        <f>ROUND($C13*'Allocators Calc'!#REF!,0)</f>
        <v>#REF!</v>
      </c>
      <c r="AK13" t="e">
        <f>ROUND($C13*'Allocators Calc'!#REF!,0)</f>
        <v>#REF!</v>
      </c>
      <c r="AL13" t="e">
        <f>ROUND($C13*'Allocators Calc'!#REF!,0)</f>
        <v>#REF!</v>
      </c>
      <c r="AM13" s="13" t="e">
        <f>ROUND($C13*'Allocators Calc'!#REF!,0)</f>
        <v>#REF!</v>
      </c>
      <c r="AN13" t="e">
        <f>ROUND($C13*'Allocators Calc'!#REF!,0)</f>
        <v>#REF!</v>
      </c>
      <c r="AO13" t="e">
        <f>ROUND($C13*'Allocators Calc'!#REF!,0)</f>
        <v>#REF!</v>
      </c>
      <c r="AP13" t="e">
        <f>ROUND($C13*'Allocators Calc'!#REF!,0)</f>
        <v>#REF!</v>
      </c>
      <c r="AQ13" t="e">
        <f>ROUND($C13*'Allocators Calc'!#REF!,0)</f>
        <v>#REF!</v>
      </c>
      <c r="AR13" t="e">
        <f>ROUND($C13*'Allocators Calc'!#REF!,0)</f>
        <v>#REF!</v>
      </c>
      <c r="AS13" s="13" t="e">
        <f>ROUND($C13*'Allocators Calc'!#REF!,0)</f>
        <v>#REF!</v>
      </c>
      <c r="AT13">
        <f>ROUND($C13*'Allocators Calc'!AM13,0)</f>
        <v>0</v>
      </c>
      <c r="AU13">
        <f>ROUND($C13*'Allocators Calc'!AN13,0)</f>
        <v>0</v>
      </c>
      <c r="AV13">
        <f>ROUND($C13*'Allocators Calc'!AO13,0)</f>
        <v>0</v>
      </c>
      <c r="AW13">
        <f>ROUND($C13*'Allocators Calc'!AP13,0)</f>
        <v>0</v>
      </c>
      <c r="AX13">
        <f>ROUND($C13*'Allocators Calc'!AQ13,0)</f>
        <v>0</v>
      </c>
      <c r="AY13" s="13">
        <f>ROUND($C13*'Allocators Calc'!AR13,0)</f>
        <v>0</v>
      </c>
      <c r="AZ13">
        <f>ROUND($C13*'Allocators Calc'!AS13,0)</f>
        <v>0</v>
      </c>
      <c r="BA13">
        <f>ROUND($C13*'Allocators Calc'!AT13,0)</f>
        <v>0</v>
      </c>
      <c r="BB13">
        <f>ROUND($C13*'Allocators Calc'!AU13,0)</f>
        <v>0</v>
      </c>
      <c r="BC13">
        <f>ROUND($C13*'Allocators Calc'!AV13,0)</f>
        <v>0</v>
      </c>
      <c r="BD13">
        <f>ROUND($C13*'Allocators Calc'!AW13,0)</f>
        <v>0</v>
      </c>
      <c r="BE13" s="13">
        <f>ROUND($C13*'Allocators Calc'!AX13,0)</f>
        <v>0</v>
      </c>
      <c r="BF13" t="e">
        <f>ROUND($C13*'Allocators Calc'!#REF!,0)</f>
        <v>#REF!</v>
      </c>
      <c r="BG13" t="e">
        <f>ROUND($C13*'Allocators Calc'!#REF!,0)</f>
        <v>#REF!</v>
      </c>
      <c r="BH13" t="e">
        <f>ROUND($C13*'Allocators Calc'!#REF!,0)</f>
        <v>#REF!</v>
      </c>
      <c r="BI13" t="e">
        <f>ROUND($C13*'Allocators Calc'!#REF!,0)</f>
        <v>#REF!</v>
      </c>
      <c r="BJ13" t="e">
        <f>ROUND($C13*'Allocators Calc'!#REF!,0)</f>
        <v>#REF!</v>
      </c>
      <c r="BK13" s="13" t="e">
        <f>ROUND($C13*'Allocators Calc'!#REF!,0)</f>
        <v>#REF!</v>
      </c>
      <c r="BL13">
        <f>ROUND($C13*'Allocators Calc'!AY13,0)</f>
        <v>0</v>
      </c>
      <c r="BM13">
        <f>ROUND($C13*'Allocators Calc'!AZ13,0)</f>
        <v>0</v>
      </c>
      <c r="BN13">
        <f>ROUND($C13*'Allocators Calc'!BA13,0)</f>
        <v>0</v>
      </c>
      <c r="BO13">
        <f>ROUND($C13*'Allocators Calc'!BB13,0)</f>
        <v>0</v>
      </c>
      <c r="BP13">
        <f>ROUND($C13*'Allocators Calc'!BC13,0)</f>
        <v>0</v>
      </c>
      <c r="BQ13" s="13">
        <f>ROUND($C13*'Allocators Calc'!BD13,0)</f>
        <v>0</v>
      </c>
      <c r="BR13" t="e">
        <f>ROUND($C13*'Allocators Calc'!#REF!,0)</f>
        <v>#REF!</v>
      </c>
      <c r="BS13" t="e">
        <f>ROUND($C13*'Allocators Calc'!#REF!,0)</f>
        <v>#REF!</v>
      </c>
      <c r="BT13" t="e">
        <f>ROUND($C13*'Allocators Calc'!#REF!,0)</f>
        <v>#REF!</v>
      </c>
      <c r="BU13" t="e">
        <f>ROUND($C13*'Allocators Calc'!#REF!,0)</f>
        <v>#REF!</v>
      </c>
      <c r="BV13" t="e">
        <f>ROUND($C13*'Allocators Calc'!#REF!,0)</f>
        <v>#REF!</v>
      </c>
      <c r="BW13" s="13" t="e">
        <f>ROUND($C13*'Allocators Calc'!#REF!,0)</f>
        <v>#REF!</v>
      </c>
      <c r="BX13" t="e">
        <f>ROUND($C13*'Allocators Calc'!#REF!,0)</f>
        <v>#REF!</v>
      </c>
      <c r="BY13" t="e">
        <f>ROUND($C13*'Allocators Calc'!#REF!,0)</f>
        <v>#REF!</v>
      </c>
      <c r="BZ13" t="e">
        <f>ROUND($C13*'Allocators Calc'!#REF!,0)</f>
        <v>#REF!</v>
      </c>
      <c r="CA13" t="e">
        <f>ROUND($C13*'Allocators Calc'!#REF!,0)</f>
        <v>#REF!</v>
      </c>
      <c r="CB13" t="e">
        <f>ROUND($C13*'Allocators Calc'!#REF!,0)</f>
        <v>#REF!</v>
      </c>
      <c r="CC13" s="13" t="e">
        <f>ROUND($C13*'Allocators Calc'!#REF!,0)</f>
        <v>#REF!</v>
      </c>
      <c r="CD13">
        <f>ROUND($C13*'Allocators Calc'!BE13,0)</f>
        <v>0</v>
      </c>
      <c r="CE13">
        <f>ROUND($C13*'Allocators Calc'!BF13,0)</f>
        <v>0</v>
      </c>
      <c r="CF13">
        <f>ROUND($C13*'Allocators Calc'!BG13,0)</f>
        <v>0</v>
      </c>
      <c r="CG13">
        <f>ROUND($C13*'Allocators Calc'!BH13,0)</f>
        <v>0</v>
      </c>
      <c r="CH13">
        <f>ROUND($C13*'Allocators Calc'!BI13,0)</f>
        <v>0</v>
      </c>
      <c r="CI13" s="13">
        <f>ROUND($C13*'Allocators Calc'!BJ13,0)</f>
        <v>0</v>
      </c>
      <c r="CJ13">
        <f>ROUND($C13*'Allocators Calc'!BK13,0)</f>
        <v>0</v>
      </c>
      <c r="CK13">
        <f>ROUND($C13*'Allocators Calc'!BL13,0)</f>
        <v>0</v>
      </c>
      <c r="CL13">
        <f>ROUND($C13*'Allocators Calc'!BM13,0)</f>
        <v>0</v>
      </c>
      <c r="CM13">
        <f>ROUND($C13*'Allocators Calc'!BN13,0)</f>
        <v>0</v>
      </c>
      <c r="CN13">
        <f>ROUND($C13*'Allocators Calc'!BO13,0)</f>
        <v>0</v>
      </c>
      <c r="CO13" s="13">
        <f>ROUND($C13*'Allocators Calc'!BP13,0)</f>
        <v>0</v>
      </c>
      <c r="CP13" t="e">
        <f>ROUND($C13*'Allocators Calc'!#REF!,0)</f>
        <v>#REF!</v>
      </c>
      <c r="CQ13" t="e">
        <f>ROUND($C13*'Allocators Calc'!#REF!,0)</f>
        <v>#REF!</v>
      </c>
      <c r="CR13" t="e">
        <f>ROUND($C13*'Allocators Calc'!#REF!,0)</f>
        <v>#REF!</v>
      </c>
      <c r="CS13" t="e">
        <f>ROUND($C13*'Allocators Calc'!#REF!,0)</f>
        <v>#REF!</v>
      </c>
      <c r="CT13" t="e">
        <f>ROUND($C13*'Allocators Calc'!#REF!,0)</f>
        <v>#REF!</v>
      </c>
      <c r="CU13" t="e">
        <f>ROUND($C13*'Allocators Calc'!#REF!,0)</f>
        <v>#REF!</v>
      </c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</row>
    <row r="14" spans="1:129" x14ac:dyDescent="0.2">
      <c r="B14">
        <v>12</v>
      </c>
      <c r="C14" s="7">
        <v>807533777</v>
      </c>
      <c r="D14" s="7">
        <v>500103248</v>
      </c>
      <c r="E14" s="7">
        <v>874965133</v>
      </c>
      <c r="F14" s="7">
        <v>165297492</v>
      </c>
      <c r="G14" s="2">
        <v>4466185</v>
      </c>
      <c r="H14" s="58" t="s">
        <v>42</v>
      </c>
      <c r="I14" s="60">
        <f t="shared" ref="I14:N14" si="11">CD$77</f>
        <v>768806</v>
      </c>
      <c r="J14" s="60">
        <f t="shared" si="11"/>
        <v>1760118</v>
      </c>
      <c r="K14" s="60">
        <f t="shared" si="11"/>
        <v>3680745</v>
      </c>
      <c r="L14" s="60">
        <f t="shared" si="11"/>
        <v>75317749</v>
      </c>
      <c r="M14" s="60">
        <f t="shared" si="11"/>
        <v>42658234</v>
      </c>
      <c r="N14" s="60">
        <f t="shared" si="11"/>
        <v>45483510</v>
      </c>
      <c r="O14" s="60">
        <f t="shared" si="1"/>
        <v>169669162</v>
      </c>
      <c r="P14" t="e">
        <f>ROUND($C14*'Allocators Calc'!#REF!,0)</f>
        <v>#REF!</v>
      </c>
      <c r="Q14" t="e">
        <f>ROUND($C14*'Allocators Calc'!#REF!,0)</f>
        <v>#REF!</v>
      </c>
      <c r="R14" t="e">
        <f>ROUND($C14*'Allocators Calc'!#REF!,0)</f>
        <v>#REF!</v>
      </c>
      <c r="S14" t="e">
        <f>ROUND($C14*'Allocators Calc'!#REF!,0)</f>
        <v>#REF!</v>
      </c>
      <c r="T14" t="e">
        <f>ROUND($C14*'Allocators Calc'!#REF!,0)</f>
        <v>#REF!</v>
      </c>
      <c r="U14" s="13" t="e">
        <f>ROUND($C14*'Allocators Calc'!#REF!,0)</f>
        <v>#REF!</v>
      </c>
      <c r="V14" t="e">
        <f>ROUND($C14*'Allocators Calc'!#REF!,0)</f>
        <v>#REF!</v>
      </c>
      <c r="W14" t="e">
        <f>ROUND($C14*'Allocators Calc'!#REF!,0)</f>
        <v>#REF!</v>
      </c>
      <c r="X14" t="e">
        <f>ROUND($C14*'Allocators Calc'!#REF!,0)</f>
        <v>#REF!</v>
      </c>
      <c r="Y14" t="e">
        <f>ROUND($C14*'Allocators Calc'!#REF!,0)</f>
        <v>#REF!</v>
      </c>
      <c r="Z14" t="e">
        <f>ROUND($C14*'Allocators Calc'!#REF!,0)</f>
        <v>#REF!</v>
      </c>
      <c r="AA14" s="13" t="e">
        <f>ROUND($C14*'Allocators Calc'!#REF!,0)</f>
        <v>#REF!</v>
      </c>
      <c r="AB14">
        <f>ROUND($C14*'Allocators Calc'!AG14,0)</f>
        <v>0</v>
      </c>
      <c r="AC14">
        <f>ROUND($C14*'Allocators Calc'!AH14,0)</f>
        <v>0</v>
      </c>
      <c r="AD14">
        <f>ROUND($C14*'Allocators Calc'!AI14,0)</f>
        <v>0</v>
      </c>
      <c r="AE14">
        <f>ROUND($C14*'Allocators Calc'!AJ14,0)</f>
        <v>0</v>
      </c>
      <c r="AF14">
        <f>ROUND($C14*'Allocators Calc'!AK14,0)</f>
        <v>0</v>
      </c>
      <c r="AG14" s="13">
        <f>ROUND($C14*'Allocators Calc'!AL14,0)</f>
        <v>0</v>
      </c>
      <c r="AH14" t="e">
        <f>ROUND($C14*'Allocators Calc'!#REF!,0)</f>
        <v>#REF!</v>
      </c>
      <c r="AI14" t="e">
        <f>ROUND($C14*'Allocators Calc'!#REF!,0)</f>
        <v>#REF!</v>
      </c>
      <c r="AJ14" t="e">
        <f>ROUND($C14*'Allocators Calc'!#REF!,0)</f>
        <v>#REF!</v>
      </c>
      <c r="AK14" t="e">
        <f>ROUND($C14*'Allocators Calc'!#REF!,0)</f>
        <v>#REF!</v>
      </c>
      <c r="AL14" t="e">
        <f>ROUND($C14*'Allocators Calc'!#REF!,0)</f>
        <v>#REF!</v>
      </c>
      <c r="AM14" s="13" t="e">
        <f>ROUND($C14*'Allocators Calc'!#REF!,0)</f>
        <v>#REF!</v>
      </c>
      <c r="AN14" t="e">
        <f>ROUND($C14*'Allocators Calc'!#REF!,0)</f>
        <v>#REF!</v>
      </c>
      <c r="AO14" t="e">
        <f>ROUND($C14*'Allocators Calc'!#REF!,0)</f>
        <v>#REF!</v>
      </c>
      <c r="AP14" t="e">
        <f>ROUND($C14*'Allocators Calc'!#REF!,0)</f>
        <v>#REF!</v>
      </c>
      <c r="AQ14" t="e">
        <f>ROUND($C14*'Allocators Calc'!#REF!,0)</f>
        <v>#REF!</v>
      </c>
      <c r="AR14" t="e">
        <f>ROUND($C14*'Allocators Calc'!#REF!,0)</f>
        <v>#REF!</v>
      </c>
      <c r="AS14" s="13" t="e">
        <f>ROUND($C14*'Allocators Calc'!#REF!,0)</f>
        <v>#REF!</v>
      </c>
      <c r="AT14">
        <f>ROUND($C14*'Allocators Calc'!AM14,0)</f>
        <v>0</v>
      </c>
      <c r="AU14">
        <f>ROUND($C14*'Allocators Calc'!AN14,0)</f>
        <v>0</v>
      </c>
      <c r="AV14">
        <f>ROUND($C14*'Allocators Calc'!AO14,0)</f>
        <v>0</v>
      </c>
      <c r="AW14">
        <f>ROUND($C14*'Allocators Calc'!AP14,0)</f>
        <v>0</v>
      </c>
      <c r="AX14">
        <f>ROUND($C14*'Allocators Calc'!AQ14,0)</f>
        <v>0</v>
      </c>
      <c r="AY14" s="13">
        <f>ROUND($C14*'Allocators Calc'!AR14,0)</f>
        <v>0</v>
      </c>
      <c r="AZ14">
        <f>ROUND($C14*'Allocators Calc'!AS14,0)</f>
        <v>0</v>
      </c>
      <c r="BA14">
        <f>ROUND($C14*'Allocators Calc'!AT14,0)</f>
        <v>0</v>
      </c>
      <c r="BB14">
        <f>ROUND($C14*'Allocators Calc'!AU14,0)</f>
        <v>0</v>
      </c>
      <c r="BC14">
        <f>ROUND($C14*'Allocators Calc'!AV14,0)</f>
        <v>0</v>
      </c>
      <c r="BD14">
        <f>ROUND($C14*'Allocators Calc'!AW14,0)</f>
        <v>0</v>
      </c>
      <c r="BE14" s="13">
        <f>ROUND($C14*'Allocators Calc'!AX14,0)</f>
        <v>0</v>
      </c>
      <c r="BF14" t="e">
        <f>ROUND($C14*'Allocators Calc'!#REF!,0)</f>
        <v>#REF!</v>
      </c>
      <c r="BG14" t="e">
        <f>ROUND($C14*'Allocators Calc'!#REF!,0)</f>
        <v>#REF!</v>
      </c>
      <c r="BH14" t="e">
        <f>ROUND($C14*'Allocators Calc'!#REF!,0)</f>
        <v>#REF!</v>
      </c>
      <c r="BI14" t="e">
        <f>ROUND($C14*'Allocators Calc'!#REF!,0)</f>
        <v>#REF!</v>
      </c>
      <c r="BJ14" t="e">
        <f>ROUND($C14*'Allocators Calc'!#REF!,0)</f>
        <v>#REF!</v>
      </c>
      <c r="BK14" s="13" t="e">
        <f>ROUND($C14*'Allocators Calc'!#REF!,0)</f>
        <v>#REF!</v>
      </c>
      <c r="BL14">
        <f>ROUND($C14*'Allocators Calc'!AY14,0)</f>
        <v>0</v>
      </c>
      <c r="BM14">
        <f>ROUND($C14*'Allocators Calc'!AZ14,0)</f>
        <v>0</v>
      </c>
      <c r="BN14">
        <f>ROUND($C14*'Allocators Calc'!BA14,0)</f>
        <v>0</v>
      </c>
      <c r="BO14">
        <f>ROUND($C14*'Allocators Calc'!BB14,0)</f>
        <v>0</v>
      </c>
      <c r="BP14">
        <f>ROUND($C14*'Allocators Calc'!BC14,0)</f>
        <v>0</v>
      </c>
      <c r="BQ14" s="13">
        <f>ROUND($C14*'Allocators Calc'!BD14,0)</f>
        <v>0</v>
      </c>
      <c r="BR14" t="e">
        <f>ROUND($C14*'Allocators Calc'!#REF!,0)</f>
        <v>#REF!</v>
      </c>
      <c r="BS14" t="e">
        <f>ROUND($C14*'Allocators Calc'!#REF!,0)</f>
        <v>#REF!</v>
      </c>
      <c r="BT14" t="e">
        <f>ROUND($C14*'Allocators Calc'!#REF!,0)</f>
        <v>#REF!</v>
      </c>
      <c r="BU14" t="e">
        <f>ROUND($C14*'Allocators Calc'!#REF!,0)</f>
        <v>#REF!</v>
      </c>
      <c r="BV14" t="e">
        <f>ROUND($C14*'Allocators Calc'!#REF!,0)</f>
        <v>#REF!</v>
      </c>
      <c r="BW14" s="13" t="e">
        <f>ROUND($C14*'Allocators Calc'!#REF!,0)</f>
        <v>#REF!</v>
      </c>
      <c r="BX14" t="e">
        <f>ROUND($C14*'Allocators Calc'!#REF!,0)</f>
        <v>#REF!</v>
      </c>
      <c r="BY14" t="e">
        <f>ROUND($C14*'Allocators Calc'!#REF!,0)</f>
        <v>#REF!</v>
      </c>
      <c r="BZ14" t="e">
        <f>ROUND($C14*'Allocators Calc'!#REF!,0)</f>
        <v>#REF!</v>
      </c>
      <c r="CA14" t="e">
        <f>ROUND($C14*'Allocators Calc'!#REF!,0)</f>
        <v>#REF!</v>
      </c>
      <c r="CB14" t="e">
        <f>ROUND($C14*'Allocators Calc'!#REF!,0)</f>
        <v>#REF!</v>
      </c>
      <c r="CC14" s="13" t="e">
        <f>ROUND($C14*'Allocators Calc'!#REF!,0)</f>
        <v>#REF!</v>
      </c>
      <c r="CD14">
        <f>ROUND($C14*'Allocators Calc'!BE14,0)</f>
        <v>0</v>
      </c>
      <c r="CE14">
        <f>ROUND($C14*'Allocators Calc'!BF14,0)</f>
        <v>0</v>
      </c>
      <c r="CF14">
        <f>ROUND($C14*'Allocators Calc'!BG14,0)</f>
        <v>0</v>
      </c>
      <c r="CG14">
        <f>ROUND($C14*'Allocators Calc'!BH14,0)</f>
        <v>0</v>
      </c>
      <c r="CH14">
        <f>ROUND($C14*'Allocators Calc'!BI14,0)</f>
        <v>0</v>
      </c>
      <c r="CI14" s="13">
        <f>ROUND($C14*'Allocators Calc'!BJ14,0)</f>
        <v>0</v>
      </c>
      <c r="CJ14">
        <f>ROUND($C14*'Allocators Calc'!BK14,0)</f>
        <v>0</v>
      </c>
      <c r="CK14">
        <f>ROUND($C14*'Allocators Calc'!BL14,0)</f>
        <v>0</v>
      </c>
      <c r="CL14">
        <f>ROUND($C14*'Allocators Calc'!BM14,0)</f>
        <v>0</v>
      </c>
      <c r="CM14">
        <f>ROUND($C14*'Allocators Calc'!BN14,0)</f>
        <v>0</v>
      </c>
      <c r="CN14">
        <f>ROUND($C14*'Allocators Calc'!BO14,0)</f>
        <v>0</v>
      </c>
      <c r="CO14" s="13">
        <f>ROUND($C14*'Allocators Calc'!BP14,0)</f>
        <v>0</v>
      </c>
      <c r="CP14" t="e">
        <f>ROUND($C14*'Allocators Calc'!#REF!,0)</f>
        <v>#REF!</v>
      </c>
      <c r="CQ14" t="e">
        <f>ROUND($C14*'Allocators Calc'!#REF!,0)</f>
        <v>#REF!</v>
      </c>
      <c r="CR14" t="e">
        <f>ROUND($C14*'Allocators Calc'!#REF!,0)</f>
        <v>#REF!</v>
      </c>
      <c r="CS14" t="e">
        <f>ROUND($C14*'Allocators Calc'!#REF!,0)</f>
        <v>#REF!</v>
      </c>
      <c r="CT14" t="e">
        <f>ROUND($C14*'Allocators Calc'!#REF!,0)</f>
        <v>#REF!</v>
      </c>
      <c r="CU14" t="e">
        <f>ROUND($C14*'Allocators Calc'!#REF!,0)</f>
        <v>#REF!</v>
      </c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</row>
    <row r="15" spans="1:129" x14ac:dyDescent="0.2">
      <c r="C15" s="3">
        <f>SUM(C3:C14)</f>
        <v>8690701682</v>
      </c>
      <c r="D15" s="3">
        <f>SUM(D3:D14)</f>
        <v>6236725191</v>
      </c>
      <c r="E15" s="3">
        <f>SUM(E3:E14)</f>
        <v>10692610679</v>
      </c>
      <c r="F15" s="3">
        <f>SUM(F3:F14)</f>
        <v>2044384070</v>
      </c>
      <c r="G15" s="3">
        <f>SUM(G3:G14)</f>
        <v>52031725</v>
      </c>
      <c r="H15" s="54" t="s">
        <v>178</v>
      </c>
      <c r="I15" s="70">
        <f t="shared" ref="I15:N15" si="12">CJ$77</f>
        <v>153665</v>
      </c>
      <c r="J15" s="70">
        <f t="shared" si="12"/>
        <v>425196</v>
      </c>
      <c r="K15" s="70">
        <f t="shared" si="12"/>
        <v>866539</v>
      </c>
      <c r="L15" s="70">
        <f t="shared" si="12"/>
        <v>5964282</v>
      </c>
      <c r="M15" s="70">
        <f t="shared" si="12"/>
        <v>0</v>
      </c>
      <c r="N15" s="70">
        <f t="shared" si="12"/>
        <v>0</v>
      </c>
      <c r="O15" s="70">
        <f t="shared" si="1"/>
        <v>7409682</v>
      </c>
      <c r="P15" s="11"/>
      <c r="Q15" s="11"/>
      <c r="R15" s="11"/>
      <c r="S15" s="11"/>
      <c r="T15" s="11"/>
      <c r="U15" s="14"/>
      <c r="V15" s="11"/>
      <c r="W15" s="11"/>
      <c r="X15" s="11"/>
      <c r="Y15" s="11"/>
      <c r="Z15" s="11"/>
      <c r="AA15" s="14"/>
      <c r="AB15" s="11"/>
      <c r="AC15" s="11"/>
      <c r="AD15" s="11"/>
      <c r="AE15" s="11"/>
      <c r="AF15" s="11"/>
      <c r="AG15" s="14"/>
      <c r="AH15" s="11"/>
      <c r="AI15" s="11"/>
      <c r="AJ15" s="11"/>
      <c r="AK15" s="11"/>
      <c r="AL15" s="11"/>
      <c r="AM15" s="14"/>
      <c r="AN15" s="11"/>
      <c r="AO15" s="11"/>
      <c r="AP15" s="11"/>
      <c r="AQ15" s="11"/>
      <c r="AR15" s="11"/>
      <c r="AS15" s="14"/>
      <c r="AT15" s="11"/>
      <c r="AU15" s="11"/>
      <c r="AV15" s="11"/>
      <c r="AW15" s="11"/>
      <c r="AX15" s="11"/>
      <c r="AY15" s="14"/>
      <c r="AZ15" s="11"/>
      <c r="BA15" s="11"/>
      <c r="BB15" s="11"/>
      <c r="BC15" s="11"/>
      <c r="BD15" s="11"/>
      <c r="BE15" s="14"/>
      <c r="BF15" s="11"/>
      <c r="BG15" s="11"/>
      <c r="BH15" s="11"/>
      <c r="BI15" s="11"/>
      <c r="BJ15" s="11"/>
      <c r="BK15" s="14"/>
      <c r="BL15" s="11"/>
      <c r="BM15" s="11"/>
      <c r="BN15" s="11"/>
      <c r="BO15" s="11"/>
      <c r="BP15" s="11"/>
      <c r="BQ15" s="14"/>
      <c r="BR15" s="11"/>
      <c r="BS15" s="11"/>
      <c r="BT15" s="11"/>
      <c r="BU15" s="11"/>
      <c r="BV15" s="11"/>
      <c r="BW15" s="14"/>
      <c r="BX15" s="11"/>
      <c r="BY15" s="11"/>
      <c r="BZ15" s="11"/>
      <c r="CA15" s="11"/>
      <c r="CB15" s="11"/>
      <c r="CC15" s="14"/>
      <c r="CD15" s="11"/>
      <c r="CE15" s="11"/>
      <c r="CF15" s="11"/>
      <c r="CG15" s="11"/>
      <c r="CH15" s="11"/>
      <c r="CI15" s="14"/>
      <c r="CJ15" s="11"/>
      <c r="CK15" s="11"/>
      <c r="CL15" s="11"/>
      <c r="CM15" s="11"/>
      <c r="CN15" s="11"/>
      <c r="CO15" s="14"/>
      <c r="CP15" s="11"/>
      <c r="CQ15" s="11"/>
      <c r="CR15" s="11"/>
      <c r="CS15" s="11"/>
      <c r="CT15" s="11"/>
      <c r="CU15" s="11"/>
    </row>
    <row r="16" spans="1:129" x14ac:dyDescent="0.2">
      <c r="F16" s="3">
        <f>SUM(C15:F15)</f>
        <v>27664421622</v>
      </c>
      <c r="G16" s="3">
        <f>SUM(C15:G15)</f>
        <v>27716453347</v>
      </c>
      <c r="H16" s="54" t="s">
        <v>209</v>
      </c>
      <c r="I16" s="61" t="e">
        <f t="shared" ref="I16:N16" si="13">CP$77</f>
        <v>#REF!</v>
      </c>
      <c r="J16" s="61" t="e">
        <f t="shared" si="13"/>
        <v>#REF!</v>
      </c>
      <c r="K16" s="61" t="e">
        <f t="shared" si="13"/>
        <v>#REF!</v>
      </c>
      <c r="L16" s="61" t="e">
        <f t="shared" si="13"/>
        <v>#REF!</v>
      </c>
      <c r="M16" s="61" t="e">
        <f t="shared" si="13"/>
        <v>#REF!</v>
      </c>
      <c r="N16" s="61" t="e">
        <f t="shared" si="13"/>
        <v>#REF!</v>
      </c>
      <c r="O16" s="61" t="e">
        <f>I16+J16+K16+L16+M16+N16</f>
        <v>#REF!</v>
      </c>
      <c r="P16" s="344" t="str">
        <f t="shared" ref="P16:CO17" si="14">P1</f>
        <v>LBA0</v>
      </c>
      <c r="Q16" s="344"/>
      <c r="R16" s="344"/>
      <c r="S16" s="344"/>
      <c r="T16" s="344"/>
      <c r="U16" s="345"/>
      <c r="V16" s="343" t="str">
        <f t="shared" si="14"/>
        <v>LBAM</v>
      </c>
      <c r="W16" s="344"/>
      <c r="X16" s="344"/>
      <c r="Y16" s="344"/>
      <c r="Z16" s="344"/>
      <c r="AA16" s="345"/>
      <c r="AB16" s="343" t="str">
        <f t="shared" si="14"/>
        <v>LBN0</v>
      </c>
      <c r="AC16" s="344"/>
      <c r="AD16" s="344"/>
      <c r="AE16" s="344"/>
      <c r="AF16" s="344"/>
      <c r="AG16" s="345"/>
      <c r="AH16" s="343" t="str">
        <f t="shared" si="14"/>
        <v>LCA0</v>
      </c>
      <c r="AI16" s="344"/>
      <c r="AJ16" s="344"/>
      <c r="AK16" s="344"/>
      <c r="AL16" s="344"/>
      <c r="AM16" s="345"/>
      <c r="AN16" s="343" t="str">
        <f t="shared" si="14"/>
        <v>LCN0</v>
      </c>
      <c r="AO16" s="344"/>
      <c r="AP16" s="344"/>
      <c r="AQ16" s="344"/>
      <c r="AR16" s="344"/>
      <c r="AS16" s="345"/>
      <c r="AT16" s="343" t="str">
        <f t="shared" si="14"/>
        <v>LDN0</v>
      </c>
      <c r="AU16" s="344"/>
      <c r="AV16" s="344"/>
      <c r="AW16" s="344"/>
      <c r="AX16" s="344"/>
      <c r="AY16" s="345"/>
      <c r="AZ16" s="343" t="str">
        <f t="shared" si="14"/>
        <v>LPN0</v>
      </c>
      <c r="BA16" s="344"/>
      <c r="BB16" s="344"/>
      <c r="BC16" s="344"/>
      <c r="BD16" s="344"/>
      <c r="BE16" s="345"/>
      <c r="BF16" s="343" t="str">
        <f t="shared" si="14"/>
        <v>LPA0</v>
      </c>
      <c r="BG16" s="344"/>
      <c r="BH16" s="344"/>
      <c r="BI16" s="344"/>
      <c r="BJ16" s="344"/>
      <c r="BK16" s="345"/>
      <c r="BL16" s="343" t="str">
        <f t="shared" si="14"/>
        <v>LSN0</v>
      </c>
      <c r="BM16" s="344"/>
      <c r="BN16" s="344"/>
      <c r="BO16" s="344"/>
      <c r="BP16" s="344"/>
      <c r="BQ16" s="345"/>
      <c r="BR16" s="343" t="str">
        <f t="shared" si="14"/>
        <v>LSS0</v>
      </c>
      <c r="BS16" s="344"/>
      <c r="BT16" s="344"/>
      <c r="BU16" s="344"/>
      <c r="BV16" s="344"/>
      <c r="BW16" s="345"/>
      <c r="BX16" s="343" t="str">
        <f t="shared" si="14"/>
        <v>LSN4</v>
      </c>
      <c r="BY16" s="344"/>
      <c r="BZ16" s="344"/>
      <c r="CA16" s="344"/>
      <c r="CB16" s="344"/>
      <c r="CC16" s="345"/>
      <c r="CD16" s="343" t="str">
        <f t="shared" si="14"/>
        <v>LSN2</v>
      </c>
      <c r="CE16" s="344"/>
      <c r="CF16" s="344"/>
      <c r="CG16" s="344"/>
      <c r="CH16" s="344"/>
      <c r="CI16" s="345"/>
      <c r="CJ16" s="343" t="str">
        <f t="shared" si="14"/>
        <v>LSN3 - Peak</v>
      </c>
      <c r="CK16" s="344"/>
      <c r="CL16" s="344"/>
      <c r="CM16" s="344"/>
      <c r="CN16" s="344"/>
      <c r="CO16" s="344"/>
      <c r="CP16" s="358" t="str">
        <f>CP1</f>
        <v>LSN3 - Off Peak</v>
      </c>
      <c r="CQ16" s="359"/>
      <c r="CR16" s="359"/>
      <c r="CS16" s="359"/>
      <c r="CT16" s="359"/>
      <c r="CU16" s="359"/>
      <c r="CV16" s="3"/>
      <c r="CW16" s="3"/>
      <c r="CX16" s="3"/>
      <c r="CY16" s="3"/>
      <c r="CZ16" s="3"/>
      <c r="DA16" s="3"/>
      <c r="DB16" s="3"/>
      <c r="DC16" s="3"/>
      <c r="DD16" s="1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</row>
    <row r="17" spans="1:129" x14ac:dyDescent="0.2">
      <c r="G17" s="3"/>
      <c r="I17" s="60" t="e">
        <f>SUM(I3:I16)</f>
        <v>#REF!</v>
      </c>
      <c r="J17" s="60" t="e">
        <f t="shared" ref="J17:O17" si="15">SUM(J3:J16)</f>
        <v>#REF!</v>
      </c>
      <c r="K17" s="60" t="e">
        <f t="shared" si="15"/>
        <v>#REF!</v>
      </c>
      <c r="L17" s="60" t="e">
        <f t="shared" si="15"/>
        <v>#REF!</v>
      </c>
      <c r="M17" s="60" t="e">
        <f t="shared" si="15"/>
        <v>#REF!</v>
      </c>
      <c r="N17" s="60" t="e">
        <f t="shared" si="15"/>
        <v>#REF!</v>
      </c>
      <c r="O17" s="60" t="e">
        <f t="shared" si="15"/>
        <v>#REF!</v>
      </c>
      <c r="P17" t="str">
        <f t="shared" si="14"/>
        <v>First 300 kWh</v>
      </c>
      <c r="Q17" t="str">
        <f t="shared" si="14"/>
        <v>Next 700 kWh</v>
      </c>
      <c r="R17" t="str">
        <f t="shared" si="14"/>
        <v>Next 1500 kWh</v>
      </c>
      <c r="S17" t="str">
        <f t="shared" si="14"/>
        <v>Over 2500 kWh</v>
      </c>
      <c r="T17" t="str">
        <f t="shared" si="14"/>
        <v>KWH_NEXT110</v>
      </c>
      <c r="U17" s="13" t="str">
        <f t="shared" si="14"/>
        <v>KWH_300+</v>
      </c>
      <c r="V17" t="str">
        <f t="shared" si="14"/>
        <v>First 300 kWh</v>
      </c>
      <c r="W17" t="str">
        <f t="shared" si="14"/>
        <v>Next 700 kWh</v>
      </c>
      <c r="X17" t="str">
        <f t="shared" si="14"/>
        <v>Next 1500 kWh</v>
      </c>
      <c r="Y17" t="str">
        <f t="shared" si="14"/>
        <v>Over 2500 kWh</v>
      </c>
      <c r="Z17" t="str">
        <f t="shared" si="14"/>
        <v>KWH_NEXT110</v>
      </c>
      <c r="AA17" s="13" t="str">
        <f t="shared" si="14"/>
        <v>KWH_300+</v>
      </c>
      <c r="AB17" t="str">
        <f t="shared" si="14"/>
        <v>First 300 kWh</v>
      </c>
      <c r="AC17" t="str">
        <f t="shared" si="14"/>
        <v>Next 700 kWh</v>
      </c>
      <c r="AD17" t="str">
        <f t="shared" si="14"/>
        <v>Next 1500 kWh</v>
      </c>
      <c r="AE17" t="str">
        <f t="shared" si="14"/>
        <v>Over 2500 kWh</v>
      </c>
      <c r="AF17" t="str">
        <f t="shared" si="14"/>
        <v>KWH_NEXT110</v>
      </c>
      <c r="AG17" s="13" t="str">
        <f t="shared" si="14"/>
        <v>KWH_300+</v>
      </c>
      <c r="AH17" t="str">
        <f t="shared" si="14"/>
        <v>First 300 kWh</v>
      </c>
      <c r="AI17" t="str">
        <f t="shared" si="14"/>
        <v>Next 700 kWh</v>
      </c>
      <c r="AJ17" t="str">
        <f t="shared" si="14"/>
        <v>Next 1500 kWh</v>
      </c>
      <c r="AK17" t="str">
        <f t="shared" si="14"/>
        <v>Over 2500 kWh</v>
      </c>
      <c r="AL17" t="str">
        <f t="shared" si="14"/>
        <v>KWH_NEXT110</v>
      </c>
      <c r="AM17" s="13" t="str">
        <f t="shared" si="14"/>
        <v>KWH_300+</v>
      </c>
      <c r="AN17" t="str">
        <f t="shared" si="14"/>
        <v>First 300 kWh</v>
      </c>
      <c r="AO17" t="str">
        <f t="shared" si="14"/>
        <v>Next 700 kWh</v>
      </c>
      <c r="AP17" t="str">
        <f t="shared" si="14"/>
        <v>Next 1500 kWh</v>
      </c>
      <c r="AQ17" t="str">
        <f t="shared" si="14"/>
        <v>Over 2500 kWh</v>
      </c>
      <c r="AR17" t="str">
        <f t="shared" si="14"/>
        <v>KWH_NEXT110</v>
      </c>
      <c r="AS17" s="13" t="str">
        <f t="shared" si="14"/>
        <v>KWH_300+</v>
      </c>
      <c r="AT17" t="str">
        <f t="shared" si="14"/>
        <v>First 300 kWh</v>
      </c>
      <c r="AU17" t="str">
        <f t="shared" si="14"/>
        <v>Next 700 kWh</v>
      </c>
      <c r="AV17" t="str">
        <f t="shared" si="14"/>
        <v>Next 1500 kWh</v>
      </c>
      <c r="AW17" t="str">
        <f t="shared" si="14"/>
        <v>Over 2500 kWh</v>
      </c>
      <c r="AX17" t="str">
        <f t="shared" si="14"/>
        <v>KWH_NEXT110</v>
      </c>
      <c r="AY17" s="13" t="str">
        <f t="shared" si="14"/>
        <v>KWH_300+</v>
      </c>
      <c r="AZ17" t="str">
        <f t="shared" si="14"/>
        <v>First 300 kWh</v>
      </c>
      <c r="BA17" t="str">
        <f t="shared" si="14"/>
        <v>Next 700 kWh</v>
      </c>
      <c r="BB17" t="str">
        <f t="shared" si="14"/>
        <v>Next 1500 kWh</v>
      </c>
      <c r="BC17" t="str">
        <f t="shared" si="14"/>
        <v>Over 2500 kWh</v>
      </c>
      <c r="BD17" t="str">
        <f t="shared" si="14"/>
        <v>KWH_NEXT110</v>
      </c>
      <c r="BE17" s="13" t="str">
        <f t="shared" si="14"/>
        <v>KWH_300+</v>
      </c>
      <c r="BF17" t="str">
        <f t="shared" si="14"/>
        <v>First 300 kWh</v>
      </c>
      <c r="BG17" t="str">
        <f t="shared" si="14"/>
        <v>Next 700 kWh</v>
      </c>
      <c r="BH17" t="str">
        <f t="shared" si="14"/>
        <v>Next 1500 kWh</v>
      </c>
      <c r="BI17" t="str">
        <f t="shared" si="14"/>
        <v>Over 2500 kWh</v>
      </c>
      <c r="BJ17" t="str">
        <f t="shared" si="14"/>
        <v>KWH_NEXT110</v>
      </c>
      <c r="BK17" s="13" t="str">
        <f t="shared" si="14"/>
        <v>KWH_300+</v>
      </c>
      <c r="BL17" t="str">
        <f t="shared" si="14"/>
        <v>First 300 kWh</v>
      </c>
      <c r="BM17" t="str">
        <f t="shared" si="14"/>
        <v>Next 700 kWh</v>
      </c>
      <c r="BN17" t="str">
        <f t="shared" si="14"/>
        <v>Next 1500 kWh</v>
      </c>
      <c r="BO17" t="str">
        <f t="shared" si="14"/>
        <v>Over 2500 kWh</v>
      </c>
      <c r="BP17" t="str">
        <f t="shared" si="14"/>
        <v>KWH_NEXT110</v>
      </c>
      <c r="BQ17" s="13" t="str">
        <f t="shared" si="14"/>
        <v>KWH_300+</v>
      </c>
      <c r="BR17" t="str">
        <f t="shared" si="14"/>
        <v>First 300 kWh</v>
      </c>
      <c r="BS17" t="str">
        <f t="shared" si="14"/>
        <v>Next 700 kWh</v>
      </c>
      <c r="BT17" t="str">
        <f t="shared" si="14"/>
        <v>Next 1500 kWh</v>
      </c>
      <c r="BU17" t="str">
        <f t="shared" si="14"/>
        <v>Over 2500 kWh</v>
      </c>
      <c r="BV17" t="str">
        <f t="shared" si="14"/>
        <v>KWH_NEXT110</v>
      </c>
      <c r="BW17" s="13" t="str">
        <f t="shared" si="14"/>
        <v>KWH_300+</v>
      </c>
      <c r="BX17" t="str">
        <f t="shared" si="14"/>
        <v>First 300 kWh</v>
      </c>
      <c r="BY17" t="str">
        <f t="shared" si="14"/>
        <v>Next 700 kWh</v>
      </c>
      <c r="BZ17" t="str">
        <f t="shared" si="14"/>
        <v>Next 1500 kWh</v>
      </c>
      <c r="CA17" t="str">
        <f t="shared" si="14"/>
        <v>Over 2500 kWh</v>
      </c>
      <c r="CB17" t="str">
        <f t="shared" si="14"/>
        <v>KWH_NEXT110</v>
      </c>
      <c r="CC17" s="13" t="str">
        <f t="shared" si="14"/>
        <v>KWH_300+</v>
      </c>
      <c r="CD17" t="str">
        <f t="shared" si="14"/>
        <v>First 300 kWh</v>
      </c>
      <c r="CE17" t="str">
        <f t="shared" si="14"/>
        <v>Next 700 kWh</v>
      </c>
      <c r="CF17" t="str">
        <f t="shared" si="14"/>
        <v>Next 1500 kWh</v>
      </c>
      <c r="CG17" t="str">
        <f t="shared" si="14"/>
        <v>Over 2500 kWh</v>
      </c>
      <c r="CH17" t="str">
        <f t="shared" si="14"/>
        <v>KWH_NEXT110</v>
      </c>
      <c r="CI17" s="13" t="str">
        <f t="shared" si="14"/>
        <v>KWH_300+</v>
      </c>
      <c r="CJ17" t="str">
        <f t="shared" si="14"/>
        <v>First 300 kWh</v>
      </c>
      <c r="CK17" t="str">
        <f t="shared" si="14"/>
        <v>Next 700 kWh</v>
      </c>
      <c r="CL17" t="str">
        <f t="shared" si="14"/>
        <v>Next 1500 kWh</v>
      </c>
      <c r="CM17" t="str">
        <f t="shared" si="14"/>
        <v>Over 2500 kWh</v>
      </c>
      <c r="CN17" t="str">
        <f t="shared" si="14"/>
        <v>KWH_NEXT110</v>
      </c>
      <c r="CO17" s="13" t="str">
        <f t="shared" si="14"/>
        <v>KWH_300+</v>
      </c>
      <c r="CP17" s="3" t="str">
        <f t="shared" ref="CP17:CU17" si="16">CP2</f>
        <v>First 300 kWh</v>
      </c>
      <c r="CQ17" s="3" t="str">
        <f t="shared" si="16"/>
        <v>Next 700 kWh</v>
      </c>
      <c r="CR17" s="3" t="str">
        <f t="shared" si="16"/>
        <v>Next 1500 kWh</v>
      </c>
      <c r="CS17" s="3" t="str">
        <f t="shared" si="16"/>
        <v>Over 2500 kWh</v>
      </c>
      <c r="CT17" s="3" t="str">
        <f t="shared" si="16"/>
        <v>KWH_NEXT110</v>
      </c>
      <c r="CU17" s="3" t="str">
        <f t="shared" si="16"/>
        <v>KWH_300+</v>
      </c>
      <c r="CV17" s="3"/>
      <c r="CW17" s="3"/>
      <c r="CX17" s="3"/>
      <c r="CY17" s="3"/>
      <c r="CZ17" s="3"/>
      <c r="DA17" s="3"/>
      <c r="DB17" s="3"/>
      <c r="DC17" s="3"/>
      <c r="DD17" s="1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</row>
    <row r="18" spans="1:129" x14ac:dyDescent="0.2">
      <c r="A18" s="8"/>
      <c r="G18" s="3"/>
      <c r="O18" s="45"/>
      <c r="P18" t="e">
        <f>ROUND($D3*'Allocators Calc'!#REF!,0)</f>
        <v>#REF!</v>
      </c>
      <c r="Q18" t="e">
        <f>ROUND($D3*'Allocators Calc'!#REF!,0)</f>
        <v>#REF!</v>
      </c>
      <c r="R18" t="e">
        <f>ROUND($D3*'Allocators Calc'!#REF!,0)</f>
        <v>#REF!</v>
      </c>
      <c r="S18" t="e">
        <f>ROUND($D3*'Allocators Calc'!#REF!,0)</f>
        <v>#REF!</v>
      </c>
      <c r="T18" t="e">
        <f>ROUND($D3*'Allocators Calc'!#REF!,0)</f>
        <v>#REF!</v>
      </c>
      <c r="U18" s="13" t="e">
        <f>ROUND($D3*'Allocators Calc'!#REF!,0)</f>
        <v>#REF!</v>
      </c>
      <c r="V18" t="e">
        <f>ROUND($D3*'Allocators Calc'!#REF!,0)</f>
        <v>#REF!</v>
      </c>
      <c r="W18" t="e">
        <f>ROUND($D3*'Allocators Calc'!#REF!,0)</f>
        <v>#REF!</v>
      </c>
      <c r="X18" t="e">
        <f>ROUND($D3*'Allocators Calc'!#REF!,0)</f>
        <v>#REF!</v>
      </c>
      <c r="Y18" t="e">
        <f>ROUND($D3*'Allocators Calc'!#REF!,0)</f>
        <v>#REF!</v>
      </c>
      <c r="Z18" t="e">
        <f>ROUND($D3*'Allocators Calc'!#REF!,0)</f>
        <v>#REF!</v>
      </c>
      <c r="AA18" s="13" t="e">
        <f>ROUND($D3*'Allocators Calc'!#REF!,0)</f>
        <v>#REF!</v>
      </c>
      <c r="AB18">
        <f>ROUND($D3*'Allocators Calc'!AG18,0)</f>
        <v>2827</v>
      </c>
      <c r="AC18">
        <f>ROUND($D3*'Allocators Calc'!AH18,0)</f>
        <v>5048</v>
      </c>
      <c r="AD18">
        <f>ROUND($D3*'Allocators Calc'!AI18,0)</f>
        <v>8992</v>
      </c>
      <c r="AE18">
        <f>ROUND($D3*'Allocators Calc'!AJ18,0)</f>
        <v>17635</v>
      </c>
      <c r="AF18">
        <f>ROUND($D3*'Allocators Calc'!AK18,0)</f>
        <v>0</v>
      </c>
      <c r="AG18" s="13">
        <f>ROUND($D3*'Allocators Calc'!AL18,0)</f>
        <v>0</v>
      </c>
      <c r="AH18" t="e">
        <f>ROUND($D3*'Allocators Calc'!#REF!,0)</f>
        <v>#REF!</v>
      </c>
      <c r="AI18" t="e">
        <f>ROUND($D3*'Allocators Calc'!#REF!,0)</f>
        <v>#REF!</v>
      </c>
      <c r="AJ18" t="e">
        <f>ROUND($D3*'Allocators Calc'!#REF!,0)</f>
        <v>#REF!</v>
      </c>
      <c r="AK18" t="e">
        <f>ROUND($D3*'Allocators Calc'!#REF!,0)</f>
        <v>#REF!</v>
      </c>
      <c r="AL18" t="e">
        <f>ROUND($D3*'Allocators Calc'!#REF!,0)</f>
        <v>#REF!</v>
      </c>
      <c r="AM18" s="13" t="e">
        <f>ROUND($D3*'Allocators Calc'!#REF!,0)</f>
        <v>#REF!</v>
      </c>
      <c r="AN18" t="e">
        <f>ROUND($D3*'Allocators Calc'!#REF!,0)</f>
        <v>#REF!</v>
      </c>
      <c r="AO18" t="e">
        <f>ROUND($D3*'Allocators Calc'!#REF!,0)</f>
        <v>#REF!</v>
      </c>
      <c r="AP18" t="e">
        <f>ROUND($D3*'Allocators Calc'!#REF!,0)</f>
        <v>#REF!</v>
      </c>
      <c r="AQ18" t="e">
        <f>ROUND($D3*'Allocators Calc'!#REF!,0)</f>
        <v>#REF!</v>
      </c>
      <c r="AR18" t="e">
        <f>ROUND($D3*'Allocators Calc'!#REF!,0)</f>
        <v>#REF!</v>
      </c>
      <c r="AS18" s="13" t="e">
        <f>ROUND($D3*'Allocators Calc'!#REF!,0)</f>
        <v>#REF!</v>
      </c>
      <c r="AT18">
        <f>ROUND($D3*'Allocators Calc'!AM18,0)</f>
        <v>761</v>
      </c>
      <c r="AU18">
        <f>ROUND($D3*'Allocators Calc'!AN18,0)</f>
        <v>1775</v>
      </c>
      <c r="AV18">
        <f>ROUND($D3*'Allocators Calc'!AO18,0)</f>
        <v>3803</v>
      </c>
      <c r="AW18">
        <f>ROUND($D3*'Allocators Calc'!AP18,0)</f>
        <v>1829489</v>
      </c>
      <c r="AX18">
        <f>ROUND($D3*'Allocators Calc'!AQ18,0)</f>
        <v>296903</v>
      </c>
      <c r="AY18" s="13">
        <f>ROUND($D3*'Allocators Calc'!AR18,0)</f>
        <v>139744</v>
      </c>
      <c r="AZ18">
        <f>ROUND($D3*'Allocators Calc'!AS18,0)</f>
        <v>3756</v>
      </c>
      <c r="BA18">
        <f>ROUND($D3*'Allocators Calc'!AT18,0)</f>
        <v>8587</v>
      </c>
      <c r="BB18">
        <f>ROUND($D3*'Allocators Calc'!AU18,0)</f>
        <v>17194</v>
      </c>
      <c r="BC18">
        <f>ROUND($D3*'Allocators Calc'!AV18,0)</f>
        <v>1933167</v>
      </c>
      <c r="BD18">
        <f>ROUND($D3*'Allocators Calc'!AW18,0)</f>
        <v>1771840</v>
      </c>
      <c r="BE18" s="13">
        <f>ROUND($D3*'Allocators Calc'!AX18,0)</f>
        <v>155478</v>
      </c>
      <c r="BF18" t="e">
        <f>ROUND($D3*'Allocators Calc'!#REF!,0)</f>
        <v>#REF!</v>
      </c>
      <c r="BG18" t="e">
        <f>ROUND($D3*'Allocators Calc'!#REF!,0)</f>
        <v>#REF!</v>
      </c>
      <c r="BH18" t="e">
        <f>ROUND($D3*'Allocators Calc'!#REF!,0)</f>
        <v>#REF!</v>
      </c>
      <c r="BI18" t="e">
        <f>ROUND($D3*'Allocators Calc'!#REF!,0)</f>
        <v>#REF!</v>
      </c>
      <c r="BJ18" t="e">
        <f>ROUND($D3*'Allocators Calc'!#REF!,0)</f>
        <v>#REF!</v>
      </c>
      <c r="BK18" s="13" t="e">
        <f>ROUND($D3*'Allocators Calc'!#REF!,0)</f>
        <v>#REF!</v>
      </c>
      <c r="BL18">
        <f>ROUND($D3*'Allocators Calc'!AY18,0)</f>
        <v>5646818</v>
      </c>
      <c r="BM18">
        <f>ROUND($D3*'Allocators Calc'!AZ18,0)</f>
        <v>11148809</v>
      </c>
      <c r="BN18">
        <f>ROUND($D3*'Allocators Calc'!BA18,0)</f>
        <v>16912195</v>
      </c>
      <c r="BO18">
        <f>ROUND($D3*'Allocators Calc'!BB18,0)</f>
        <v>106629075</v>
      </c>
      <c r="BP18">
        <f>ROUND($D3*'Allocators Calc'!BC18,0)</f>
        <v>58795635</v>
      </c>
      <c r="BQ18" s="13">
        <f>ROUND($D3*'Allocators Calc'!BD18,0)</f>
        <v>43083876</v>
      </c>
      <c r="BR18" t="e">
        <f>ROUND($D3*'Allocators Calc'!#REF!,0)</f>
        <v>#REF!</v>
      </c>
      <c r="BS18" t="e">
        <f>ROUND($D3*'Allocators Calc'!#REF!,0)</f>
        <v>#REF!</v>
      </c>
      <c r="BT18" t="e">
        <f>ROUND($D3*'Allocators Calc'!#REF!,0)</f>
        <v>#REF!</v>
      </c>
      <c r="BU18" t="e">
        <f>ROUND($D3*'Allocators Calc'!#REF!,0)</f>
        <v>#REF!</v>
      </c>
      <c r="BV18" t="e">
        <f>ROUND($D3*'Allocators Calc'!#REF!,0)</f>
        <v>#REF!</v>
      </c>
      <c r="BW18" s="13" t="e">
        <f>ROUND($D3*'Allocators Calc'!#REF!,0)</f>
        <v>#REF!</v>
      </c>
      <c r="BX18" t="e">
        <f>ROUND($D3*'Allocators Calc'!#REF!,0)</f>
        <v>#REF!</v>
      </c>
      <c r="BY18" t="e">
        <f>ROUND($D3*'Allocators Calc'!#REF!,0)</f>
        <v>#REF!</v>
      </c>
      <c r="BZ18" t="e">
        <f>ROUND($D3*'Allocators Calc'!#REF!,0)</f>
        <v>#REF!</v>
      </c>
      <c r="CA18" t="e">
        <f>ROUND($D3*'Allocators Calc'!#REF!,0)</f>
        <v>#REF!</v>
      </c>
      <c r="CB18" t="e">
        <f>ROUND($D3*'Allocators Calc'!#REF!,0)</f>
        <v>#REF!</v>
      </c>
      <c r="CC18" s="13" t="e">
        <f>ROUND($D3*'Allocators Calc'!#REF!,0)</f>
        <v>#REF!</v>
      </c>
      <c r="CD18">
        <f>ROUND($D3*'Allocators Calc'!BE18,0)</f>
        <v>75682</v>
      </c>
      <c r="CE18">
        <f>ROUND($D3*'Allocators Calc'!BF18,0)</f>
        <v>173268</v>
      </c>
      <c r="CF18">
        <f>ROUND($D3*'Allocators Calc'!BG18,0)</f>
        <v>362336</v>
      </c>
      <c r="CG18">
        <f>ROUND($D3*'Allocators Calc'!BH18,0)</f>
        <v>7414355</v>
      </c>
      <c r="CH18">
        <f>ROUND($D3*'Allocators Calc'!BI18,0)</f>
        <v>4199320</v>
      </c>
      <c r="CI18" s="13">
        <f>ROUND($D3*'Allocators Calc'!BJ18,0)</f>
        <v>4477443</v>
      </c>
      <c r="CJ18">
        <f>ROUND($D3*'Allocators Calc'!BK18,0)</f>
        <v>1035</v>
      </c>
      <c r="CK18">
        <f>ROUND($D3*'Allocators Calc'!BL18,0)</f>
        <v>2414</v>
      </c>
      <c r="CL18">
        <f>ROUND($D3*'Allocators Calc'!BM18,0)</f>
        <v>5173</v>
      </c>
      <c r="CM18">
        <f>ROUND($D3*'Allocators Calc'!BN18,0)</f>
        <v>12053</v>
      </c>
      <c r="CN18">
        <f>ROUND($D3*'Allocators Calc'!BO18,0)</f>
        <v>0</v>
      </c>
      <c r="CO18" s="13">
        <f>ROUND($D3*'Allocators Calc'!BP18,0)</f>
        <v>0</v>
      </c>
      <c r="CP18" s="3" t="e">
        <f>ROUND($D3*'Allocators Calc'!#REF!,0)</f>
        <v>#REF!</v>
      </c>
      <c r="CQ18" s="3" t="e">
        <f>ROUND($D3*'Allocators Calc'!#REF!,0)</f>
        <v>#REF!</v>
      </c>
      <c r="CR18" s="3" t="e">
        <f>ROUND($D3*'Allocators Calc'!#REF!,0)</f>
        <v>#REF!</v>
      </c>
      <c r="CS18" s="3" t="e">
        <f>ROUND($D3*'Allocators Calc'!#REF!,0)</f>
        <v>#REF!</v>
      </c>
      <c r="CT18" s="3" t="e">
        <f>ROUND($D3*'Allocators Calc'!#REF!,0)</f>
        <v>#REF!</v>
      </c>
      <c r="CU18" s="3" t="e">
        <f>ROUND($D3*'Allocators Calc'!#REF!,0)</f>
        <v>#REF!</v>
      </c>
      <c r="CV18" s="3"/>
      <c r="CW18" s="3"/>
      <c r="CX18" s="3"/>
      <c r="CY18" s="3"/>
      <c r="CZ18" s="3"/>
      <c r="DA18" s="3"/>
      <c r="DB18" s="3"/>
      <c r="DC18" s="3"/>
      <c r="DD18" s="1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</row>
    <row r="19" spans="1:129" x14ac:dyDescent="0.2">
      <c r="H19" s="46" t="s">
        <v>261</v>
      </c>
      <c r="I19" s="46" t="s">
        <v>223</v>
      </c>
      <c r="J19" s="46" t="s">
        <v>224</v>
      </c>
      <c r="K19" s="46" t="s">
        <v>225</v>
      </c>
      <c r="L19" s="46" t="s">
        <v>226</v>
      </c>
      <c r="M19" s="46" t="s">
        <v>227</v>
      </c>
      <c r="N19" s="46" t="s">
        <v>228</v>
      </c>
      <c r="O19" s="46" t="s">
        <v>260</v>
      </c>
      <c r="P19" t="e">
        <f>ROUND($D4*'Allocators Calc'!#REF!,0)</f>
        <v>#REF!</v>
      </c>
      <c r="Q19" t="e">
        <f>ROUND($D4*'Allocators Calc'!#REF!,0)</f>
        <v>#REF!</v>
      </c>
      <c r="R19" t="e">
        <f>ROUND($D4*'Allocators Calc'!#REF!,0)</f>
        <v>#REF!</v>
      </c>
      <c r="S19" t="e">
        <f>ROUND($D4*'Allocators Calc'!#REF!,0)</f>
        <v>#REF!</v>
      </c>
      <c r="T19" t="e">
        <f>ROUND($D4*'Allocators Calc'!#REF!,0)</f>
        <v>#REF!</v>
      </c>
      <c r="U19" s="13" t="e">
        <f>ROUND($D4*'Allocators Calc'!#REF!,0)</f>
        <v>#REF!</v>
      </c>
      <c r="V19" t="e">
        <f>ROUND($D4*'Allocators Calc'!#REF!,0)</f>
        <v>#REF!</v>
      </c>
      <c r="W19" t="e">
        <f>ROUND($D4*'Allocators Calc'!#REF!,0)</f>
        <v>#REF!</v>
      </c>
      <c r="X19" t="e">
        <f>ROUND($D4*'Allocators Calc'!#REF!,0)</f>
        <v>#REF!</v>
      </c>
      <c r="Y19" t="e">
        <f>ROUND($D4*'Allocators Calc'!#REF!,0)</f>
        <v>#REF!</v>
      </c>
      <c r="Z19" t="e">
        <f>ROUND($D4*'Allocators Calc'!#REF!,0)</f>
        <v>#REF!</v>
      </c>
      <c r="AA19" s="13" t="e">
        <f>ROUND($D4*'Allocators Calc'!#REF!,0)</f>
        <v>#REF!</v>
      </c>
      <c r="AB19">
        <f>ROUND($D4*'Allocators Calc'!AG19,0)</f>
        <v>2335</v>
      </c>
      <c r="AC19">
        <f>ROUND($D4*'Allocators Calc'!AH19,0)</f>
        <v>3747</v>
      </c>
      <c r="AD19">
        <f>ROUND($D4*'Allocators Calc'!AI19,0)</f>
        <v>8030</v>
      </c>
      <c r="AE19">
        <f>ROUND($D4*'Allocators Calc'!AJ19,0)</f>
        <v>18020</v>
      </c>
      <c r="AF19">
        <f>ROUND($D4*'Allocators Calc'!AK19,0)</f>
        <v>0</v>
      </c>
      <c r="AG19" s="13">
        <f>ROUND($D4*'Allocators Calc'!AL19,0)</f>
        <v>0</v>
      </c>
      <c r="AH19" t="e">
        <f>ROUND($D4*'Allocators Calc'!#REF!,0)</f>
        <v>#REF!</v>
      </c>
      <c r="AI19" t="e">
        <f>ROUND($D4*'Allocators Calc'!#REF!,0)</f>
        <v>#REF!</v>
      </c>
      <c r="AJ19" t="e">
        <f>ROUND($D4*'Allocators Calc'!#REF!,0)</f>
        <v>#REF!</v>
      </c>
      <c r="AK19" t="e">
        <f>ROUND($D4*'Allocators Calc'!#REF!,0)</f>
        <v>#REF!</v>
      </c>
      <c r="AL19" t="e">
        <f>ROUND($D4*'Allocators Calc'!#REF!,0)</f>
        <v>#REF!</v>
      </c>
      <c r="AM19" s="13" t="e">
        <f>ROUND($D4*'Allocators Calc'!#REF!,0)</f>
        <v>#REF!</v>
      </c>
      <c r="AN19" t="e">
        <f>ROUND($D4*'Allocators Calc'!#REF!,0)</f>
        <v>#REF!</v>
      </c>
      <c r="AO19" t="e">
        <f>ROUND($D4*'Allocators Calc'!#REF!,0)</f>
        <v>#REF!</v>
      </c>
      <c r="AP19" t="e">
        <f>ROUND($D4*'Allocators Calc'!#REF!,0)</f>
        <v>#REF!</v>
      </c>
      <c r="AQ19" t="e">
        <f>ROUND($D4*'Allocators Calc'!#REF!,0)</f>
        <v>#REF!</v>
      </c>
      <c r="AR19" t="e">
        <f>ROUND($D4*'Allocators Calc'!#REF!,0)</f>
        <v>#REF!</v>
      </c>
      <c r="AS19" s="13" t="e">
        <f>ROUND($D4*'Allocators Calc'!#REF!,0)</f>
        <v>#REF!</v>
      </c>
      <c r="AT19">
        <f>ROUND($D4*'Allocators Calc'!AM19,0)</f>
        <v>743</v>
      </c>
      <c r="AU19">
        <f>ROUND($D4*'Allocators Calc'!AN19,0)</f>
        <v>1733</v>
      </c>
      <c r="AV19">
        <f>ROUND($D4*'Allocators Calc'!AO19,0)</f>
        <v>3714</v>
      </c>
      <c r="AW19">
        <f>ROUND($D4*'Allocators Calc'!AP19,0)</f>
        <v>1786820</v>
      </c>
      <c r="AX19">
        <f>ROUND($D4*'Allocators Calc'!AQ19,0)</f>
        <v>289979</v>
      </c>
      <c r="AY19" s="13">
        <f>ROUND($D4*'Allocators Calc'!AR19,0)</f>
        <v>136485</v>
      </c>
      <c r="AZ19">
        <f>ROUND($D4*'Allocators Calc'!AS19,0)</f>
        <v>3383</v>
      </c>
      <c r="BA19">
        <f>ROUND($D4*'Allocators Calc'!AT19,0)</f>
        <v>7735</v>
      </c>
      <c r="BB19">
        <f>ROUND($D4*'Allocators Calc'!AU19,0)</f>
        <v>15488</v>
      </c>
      <c r="BC19">
        <f>ROUND($D4*'Allocators Calc'!AV19,0)</f>
        <v>1741377</v>
      </c>
      <c r="BD19">
        <f>ROUND($D4*'Allocators Calc'!AW19,0)</f>
        <v>1596055</v>
      </c>
      <c r="BE19" s="13">
        <f>ROUND($D4*'Allocators Calc'!AX19,0)</f>
        <v>140053</v>
      </c>
      <c r="BF19" t="e">
        <f>ROUND($D4*'Allocators Calc'!#REF!,0)</f>
        <v>#REF!</v>
      </c>
      <c r="BG19" t="e">
        <f>ROUND($D4*'Allocators Calc'!#REF!,0)</f>
        <v>#REF!</v>
      </c>
      <c r="BH19" t="e">
        <f>ROUND($D4*'Allocators Calc'!#REF!,0)</f>
        <v>#REF!</v>
      </c>
      <c r="BI19" t="e">
        <f>ROUND($D4*'Allocators Calc'!#REF!,0)</f>
        <v>#REF!</v>
      </c>
      <c r="BJ19" t="e">
        <f>ROUND($D4*'Allocators Calc'!#REF!,0)</f>
        <v>#REF!</v>
      </c>
      <c r="BK19" s="13" t="e">
        <f>ROUND($D4*'Allocators Calc'!#REF!,0)</f>
        <v>#REF!</v>
      </c>
      <c r="BL19">
        <f>ROUND($D4*'Allocators Calc'!AY19,0)</f>
        <v>4946630</v>
      </c>
      <c r="BM19">
        <f>ROUND($D4*'Allocators Calc'!AZ19,0)</f>
        <v>9766391</v>
      </c>
      <c r="BN19">
        <f>ROUND($D4*'Allocators Calc'!BA19,0)</f>
        <v>14815136</v>
      </c>
      <c r="BO19">
        <f>ROUND($D4*'Allocators Calc'!BB19,0)</f>
        <v>93407404</v>
      </c>
      <c r="BP19">
        <f>ROUND($D4*'Allocators Calc'!BC19,0)</f>
        <v>51505161</v>
      </c>
      <c r="BQ19" s="13">
        <f>ROUND($D4*'Allocators Calc'!BD19,0)</f>
        <v>37741611</v>
      </c>
      <c r="BR19" t="e">
        <f>ROUND($D4*'Allocators Calc'!#REF!,0)</f>
        <v>#REF!</v>
      </c>
      <c r="BS19" t="e">
        <f>ROUND($D4*'Allocators Calc'!#REF!,0)</f>
        <v>#REF!</v>
      </c>
      <c r="BT19" t="e">
        <f>ROUND($D4*'Allocators Calc'!#REF!,0)</f>
        <v>#REF!</v>
      </c>
      <c r="BU19" t="e">
        <f>ROUND($D4*'Allocators Calc'!#REF!,0)</f>
        <v>#REF!</v>
      </c>
      <c r="BV19" t="e">
        <f>ROUND($D4*'Allocators Calc'!#REF!,0)</f>
        <v>#REF!</v>
      </c>
      <c r="BW19" s="13" t="e">
        <f>ROUND($D4*'Allocators Calc'!#REF!,0)</f>
        <v>#REF!</v>
      </c>
      <c r="BX19" t="e">
        <f>ROUND($D4*'Allocators Calc'!#REF!,0)</f>
        <v>#REF!</v>
      </c>
      <c r="BY19" t="e">
        <f>ROUND($D4*'Allocators Calc'!#REF!,0)</f>
        <v>#REF!</v>
      </c>
      <c r="BZ19" t="e">
        <f>ROUND($D4*'Allocators Calc'!#REF!,0)</f>
        <v>#REF!</v>
      </c>
      <c r="CA19" t="e">
        <f>ROUND($D4*'Allocators Calc'!#REF!,0)</f>
        <v>#REF!</v>
      </c>
      <c r="CB19" t="e">
        <f>ROUND($D4*'Allocators Calc'!#REF!,0)</f>
        <v>#REF!</v>
      </c>
      <c r="CC19" s="13" t="e">
        <f>ROUND($D4*'Allocators Calc'!#REF!,0)</f>
        <v>#REF!</v>
      </c>
      <c r="CD19">
        <f>ROUND($D4*'Allocators Calc'!BE19,0)</f>
        <v>64514</v>
      </c>
      <c r="CE19">
        <f>ROUND($D4*'Allocators Calc'!BF19,0)</f>
        <v>147700</v>
      </c>
      <c r="CF19">
        <f>ROUND($D4*'Allocators Calc'!BG19,0)</f>
        <v>308869</v>
      </c>
      <c r="CG19">
        <f>ROUND($D4*'Allocators Calc'!BH19,0)</f>
        <v>6320270</v>
      </c>
      <c r="CH19">
        <f>ROUND($D4*'Allocators Calc'!BI19,0)</f>
        <v>3579655</v>
      </c>
      <c r="CI19" s="13">
        <f>ROUND($D4*'Allocators Calc'!BJ19,0)</f>
        <v>3816737</v>
      </c>
      <c r="CJ19">
        <f>ROUND($D4*'Allocators Calc'!BK19,0)</f>
        <v>2867</v>
      </c>
      <c r="CK19">
        <f>ROUND($D4*'Allocators Calc'!BL19,0)</f>
        <v>5995</v>
      </c>
      <c r="CL19">
        <f>ROUND($D4*'Allocators Calc'!BM19,0)</f>
        <v>11710</v>
      </c>
      <c r="CM19">
        <f>ROUND($D4*'Allocators Calc'!BN19,0)</f>
        <v>20017</v>
      </c>
      <c r="CN19">
        <f>ROUND($D4*'Allocators Calc'!BO19,0)</f>
        <v>0</v>
      </c>
      <c r="CO19" s="13">
        <f>ROUND($D4*'Allocators Calc'!BP19,0)</f>
        <v>0</v>
      </c>
      <c r="CP19" s="3" t="e">
        <f>ROUND($D4*'Allocators Calc'!#REF!,0)</f>
        <v>#REF!</v>
      </c>
      <c r="CQ19" s="3" t="e">
        <f>ROUND($D4*'Allocators Calc'!#REF!,0)</f>
        <v>#REF!</v>
      </c>
      <c r="CR19" s="3" t="e">
        <f>ROUND($D4*'Allocators Calc'!#REF!,0)</f>
        <v>#REF!</v>
      </c>
      <c r="CS19" s="3" t="e">
        <f>ROUND($D4*'Allocators Calc'!#REF!,0)</f>
        <v>#REF!</v>
      </c>
      <c r="CT19" s="3" t="e">
        <f>ROUND($D4*'Allocators Calc'!#REF!,0)</f>
        <v>#REF!</v>
      </c>
      <c r="CU19" s="3" t="e">
        <f>ROUND($D4*'Allocators Calc'!#REF!,0)</f>
        <v>#REF!</v>
      </c>
      <c r="CV19" s="3"/>
      <c r="CW19" s="3"/>
      <c r="CX19" s="3"/>
      <c r="CY19" s="3"/>
      <c r="CZ19" s="3"/>
      <c r="DA19" s="3"/>
      <c r="DB19" s="3"/>
      <c r="DC19" s="3"/>
      <c r="DD19" s="1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</row>
    <row r="20" spans="1:129" x14ac:dyDescent="0.2">
      <c r="N20" s="3"/>
      <c r="O20" s="3"/>
      <c r="P20" t="e">
        <f>ROUND($D5*'Allocators Calc'!#REF!,0)</f>
        <v>#REF!</v>
      </c>
      <c r="Q20" t="e">
        <f>ROUND($D5*'Allocators Calc'!#REF!,0)</f>
        <v>#REF!</v>
      </c>
      <c r="R20" t="e">
        <f>ROUND($D5*'Allocators Calc'!#REF!,0)</f>
        <v>#REF!</v>
      </c>
      <c r="S20" t="e">
        <f>ROUND($D5*'Allocators Calc'!#REF!,0)</f>
        <v>#REF!</v>
      </c>
      <c r="T20" t="e">
        <f>ROUND($D5*'Allocators Calc'!#REF!,0)</f>
        <v>#REF!</v>
      </c>
      <c r="U20" s="13" t="e">
        <f>ROUND($D5*'Allocators Calc'!#REF!,0)</f>
        <v>#REF!</v>
      </c>
      <c r="V20" t="e">
        <f>ROUND($D5*'Allocators Calc'!#REF!,0)</f>
        <v>#REF!</v>
      </c>
      <c r="W20" t="e">
        <f>ROUND($D5*'Allocators Calc'!#REF!,0)</f>
        <v>#REF!</v>
      </c>
      <c r="X20" t="e">
        <f>ROUND($D5*'Allocators Calc'!#REF!,0)</f>
        <v>#REF!</v>
      </c>
      <c r="Y20" t="e">
        <f>ROUND($D5*'Allocators Calc'!#REF!,0)</f>
        <v>#REF!</v>
      </c>
      <c r="Z20" t="e">
        <f>ROUND($D5*'Allocators Calc'!#REF!,0)</f>
        <v>#REF!</v>
      </c>
      <c r="AA20" s="13" t="e">
        <f>ROUND($D5*'Allocators Calc'!#REF!,0)</f>
        <v>#REF!</v>
      </c>
      <c r="AB20">
        <f>ROUND($D5*'Allocators Calc'!AG20,0)</f>
        <v>3047</v>
      </c>
      <c r="AC20">
        <f>ROUND($D5*'Allocators Calc'!AH20,0)</f>
        <v>5153</v>
      </c>
      <c r="AD20">
        <f>ROUND($D5*'Allocators Calc'!AI20,0)</f>
        <v>9520</v>
      </c>
      <c r="AE20">
        <f>ROUND($D5*'Allocators Calc'!AJ20,0)</f>
        <v>27458</v>
      </c>
      <c r="AF20">
        <f>ROUND($D5*'Allocators Calc'!AK20,0)</f>
        <v>0</v>
      </c>
      <c r="AG20" s="13">
        <f>ROUND($D5*'Allocators Calc'!AL20,0)</f>
        <v>0</v>
      </c>
      <c r="AH20" t="e">
        <f>ROUND($D5*'Allocators Calc'!#REF!,0)</f>
        <v>#REF!</v>
      </c>
      <c r="AI20" t="e">
        <f>ROUND($D5*'Allocators Calc'!#REF!,0)</f>
        <v>#REF!</v>
      </c>
      <c r="AJ20" t="e">
        <f>ROUND($D5*'Allocators Calc'!#REF!,0)</f>
        <v>#REF!</v>
      </c>
      <c r="AK20" t="e">
        <f>ROUND($D5*'Allocators Calc'!#REF!,0)</f>
        <v>#REF!</v>
      </c>
      <c r="AL20" t="e">
        <f>ROUND($D5*'Allocators Calc'!#REF!,0)</f>
        <v>#REF!</v>
      </c>
      <c r="AM20" s="13" t="e">
        <f>ROUND($D5*'Allocators Calc'!#REF!,0)</f>
        <v>#REF!</v>
      </c>
      <c r="AN20" t="e">
        <f>ROUND($D5*'Allocators Calc'!#REF!,0)</f>
        <v>#REF!</v>
      </c>
      <c r="AO20" t="e">
        <f>ROUND($D5*'Allocators Calc'!#REF!,0)</f>
        <v>#REF!</v>
      </c>
      <c r="AP20" t="e">
        <f>ROUND($D5*'Allocators Calc'!#REF!,0)</f>
        <v>#REF!</v>
      </c>
      <c r="AQ20" t="e">
        <f>ROUND($D5*'Allocators Calc'!#REF!,0)</f>
        <v>#REF!</v>
      </c>
      <c r="AR20" t="e">
        <f>ROUND($D5*'Allocators Calc'!#REF!,0)</f>
        <v>#REF!</v>
      </c>
      <c r="AS20" s="13" t="e">
        <f>ROUND($D5*'Allocators Calc'!#REF!,0)</f>
        <v>#REF!</v>
      </c>
      <c r="AT20">
        <f>ROUND($D5*'Allocators Calc'!AM20,0)</f>
        <v>744</v>
      </c>
      <c r="AU20">
        <f>ROUND($D5*'Allocators Calc'!AN20,0)</f>
        <v>1735</v>
      </c>
      <c r="AV20">
        <f>ROUND($D5*'Allocators Calc'!AO20,0)</f>
        <v>3718</v>
      </c>
      <c r="AW20">
        <f>ROUND($D5*'Allocators Calc'!AP20,0)</f>
        <v>1788706</v>
      </c>
      <c r="AX20">
        <f>ROUND($D5*'Allocators Calc'!AQ20,0)</f>
        <v>290285</v>
      </c>
      <c r="AY20" s="13">
        <f>ROUND($D5*'Allocators Calc'!AR20,0)</f>
        <v>136629</v>
      </c>
      <c r="AZ20">
        <f>ROUND($D5*'Allocators Calc'!AS20,0)</f>
        <v>3416</v>
      </c>
      <c r="BA20">
        <f>ROUND($D5*'Allocators Calc'!AT20,0)</f>
        <v>7811</v>
      </c>
      <c r="BB20">
        <f>ROUND($D5*'Allocators Calc'!AU20,0)</f>
        <v>15639</v>
      </c>
      <c r="BC20">
        <f>ROUND($D5*'Allocators Calc'!AV20,0)</f>
        <v>1758405</v>
      </c>
      <c r="BD20">
        <f>ROUND($D5*'Allocators Calc'!AW20,0)</f>
        <v>1611662</v>
      </c>
      <c r="BE20" s="13">
        <f>ROUND($D5*'Allocators Calc'!AX20,0)</f>
        <v>141422</v>
      </c>
      <c r="BF20" t="e">
        <f>ROUND($D5*'Allocators Calc'!#REF!,0)</f>
        <v>#REF!</v>
      </c>
      <c r="BG20" t="e">
        <f>ROUND($D5*'Allocators Calc'!#REF!,0)</f>
        <v>#REF!</v>
      </c>
      <c r="BH20" t="e">
        <f>ROUND($D5*'Allocators Calc'!#REF!,0)</f>
        <v>#REF!</v>
      </c>
      <c r="BI20" t="e">
        <f>ROUND($D5*'Allocators Calc'!#REF!,0)</f>
        <v>#REF!</v>
      </c>
      <c r="BJ20" t="e">
        <f>ROUND($D5*'Allocators Calc'!#REF!,0)</f>
        <v>#REF!</v>
      </c>
      <c r="BK20" s="13" t="e">
        <f>ROUND($D5*'Allocators Calc'!#REF!,0)</f>
        <v>#REF!</v>
      </c>
      <c r="BL20">
        <f>ROUND($D5*'Allocators Calc'!AY20,0)</f>
        <v>4668873</v>
      </c>
      <c r="BM20">
        <f>ROUND($D5*'Allocators Calc'!AZ20,0)</f>
        <v>9218000</v>
      </c>
      <c r="BN20">
        <f>ROUND($D5*'Allocators Calc'!BA20,0)</f>
        <v>13983253</v>
      </c>
      <c r="BO20">
        <f>ROUND($D5*'Allocators Calc'!BB20,0)</f>
        <v>88162495</v>
      </c>
      <c r="BP20">
        <f>ROUND($D5*'Allocators Calc'!BC20,0)</f>
        <v>48613100</v>
      </c>
      <c r="BQ20" s="13">
        <f>ROUND($D5*'Allocators Calc'!BD20,0)</f>
        <v>35622385</v>
      </c>
      <c r="BR20" t="e">
        <f>ROUND($D5*'Allocators Calc'!#REF!,0)</f>
        <v>#REF!</v>
      </c>
      <c r="BS20" t="e">
        <f>ROUND($D5*'Allocators Calc'!#REF!,0)</f>
        <v>#REF!</v>
      </c>
      <c r="BT20" t="e">
        <f>ROUND($D5*'Allocators Calc'!#REF!,0)</f>
        <v>#REF!</v>
      </c>
      <c r="BU20" t="e">
        <f>ROUND($D5*'Allocators Calc'!#REF!,0)</f>
        <v>#REF!</v>
      </c>
      <c r="BV20" t="e">
        <f>ROUND($D5*'Allocators Calc'!#REF!,0)</f>
        <v>#REF!</v>
      </c>
      <c r="BW20" s="13" t="e">
        <f>ROUND($D5*'Allocators Calc'!#REF!,0)</f>
        <v>#REF!</v>
      </c>
      <c r="BX20" t="e">
        <f>ROUND($D5*'Allocators Calc'!#REF!,0)</f>
        <v>#REF!</v>
      </c>
      <c r="BY20" t="e">
        <f>ROUND($D5*'Allocators Calc'!#REF!,0)</f>
        <v>#REF!</v>
      </c>
      <c r="BZ20" t="e">
        <f>ROUND($D5*'Allocators Calc'!#REF!,0)</f>
        <v>#REF!</v>
      </c>
      <c r="CA20" t="e">
        <f>ROUND($D5*'Allocators Calc'!#REF!,0)</f>
        <v>#REF!</v>
      </c>
      <c r="CB20" t="e">
        <f>ROUND($D5*'Allocators Calc'!#REF!,0)</f>
        <v>#REF!</v>
      </c>
      <c r="CC20" s="13" t="e">
        <f>ROUND($D5*'Allocators Calc'!#REF!,0)</f>
        <v>#REF!</v>
      </c>
      <c r="CD20">
        <f>ROUND($D5*'Allocators Calc'!BE20,0)</f>
        <v>59201</v>
      </c>
      <c r="CE20">
        <f>ROUND($D5*'Allocators Calc'!BF20,0)</f>
        <v>135536</v>
      </c>
      <c r="CF20">
        <f>ROUND($D5*'Allocators Calc'!BG20,0)</f>
        <v>283432</v>
      </c>
      <c r="CG20">
        <f>ROUND($D5*'Allocators Calc'!BH20,0)</f>
        <v>5799754</v>
      </c>
      <c r="CH20">
        <f>ROUND($D5*'Allocators Calc'!BI20,0)</f>
        <v>3284847</v>
      </c>
      <c r="CI20" s="13">
        <f>ROUND($D5*'Allocators Calc'!BJ20,0)</f>
        <v>3502404</v>
      </c>
      <c r="CJ20">
        <f>ROUND($D5*'Allocators Calc'!BK20,0)</f>
        <v>2006</v>
      </c>
      <c r="CK20">
        <f>ROUND($D5*'Allocators Calc'!BL20,0)</f>
        <v>7405</v>
      </c>
      <c r="CL20">
        <f>ROUND($D5*'Allocators Calc'!BM20,0)</f>
        <v>10529</v>
      </c>
      <c r="CM20">
        <f>ROUND($D5*'Allocators Calc'!BN20,0)</f>
        <v>20309</v>
      </c>
      <c r="CN20">
        <f>ROUND($D5*'Allocators Calc'!BO20,0)</f>
        <v>0</v>
      </c>
      <c r="CO20" s="13">
        <f>ROUND($D5*'Allocators Calc'!BP20,0)</f>
        <v>0</v>
      </c>
      <c r="CP20" s="3" t="e">
        <f>ROUND($D5*'Allocators Calc'!#REF!,0)</f>
        <v>#REF!</v>
      </c>
      <c r="CQ20" s="3" t="e">
        <f>ROUND($D5*'Allocators Calc'!#REF!,0)</f>
        <v>#REF!</v>
      </c>
      <c r="CR20" s="3" t="e">
        <f>ROUND($D5*'Allocators Calc'!#REF!,0)</f>
        <v>#REF!</v>
      </c>
      <c r="CS20" s="3" t="e">
        <f>ROUND($D5*'Allocators Calc'!#REF!,0)</f>
        <v>#REF!</v>
      </c>
      <c r="CT20" s="3" t="e">
        <f>ROUND($D5*'Allocators Calc'!#REF!,0)</f>
        <v>#REF!</v>
      </c>
      <c r="CU20" s="3" t="e">
        <f>ROUND($D5*'Allocators Calc'!#REF!,0)</f>
        <v>#REF!</v>
      </c>
      <c r="CV20" s="3"/>
      <c r="CW20" s="3"/>
      <c r="CX20" s="3"/>
      <c r="CY20" s="3"/>
      <c r="CZ20" s="3"/>
      <c r="DA20" s="3"/>
      <c r="DB20" s="3"/>
      <c r="DC20" s="3"/>
      <c r="DD20" s="1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</row>
    <row r="21" spans="1:129" x14ac:dyDescent="0.2">
      <c r="H21" s="49" t="s">
        <v>262</v>
      </c>
      <c r="I21" s="45" t="e">
        <f t="shared" ref="I21:O21" si="17">I3+I4+I5+I6+I7</f>
        <v>#REF!</v>
      </c>
      <c r="J21" s="45" t="e">
        <f t="shared" si="17"/>
        <v>#REF!</v>
      </c>
      <c r="K21" s="45" t="e">
        <f t="shared" si="17"/>
        <v>#REF!</v>
      </c>
      <c r="L21" s="45" t="e">
        <f t="shared" si="17"/>
        <v>#REF!</v>
      </c>
      <c r="M21" s="45" t="e">
        <f t="shared" si="17"/>
        <v>#REF!</v>
      </c>
      <c r="N21" s="45" t="e">
        <f t="shared" si="17"/>
        <v>#REF!</v>
      </c>
      <c r="O21" s="45" t="e">
        <f t="shared" si="17"/>
        <v>#REF!</v>
      </c>
      <c r="P21" t="e">
        <f>ROUND($D6*'Allocators Calc'!#REF!,0)</f>
        <v>#REF!</v>
      </c>
      <c r="Q21" t="e">
        <f>ROUND($D6*'Allocators Calc'!#REF!,0)</f>
        <v>#REF!</v>
      </c>
      <c r="R21" t="e">
        <f>ROUND($D6*'Allocators Calc'!#REF!,0)</f>
        <v>#REF!</v>
      </c>
      <c r="S21" t="e">
        <f>ROUND($D6*'Allocators Calc'!#REF!,0)</f>
        <v>#REF!</v>
      </c>
      <c r="T21" t="e">
        <f>ROUND($D6*'Allocators Calc'!#REF!,0)</f>
        <v>#REF!</v>
      </c>
      <c r="U21" s="13" t="e">
        <f>ROUND($D6*'Allocators Calc'!#REF!,0)</f>
        <v>#REF!</v>
      </c>
      <c r="V21" t="e">
        <f>ROUND($D6*'Allocators Calc'!#REF!,0)</f>
        <v>#REF!</v>
      </c>
      <c r="W21" t="e">
        <f>ROUND($D6*'Allocators Calc'!#REF!,0)</f>
        <v>#REF!</v>
      </c>
      <c r="X21" t="e">
        <f>ROUND($D6*'Allocators Calc'!#REF!,0)</f>
        <v>#REF!</v>
      </c>
      <c r="Y21" t="e">
        <f>ROUND($D6*'Allocators Calc'!#REF!,0)</f>
        <v>#REF!</v>
      </c>
      <c r="Z21" t="e">
        <f>ROUND($D6*'Allocators Calc'!#REF!,0)</f>
        <v>#REF!</v>
      </c>
      <c r="AA21" s="13" t="e">
        <f>ROUND($D6*'Allocators Calc'!#REF!,0)</f>
        <v>#REF!</v>
      </c>
      <c r="AB21">
        <f>ROUND($D6*'Allocators Calc'!AG21,0)</f>
        <v>9248</v>
      </c>
      <c r="AC21">
        <f>ROUND($D6*'Allocators Calc'!AH21,0)</f>
        <v>16844</v>
      </c>
      <c r="AD21">
        <f>ROUND($D6*'Allocators Calc'!AI21,0)</f>
        <v>31406</v>
      </c>
      <c r="AE21">
        <f>ROUND($D6*'Allocators Calc'!AJ21,0)</f>
        <v>59878</v>
      </c>
      <c r="AF21">
        <f>ROUND($D6*'Allocators Calc'!AK21,0)</f>
        <v>0</v>
      </c>
      <c r="AG21" s="13">
        <f>ROUND($D6*'Allocators Calc'!AL21,0)</f>
        <v>0</v>
      </c>
      <c r="AH21" t="e">
        <f>ROUND($D6*'Allocators Calc'!#REF!,0)</f>
        <v>#REF!</v>
      </c>
      <c r="AI21" t="e">
        <f>ROUND($D6*'Allocators Calc'!#REF!,0)</f>
        <v>#REF!</v>
      </c>
      <c r="AJ21" t="e">
        <f>ROUND($D6*'Allocators Calc'!#REF!,0)</f>
        <v>#REF!</v>
      </c>
      <c r="AK21" t="e">
        <f>ROUND($D6*'Allocators Calc'!#REF!,0)</f>
        <v>#REF!</v>
      </c>
      <c r="AL21" t="e">
        <f>ROUND($D6*'Allocators Calc'!#REF!,0)</f>
        <v>#REF!</v>
      </c>
      <c r="AM21" s="13" t="e">
        <f>ROUND($D6*'Allocators Calc'!#REF!,0)</f>
        <v>#REF!</v>
      </c>
      <c r="AN21" t="e">
        <f>ROUND($D6*'Allocators Calc'!#REF!,0)</f>
        <v>#REF!</v>
      </c>
      <c r="AO21" t="e">
        <f>ROUND($D6*'Allocators Calc'!#REF!,0)</f>
        <v>#REF!</v>
      </c>
      <c r="AP21" t="e">
        <f>ROUND($D6*'Allocators Calc'!#REF!,0)</f>
        <v>#REF!</v>
      </c>
      <c r="AQ21" t="e">
        <f>ROUND($D6*'Allocators Calc'!#REF!,0)</f>
        <v>#REF!</v>
      </c>
      <c r="AR21" t="e">
        <f>ROUND($D6*'Allocators Calc'!#REF!,0)</f>
        <v>#REF!</v>
      </c>
      <c r="AS21" s="13" t="e">
        <f>ROUND($D6*'Allocators Calc'!#REF!,0)</f>
        <v>#REF!</v>
      </c>
      <c r="AT21">
        <f>ROUND($D6*'Allocators Calc'!AM21,0)</f>
        <v>708</v>
      </c>
      <c r="AU21">
        <f>ROUND($D6*'Allocators Calc'!AN21,0)</f>
        <v>1651</v>
      </c>
      <c r="AV21">
        <f>ROUND($D6*'Allocators Calc'!AO21,0)</f>
        <v>3538</v>
      </c>
      <c r="AW21">
        <f>ROUND($D6*'Allocators Calc'!AP21,0)</f>
        <v>1701910</v>
      </c>
      <c r="AX21">
        <f>ROUND($D6*'Allocators Calc'!AQ21,0)</f>
        <v>276199</v>
      </c>
      <c r="AY21" s="13">
        <f>ROUND($D6*'Allocators Calc'!AR21,0)</f>
        <v>129999</v>
      </c>
      <c r="AZ21">
        <f>ROUND($D6*'Allocators Calc'!AS21,0)</f>
        <v>3450</v>
      </c>
      <c r="BA21">
        <f>ROUND($D6*'Allocators Calc'!AT21,0)</f>
        <v>7887</v>
      </c>
      <c r="BB21">
        <f>ROUND($D6*'Allocators Calc'!AU21,0)</f>
        <v>15792</v>
      </c>
      <c r="BC21">
        <f>ROUND($D6*'Allocators Calc'!AV21,0)</f>
        <v>1775569</v>
      </c>
      <c r="BD21">
        <f>ROUND($D6*'Allocators Calc'!AW21,0)</f>
        <v>1627394</v>
      </c>
      <c r="BE21" s="13">
        <f>ROUND($D6*'Allocators Calc'!AX21,0)</f>
        <v>142803</v>
      </c>
      <c r="BF21" t="e">
        <f>ROUND($D6*'Allocators Calc'!#REF!,0)</f>
        <v>#REF!</v>
      </c>
      <c r="BG21" t="e">
        <f>ROUND($D6*'Allocators Calc'!#REF!,0)</f>
        <v>#REF!</v>
      </c>
      <c r="BH21" t="e">
        <f>ROUND($D6*'Allocators Calc'!#REF!,0)</f>
        <v>#REF!</v>
      </c>
      <c r="BI21" t="e">
        <f>ROUND($D6*'Allocators Calc'!#REF!,0)</f>
        <v>#REF!</v>
      </c>
      <c r="BJ21" t="e">
        <f>ROUND($D6*'Allocators Calc'!#REF!,0)</f>
        <v>#REF!</v>
      </c>
      <c r="BK21" s="13" t="e">
        <f>ROUND($D6*'Allocators Calc'!#REF!,0)</f>
        <v>#REF!</v>
      </c>
      <c r="BL21">
        <f>ROUND($D6*'Allocators Calc'!AY21,0)</f>
        <v>4584716</v>
      </c>
      <c r="BM21">
        <f>ROUND($D6*'Allocators Calc'!AZ21,0)</f>
        <v>9051845</v>
      </c>
      <c r="BN21">
        <f>ROUND($D6*'Allocators Calc'!BA21,0)</f>
        <v>13731205</v>
      </c>
      <c r="BO21">
        <f>ROUND($D6*'Allocators Calc'!BB21,0)</f>
        <v>86573367</v>
      </c>
      <c r="BP21">
        <f>ROUND($D6*'Allocators Calc'!BC21,0)</f>
        <v>47736849</v>
      </c>
      <c r="BQ21" s="13">
        <f>ROUND($D6*'Allocators Calc'!BD21,0)</f>
        <v>34980292</v>
      </c>
      <c r="BR21" t="e">
        <f>ROUND($D6*'Allocators Calc'!#REF!,0)</f>
        <v>#REF!</v>
      </c>
      <c r="BS21" t="e">
        <f>ROUND($D6*'Allocators Calc'!#REF!,0)</f>
        <v>#REF!</v>
      </c>
      <c r="BT21" t="e">
        <f>ROUND($D6*'Allocators Calc'!#REF!,0)</f>
        <v>#REF!</v>
      </c>
      <c r="BU21" t="e">
        <f>ROUND($D6*'Allocators Calc'!#REF!,0)</f>
        <v>#REF!</v>
      </c>
      <c r="BV21" t="e">
        <f>ROUND($D6*'Allocators Calc'!#REF!,0)</f>
        <v>#REF!</v>
      </c>
      <c r="BW21" s="13" t="e">
        <f>ROUND($D6*'Allocators Calc'!#REF!,0)</f>
        <v>#REF!</v>
      </c>
      <c r="BX21" t="e">
        <f>ROUND($D6*'Allocators Calc'!#REF!,0)</f>
        <v>#REF!</v>
      </c>
      <c r="BY21" t="e">
        <f>ROUND($D6*'Allocators Calc'!#REF!,0)</f>
        <v>#REF!</v>
      </c>
      <c r="BZ21" t="e">
        <f>ROUND($D6*'Allocators Calc'!#REF!,0)</f>
        <v>#REF!</v>
      </c>
      <c r="CA21" t="e">
        <f>ROUND($D6*'Allocators Calc'!#REF!,0)</f>
        <v>#REF!</v>
      </c>
      <c r="CB21" t="e">
        <f>ROUND($D6*'Allocators Calc'!#REF!,0)</f>
        <v>#REF!</v>
      </c>
      <c r="CC21" s="13" t="e">
        <f>ROUND($D6*'Allocators Calc'!#REF!,0)</f>
        <v>#REF!</v>
      </c>
      <c r="CD21">
        <f>ROUND($D6*'Allocators Calc'!BE21,0)</f>
        <v>55966</v>
      </c>
      <c r="CE21">
        <f>ROUND($D6*'Allocators Calc'!BF21,0)</f>
        <v>128130</v>
      </c>
      <c r="CF21">
        <f>ROUND($D6*'Allocators Calc'!BG21,0)</f>
        <v>267944</v>
      </c>
      <c r="CG21">
        <f>ROUND($D6*'Allocators Calc'!BH21,0)</f>
        <v>5482838</v>
      </c>
      <c r="CH21">
        <f>ROUND($D6*'Allocators Calc'!BI21,0)</f>
        <v>3105353</v>
      </c>
      <c r="CI21" s="13">
        <f>ROUND($D6*'Allocators Calc'!BJ21,0)</f>
        <v>3311022</v>
      </c>
      <c r="CJ21">
        <f>ROUND($D6*'Allocators Calc'!BK21,0)</f>
        <v>21912</v>
      </c>
      <c r="CK21">
        <f>ROUND($D6*'Allocators Calc'!BL21,0)</f>
        <v>50571</v>
      </c>
      <c r="CL21">
        <f>ROUND($D6*'Allocators Calc'!BM21,0)</f>
        <v>104057</v>
      </c>
      <c r="CM21">
        <f>ROUND($D6*'Allocators Calc'!BN21,0)</f>
        <v>690281</v>
      </c>
      <c r="CN21">
        <f>ROUND($D6*'Allocators Calc'!BO21,0)</f>
        <v>0</v>
      </c>
      <c r="CO21" s="13">
        <f>ROUND($D6*'Allocators Calc'!BP21,0)</f>
        <v>0</v>
      </c>
      <c r="CP21" s="3" t="e">
        <f>ROUND($D6*'Allocators Calc'!#REF!,0)</f>
        <v>#REF!</v>
      </c>
      <c r="CQ21" s="3" t="e">
        <f>ROUND($D6*'Allocators Calc'!#REF!,0)</f>
        <v>#REF!</v>
      </c>
      <c r="CR21" s="3" t="e">
        <f>ROUND($D6*'Allocators Calc'!#REF!,0)</f>
        <v>#REF!</v>
      </c>
      <c r="CS21" s="3" t="e">
        <f>ROUND($D6*'Allocators Calc'!#REF!,0)</f>
        <v>#REF!</v>
      </c>
      <c r="CT21" s="3" t="e">
        <f>ROUND($D6*'Allocators Calc'!#REF!,0)</f>
        <v>#REF!</v>
      </c>
      <c r="CU21" s="3" t="e">
        <f>ROUND($D6*'Allocators Calc'!#REF!,0)</f>
        <v>#REF!</v>
      </c>
      <c r="CV21" s="3"/>
      <c r="CW21" s="3"/>
      <c r="CX21" s="3"/>
      <c r="CY21" s="3"/>
      <c r="CZ21" s="3"/>
      <c r="DA21" s="3"/>
      <c r="DB21" s="3"/>
      <c r="DC21" s="3"/>
      <c r="DD21" s="1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</row>
    <row r="22" spans="1:129" x14ac:dyDescent="0.2">
      <c r="H22" s="48" t="s">
        <v>263</v>
      </c>
      <c r="I22" s="45">
        <f t="shared" ref="I22:O22" si="18">I8</f>
        <v>114962</v>
      </c>
      <c r="J22" s="45">
        <f t="shared" si="18"/>
        <v>268245</v>
      </c>
      <c r="K22" s="45">
        <f t="shared" si="18"/>
        <v>574804</v>
      </c>
      <c r="L22" s="45">
        <f t="shared" si="18"/>
        <v>276519630</v>
      </c>
      <c r="M22" s="45">
        <f t="shared" si="18"/>
        <v>44875704</v>
      </c>
      <c r="N22" s="45">
        <f t="shared" si="18"/>
        <v>21121757</v>
      </c>
      <c r="O22" s="45">
        <f t="shared" si="18"/>
        <v>343475102</v>
      </c>
      <c r="P22" t="e">
        <f>ROUND($D7*'Allocators Calc'!#REF!,0)</f>
        <v>#REF!</v>
      </c>
      <c r="Q22" t="e">
        <f>ROUND($D7*'Allocators Calc'!#REF!,0)</f>
        <v>#REF!</v>
      </c>
      <c r="R22" t="e">
        <f>ROUND($D7*'Allocators Calc'!#REF!,0)</f>
        <v>#REF!</v>
      </c>
      <c r="S22" t="e">
        <f>ROUND($D7*'Allocators Calc'!#REF!,0)</f>
        <v>#REF!</v>
      </c>
      <c r="T22" t="e">
        <f>ROUND($D7*'Allocators Calc'!#REF!,0)</f>
        <v>#REF!</v>
      </c>
      <c r="U22" s="13" t="e">
        <f>ROUND($D7*'Allocators Calc'!#REF!,0)</f>
        <v>#REF!</v>
      </c>
      <c r="V22" t="e">
        <f>ROUND($D7*'Allocators Calc'!#REF!,0)</f>
        <v>#REF!</v>
      </c>
      <c r="W22" t="e">
        <f>ROUND($D7*'Allocators Calc'!#REF!,0)</f>
        <v>#REF!</v>
      </c>
      <c r="X22" t="e">
        <f>ROUND($D7*'Allocators Calc'!#REF!,0)</f>
        <v>#REF!</v>
      </c>
      <c r="Y22" t="e">
        <f>ROUND($D7*'Allocators Calc'!#REF!,0)</f>
        <v>#REF!</v>
      </c>
      <c r="Z22" t="e">
        <f>ROUND($D7*'Allocators Calc'!#REF!,0)</f>
        <v>#REF!</v>
      </c>
      <c r="AA22" s="13" t="e">
        <f>ROUND($D7*'Allocators Calc'!#REF!,0)</f>
        <v>#REF!</v>
      </c>
      <c r="AB22">
        <f>ROUND($D7*'Allocators Calc'!AG22,0)</f>
        <v>7609</v>
      </c>
      <c r="AC22">
        <f>ROUND($D7*'Allocators Calc'!AH22,0)</f>
        <v>14639</v>
      </c>
      <c r="AD22">
        <f>ROUND($D7*'Allocators Calc'!AI22,0)</f>
        <v>30418</v>
      </c>
      <c r="AE22">
        <f>ROUND($D7*'Allocators Calc'!AJ22,0)</f>
        <v>57939</v>
      </c>
      <c r="AF22">
        <f>ROUND($D7*'Allocators Calc'!AK22,0)</f>
        <v>0</v>
      </c>
      <c r="AG22" s="13">
        <f>ROUND($D7*'Allocators Calc'!AL22,0)</f>
        <v>0</v>
      </c>
      <c r="AH22" t="e">
        <f>ROUND($D7*'Allocators Calc'!#REF!,0)</f>
        <v>#REF!</v>
      </c>
      <c r="AI22" t="e">
        <f>ROUND($D7*'Allocators Calc'!#REF!,0)</f>
        <v>#REF!</v>
      </c>
      <c r="AJ22" t="e">
        <f>ROUND($D7*'Allocators Calc'!#REF!,0)</f>
        <v>#REF!</v>
      </c>
      <c r="AK22" t="e">
        <f>ROUND($D7*'Allocators Calc'!#REF!,0)</f>
        <v>#REF!</v>
      </c>
      <c r="AL22" t="e">
        <f>ROUND($D7*'Allocators Calc'!#REF!,0)</f>
        <v>#REF!</v>
      </c>
      <c r="AM22" s="13" t="e">
        <f>ROUND($D7*'Allocators Calc'!#REF!,0)</f>
        <v>#REF!</v>
      </c>
      <c r="AN22" t="e">
        <f>ROUND($D7*'Allocators Calc'!#REF!,0)</f>
        <v>#REF!</v>
      </c>
      <c r="AO22" t="e">
        <f>ROUND($D7*'Allocators Calc'!#REF!,0)</f>
        <v>#REF!</v>
      </c>
      <c r="AP22" t="e">
        <f>ROUND($D7*'Allocators Calc'!#REF!,0)</f>
        <v>#REF!</v>
      </c>
      <c r="AQ22" t="e">
        <f>ROUND($D7*'Allocators Calc'!#REF!,0)</f>
        <v>#REF!</v>
      </c>
      <c r="AR22" t="e">
        <f>ROUND($D7*'Allocators Calc'!#REF!,0)</f>
        <v>#REF!</v>
      </c>
      <c r="AS22" s="13" t="e">
        <f>ROUND($D7*'Allocators Calc'!#REF!,0)</f>
        <v>#REF!</v>
      </c>
      <c r="AT22">
        <f>ROUND($D7*'Allocators Calc'!AM22,0)</f>
        <v>720</v>
      </c>
      <c r="AU22">
        <f>ROUND($D7*'Allocators Calc'!AN22,0)</f>
        <v>1681</v>
      </c>
      <c r="AV22">
        <f>ROUND($D7*'Allocators Calc'!AO22,0)</f>
        <v>3601</v>
      </c>
      <c r="AW22">
        <f>ROUND($D7*'Allocators Calc'!AP22,0)</f>
        <v>1732388</v>
      </c>
      <c r="AX22">
        <f>ROUND($D7*'Allocators Calc'!AQ22,0)</f>
        <v>281145</v>
      </c>
      <c r="AY22" s="13">
        <f>ROUND($D7*'Allocators Calc'!AR22,0)</f>
        <v>132327</v>
      </c>
      <c r="AZ22">
        <f>ROUND($D7*'Allocators Calc'!AS22,0)</f>
        <v>3816</v>
      </c>
      <c r="BA22">
        <f>ROUND($D7*'Allocators Calc'!AT22,0)</f>
        <v>8725</v>
      </c>
      <c r="BB22">
        <f>ROUND($D7*'Allocators Calc'!AU22,0)</f>
        <v>17470</v>
      </c>
      <c r="BC22">
        <f>ROUND($D7*'Allocators Calc'!AV22,0)</f>
        <v>1964208</v>
      </c>
      <c r="BD22">
        <f>ROUND($D7*'Allocators Calc'!AW22,0)</f>
        <v>1800291</v>
      </c>
      <c r="BE22" s="13">
        <f>ROUND($D7*'Allocators Calc'!AX22,0)</f>
        <v>157975</v>
      </c>
      <c r="BF22" t="e">
        <f>ROUND($D7*'Allocators Calc'!#REF!,0)</f>
        <v>#REF!</v>
      </c>
      <c r="BG22" t="e">
        <f>ROUND($D7*'Allocators Calc'!#REF!,0)</f>
        <v>#REF!</v>
      </c>
      <c r="BH22" t="e">
        <f>ROUND($D7*'Allocators Calc'!#REF!,0)</f>
        <v>#REF!</v>
      </c>
      <c r="BI22" t="e">
        <f>ROUND($D7*'Allocators Calc'!#REF!,0)</f>
        <v>#REF!</v>
      </c>
      <c r="BJ22" t="e">
        <f>ROUND($D7*'Allocators Calc'!#REF!,0)</f>
        <v>#REF!</v>
      </c>
      <c r="BK22" s="13" t="e">
        <f>ROUND($D7*'Allocators Calc'!#REF!,0)</f>
        <v>#REF!</v>
      </c>
      <c r="BL22">
        <f>ROUND($D7*'Allocators Calc'!AY22,0)</f>
        <v>4632959</v>
      </c>
      <c r="BM22">
        <f>ROUND($D7*'Allocators Calc'!AZ22,0)</f>
        <v>9147094</v>
      </c>
      <c r="BN22">
        <f>ROUND($D7*'Allocators Calc'!BA22,0)</f>
        <v>13875693</v>
      </c>
      <c r="BO22">
        <f>ROUND($D7*'Allocators Calc'!BB22,0)</f>
        <v>87484342</v>
      </c>
      <c r="BP22">
        <f>ROUND($D7*'Allocators Calc'!BC22,0)</f>
        <v>48239164</v>
      </c>
      <c r="BQ22" s="13">
        <f>ROUND($D7*'Allocators Calc'!BD22,0)</f>
        <v>35348375</v>
      </c>
      <c r="BR22" t="e">
        <f>ROUND($D7*'Allocators Calc'!#REF!,0)</f>
        <v>#REF!</v>
      </c>
      <c r="BS22" t="e">
        <f>ROUND($D7*'Allocators Calc'!#REF!,0)</f>
        <v>#REF!</v>
      </c>
      <c r="BT22" t="e">
        <f>ROUND($D7*'Allocators Calc'!#REF!,0)</f>
        <v>#REF!</v>
      </c>
      <c r="BU22" t="e">
        <f>ROUND($D7*'Allocators Calc'!#REF!,0)</f>
        <v>#REF!</v>
      </c>
      <c r="BV22" t="e">
        <f>ROUND($D7*'Allocators Calc'!#REF!,0)</f>
        <v>#REF!</v>
      </c>
      <c r="BW22" s="13" t="e">
        <f>ROUND($D7*'Allocators Calc'!#REF!,0)</f>
        <v>#REF!</v>
      </c>
      <c r="BX22" t="e">
        <f>ROUND($D7*'Allocators Calc'!#REF!,0)</f>
        <v>#REF!</v>
      </c>
      <c r="BY22" t="e">
        <f>ROUND($D7*'Allocators Calc'!#REF!,0)</f>
        <v>#REF!</v>
      </c>
      <c r="BZ22" t="e">
        <f>ROUND($D7*'Allocators Calc'!#REF!,0)</f>
        <v>#REF!</v>
      </c>
      <c r="CA22" t="e">
        <f>ROUND($D7*'Allocators Calc'!#REF!,0)</f>
        <v>#REF!</v>
      </c>
      <c r="CB22" t="e">
        <f>ROUND($D7*'Allocators Calc'!#REF!,0)</f>
        <v>#REF!</v>
      </c>
      <c r="CC22" s="13" t="e">
        <f>ROUND($D7*'Allocators Calc'!#REF!,0)</f>
        <v>#REF!</v>
      </c>
      <c r="CD22">
        <f>ROUND($D7*'Allocators Calc'!BE22,0)</f>
        <v>53618</v>
      </c>
      <c r="CE22">
        <f>ROUND($D7*'Allocators Calc'!BF22,0)</f>
        <v>122754</v>
      </c>
      <c r="CF22">
        <f>ROUND($D7*'Allocators Calc'!BG22,0)</f>
        <v>256702</v>
      </c>
      <c r="CG22">
        <f>ROUND($D7*'Allocators Calc'!BH22,0)</f>
        <v>5252805</v>
      </c>
      <c r="CH22">
        <f>ROUND($D7*'Allocators Calc'!BI22,0)</f>
        <v>2975067</v>
      </c>
      <c r="CI22" s="13">
        <f>ROUND($D7*'Allocators Calc'!BJ22,0)</f>
        <v>3172108</v>
      </c>
      <c r="CJ22">
        <f>ROUND($D7*'Allocators Calc'!BK22,0)</f>
        <v>13674</v>
      </c>
      <c r="CK22">
        <f>ROUND($D7*'Allocators Calc'!BL22,0)</f>
        <v>61974</v>
      </c>
      <c r="CL22">
        <f>ROUND($D7*'Allocators Calc'!BM22,0)</f>
        <v>130119</v>
      </c>
      <c r="CM22">
        <f>ROUND($D7*'Allocators Calc'!BN22,0)</f>
        <v>880187</v>
      </c>
      <c r="CN22">
        <f>ROUND($D7*'Allocators Calc'!BO22,0)</f>
        <v>0</v>
      </c>
      <c r="CO22" s="13">
        <f>ROUND($D7*'Allocators Calc'!BP22,0)</f>
        <v>0</v>
      </c>
      <c r="CP22" s="3" t="e">
        <f>ROUND($D7*'Allocators Calc'!#REF!,0)</f>
        <v>#REF!</v>
      </c>
      <c r="CQ22" s="3" t="e">
        <f>ROUND($D7*'Allocators Calc'!#REF!,0)</f>
        <v>#REF!</v>
      </c>
      <c r="CR22" s="3" t="e">
        <f>ROUND($D7*'Allocators Calc'!#REF!,0)</f>
        <v>#REF!</v>
      </c>
      <c r="CS22" s="3" t="e">
        <f>ROUND($D7*'Allocators Calc'!#REF!,0)</f>
        <v>#REF!</v>
      </c>
      <c r="CT22" s="3" t="e">
        <f>ROUND($D7*'Allocators Calc'!#REF!,0)</f>
        <v>#REF!</v>
      </c>
      <c r="CU22" s="3" t="e">
        <f>ROUND($D7*'Allocators Calc'!#REF!,0)</f>
        <v>#REF!</v>
      </c>
      <c r="CV22" s="3"/>
      <c r="CW22" s="3"/>
      <c r="CX22" s="3"/>
      <c r="CY22" s="3"/>
      <c r="CZ22" s="3"/>
      <c r="DA22" s="3"/>
      <c r="DB22" s="3"/>
      <c r="DC22" s="3"/>
      <c r="DD22" s="1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</row>
    <row r="23" spans="1:129" x14ac:dyDescent="0.2">
      <c r="H23" s="52" t="s">
        <v>264</v>
      </c>
      <c r="I23" s="45" t="e">
        <f t="shared" ref="I23:O23" si="19">I9+I10</f>
        <v>#REF!</v>
      </c>
      <c r="J23" s="45" t="e">
        <f t="shared" si="19"/>
        <v>#REF!</v>
      </c>
      <c r="K23" s="45" t="e">
        <f t="shared" si="19"/>
        <v>#REF!</v>
      </c>
      <c r="L23" s="45" t="e">
        <f t="shared" si="19"/>
        <v>#REF!</v>
      </c>
      <c r="M23" s="45" t="e">
        <f t="shared" si="19"/>
        <v>#REF!</v>
      </c>
      <c r="N23" s="45" t="e">
        <f t="shared" si="19"/>
        <v>#REF!</v>
      </c>
      <c r="O23" s="45" t="e">
        <f t="shared" si="19"/>
        <v>#REF!</v>
      </c>
      <c r="P23" t="e">
        <f>ROUND($D8*'Allocators Calc'!#REF!,0)</f>
        <v>#REF!</v>
      </c>
      <c r="Q23" t="e">
        <f>ROUND($D8*'Allocators Calc'!#REF!,0)</f>
        <v>#REF!</v>
      </c>
      <c r="R23" t="e">
        <f>ROUND($D8*'Allocators Calc'!#REF!,0)</f>
        <v>#REF!</v>
      </c>
      <c r="S23" t="e">
        <f>ROUND($D8*'Allocators Calc'!#REF!,0)</f>
        <v>#REF!</v>
      </c>
      <c r="T23" t="e">
        <f>ROUND($D8*'Allocators Calc'!#REF!,0)</f>
        <v>#REF!</v>
      </c>
      <c r="U23" s="13" t="e">
        <f>ROUND($D8*'Allocators Calc'!#REF!,0)</f>
        <v>#REF!</v>
      </c>
      <c r="V23" t="e">
        <f>ROUND($D8*'Allocators Calc'!#REF!,0)</f>
        <v>#REF!</v>
      </c>
      <c r="W23" t="e">
        <f>ROUND($D8*'Allocators Calc'!#REF!,0)</f>
        <v>#REF!</v>
      </c>
      <c r="X23" t="e">
        <f>ROUND($D8*'Allocators Calc'!#REF!,0)</f>
        <v>#REF!</v>
      </c>
      <c r="Y23" t="e">
        <f>ROUND($D8*'Allocators Calc'!#REF!,0)</f>
        <v>#REF!</v>
      </c>
      <c r="Z23" t="e">
        <f>ROUND($D8*'Allocators Calc'!#REF!,0)</f>
        <v>#REF!</v>
      </c>
      <c r="AA23" s="13" t="e">
        <f>ROUND($D8*'Allocators Calc'!#REF!,0)</f>
        <v>#REF!</v>
      </c>
      <c r="AB23">
        <f>ROUND($D8*'Allocators Calc'!AG23,0)</f>
        <v>6487</v>
      </c>
      <c r="AC23">
        <f>ROUND($D8*'Allocators Calc'!AH23,0)</f>
        <v>17398</v>
      </c>
      <c r="AD23">
        <f>ROUND($D8*'Allocators Calc'!AI23,0)</f>
        <v>23929</v>
      </c>
      <c r="AE23">
        <f>ROUND($D8*'Allocators Calc'!AJ23,0)</f>
        <v>84871</v>
      </c>
      <c r="AF23">
        <f>ROUND($D8*'Allocators Calc'!AK23,0)</f>
        <v>0</v>
      </c>
      <c r="AG23" s="13">
        <f>ROUND($D8*'Allocators Calc'!AL23,0)</f>
        <v>0</v>
      </c>
      <c r="AH23" t="e">
        <f>ROUND($D8*'Allocators Calc'!#REF!,0)</f>
        <v>#REF!</v>
      </c>
      <c r="AI23" t="e">
        <f>ROUND($D8*'Allocators Calc'!#REF!,0)</f>
        <v>#REF!</v>
      </c>
      <c r="AJ23" t="e">
        <f>ROUND($D8*'Allocators Calc'!#REF!,0)</f>
        <v>#REF!</v>
      </c>
      <c r="AK23" t="e">
        <f>ROUND($D8*'Allocators Calc'!#REF!,0)</f>
        <v>#REF!</v>
      </c>
      <c r="AL23" t="e">
        <f>ROUND($D8*'Allocators Calc'!#REF!,0)</f>
        <v>#REF!</v>
      </c>
      <c r="AM23" s="13" t="e">
        <f>ROUND($D8*'Allocators Calc'!#REF!,0)</f>
        <v>#REF!</v>
      </c>
      <c r="AN23" t="e">
        <f>ROUND($D8*'Allocators Calc'!#REF!,0)</f>
        <v>#REF!</v>
      </c>
      <c r="AO23" t="e">
        <f>ROUND($D8*'Allocators Calc'!#REF!,0)</f>
        <v>#REF!</v>
      </c>
      <c r="AP23" t="e">
        <f>ROUND($D8*'Allocators Calc'!#REF!,0)</f>
        <v>#REF!</v>
      </c>
      <c r="AQ23" t="e">
        <f>ROUND($D8*'Allocators Calc'!#REF!,0)</f>
        <v>#REF!</v>
      </c>
      <c r="AR23" t="e">
        <f>ROUND($D8*'Allocators Calc'!#REF!,0)</f>
        <v>#REF!</v>
      </c>
      <c r="AS23" s="13" t="e">
        <f>ROUND($D8*'Allocators Calc'!#REF!,0)</f>
        <v>#REF!</v>
      </c>
      <c r="AT23">
        <f>ROUND($D8*'Allocators Calc'!AM23,0)</f>
        <v>835</v>
      </c>
      <c r="AU23">
        <f>ROUND($D8*'Allocators Calc'!AN23,0)</f>
        <v>1949</v>
      </c>
      <c r="AV23">
        <f>ROUND($D8*'Allocators Calc'!AO23,0)</f>
        <v>4176</v>
      </c>
      <c r="AW23">
        <f>ROUND($D8*'Allocators Calc'!AP23,0)</f>
        <v>2009101</v>
      </c>
      <c r="AX23">
        <f>ROUND($D8*'Allocators Calc'!AQ23,0)</f>
        <v>326052</v>
      </c>
      <c r="AY23" s="13">
        <f>ROUND($D8*'Allocators Calc'!AR23,0)</f>
        <v>153464</v>
      </c>
      <c r="AZ23">
        <f>ROUND($D8*'Allocators Calc'!AS23,0)</f>
        <v>4032</v>
      </c>
      <c r="BA23">
        <f>ROUND($D8*'Allocators Calc'!AT23,0)</f>
        <v>9218</v>
      </c>
      <c r="BB23">
        <f>ROUND($D8*'Allocators Calc'!AU23,0)</f>
        <v>18457</v>
      </c>
      <c r="BC23">
        <f>ROUND($D8*'Allocators Calc'!AV23,0)</f>
        <v>2075196</v>
      </c>
      <c r="BD23">
        <f>ROUND($D8*'Allocators Calc'!AW23,0)</f>
        <v>1902016</v>
      </c>
      <c r="BE23" s="13">
        <f>ROUND($D8*'Allocators Calc'!AX23,0)</f>
        <v>166901</v>
      </c>
      <c r="BF23" t="e">
        <f>ROUND($D8*'Allocators Calc'!#REF!,0)</f>
        <v>#REF!</v>
      </c>
      <c r="BG23" t="e">
        <f>ROUND($D8*'Allocators Calc'!#REF!,0)</f>
        <v>#REF!</v>
      </c>
      <c r="BH23" t="e">
        <f>ROUND($D8*'Allocators Calc'!#REF!,0)</f>
        <v>#REF!</v>
      </c>
      <c r="BI23" t="e">
        <f>ROUND($D8*'Allocators Calc'!#REF!,0)</f>
        <v>#REF!</v>
      </c>
      <c r="BJ23" t="e">
        <f>ROUND($D8*'Allocators Calc'!#REF!,0)</f>
        <v>#REF!</v>
      </c>
      <c r="BK23" s="13" t="e">
        <f>ROUND($D8*'Allocators Calc'!#REF!,0)</f>
        <v>#REF!</v>
      </c>
      <c r="BL23">
        <f>ROUND($D8*'Allocators Calc'!AY23,0)</f>
        <v>5245978</v>
      </c>
      <c r="BM23">
        <f>ROUND($D8*'Allocators Calc'!AZ23,0)</f>
        <v>10357409</v>
      </c>
      <c r="BN23">
        <f>ROUND($D8*'Allocators Calc'!BA23,0)</f>
        <v>15711681</v>
      </c>
      <c r="BO23">
        <f>ROUND($D8*'Allocators Calc'!BB23,0)</f>
        <v>99059995</v>
      </c>
      <c r="BP23">
        <f>ROUND($D8*'Allocators Calc'!BC23,0)</f>
        <v>54622019</v>
      </c>
      <c r="BQ23" s="13">
        <f>ROUND($D8*'Allocators Calc'!BD23,0)</f>
        <v>40025561</v>
      </c>
      <c r="BR23" t="e">
        <f>ROUND($D8*'Allocators Calc'!#REF!,0)</f>
        <v>#REF!</v>
      </c>
      <c r="BS23" t="e">
        <f>ROUND($D8*'Allocators Calc'!#REF!,0)</f>
        <v>#REF!</v>
      </c>
      <c r="BT23" t="e">
        <f>ROUND($D8*'Allocators Calc'!#REF!,0)</f>
        <v>#REF!</v>
      </c>
      <c r="BU23" t="e">
        <f>ROUND($D8*'Allocators Calc'!#REF!,0)</f>
        <v>#REF!</v>
      </c>
      <c r="BV23" t="e">
        <f>ROUND($D8*'Allocators Calc'!#REF!,0)</f>
        <v>#REF!</v>
      </c>
      <c r="BW23" s="13" t="e">
        <f>ROUND($D8*'Allocators Calc'!#REF!,0)</f>
        <v>#REF!</v>
      </c>
      <c r="BX23" t="e">
        <f>ROUND($D8*'Allocators Calc'!#REF!,0)</f>
        <v>#REF!</v>
      </c>
      <c r="BY23" t="e">
        <f>ROUND($D8*'Allocators Calc'!#REF!,0)</f>
        <v>#REF!</v>
      </c>
      <c r="BZ23" t="e">
        <f>ROUND($D8*'Allocators Calc'!#REF!,0)</f>
        <v>#REF!</v>
      </c>
      <c r="CA23" t="e">
        <f>ROUND($D8*'Allocators Calc'!#REF!,0)</f>
        <v>#REF!</v>
      </c>
      <c r="CB23" t="e">
        <f>ROUND($D8*'Allocators Calc'!#REF!,0)</f>
        <v>#REF!</v>
      </c>
      <c r="CC23" s="13" t="e">
        <f>ROUND($D8*'Allocators Calc'!#REF!,0)</f>
        <v>#REF!</v>
      </c>
      <c r="CD23">
        <f>ROUND($D8*'Allocators Calc'!BE23,0)</f>
        <v>56423</v>
      </c>
      <c r="CE23">
        <f>ROUND($D8*'Allocators Calc'!BF23,0)</f>
        <v>129177</v>
      </c>
      <c r="CF23">
        <f>ROUND($D8*'Allocators Calc'!BG23,0)</f>
        <v>270134</v>
      </c>
      <c r="CG23">
        <f>ROUND($D8*'Allocators Calc'!BH23,0)</f>
        <v>5527653</v>
      </c>
      <c r="CH23">
        <f>ROUND($D8*'Allocators Calc'!BI23,0)</f>
        <v>3130735</v>
      </c>
      <c r="CI23" s="13">
        <f>ROUND($D8*'Allocators Calc'!BJ23,0)</f>
        <v>3338085</v>
      </c>
      <c r="CJ23">
        <f>ROUND($D8*'Allocators Calc'!BK23,0)</f>
        <v>23602</v>
      </c>
      <c r="CK23">
        <f>ROUND($D8*'Allocators Calc'!BL23,0)</f>
        <v>90210</v>
      </c>
      <c r="CL23">
        <f>ROUND($D8*'Allocators Calc'!BM23,0)</f>
        <v>192300</v>
      </c>
      <c r="CM23">
        <f>ROUND($D8*'Allocators Calc'!BN23,0)</f>
        <v>1467332</v>
      </c>
      <c r="CN23">
        <f>ROUND($D8*'Allocators Calc'!BO23,0)</f>
        <v>0</v>
      </c>
      <c r="CO23" s="13">
        <f>ROUND($D8*'Allocators Calc'!BP23,0)</f>
        <v>0</v>
      </c>
      <c r="CP23" s="3" t="e">
        <f>ROUND($D8*'Allocators Calc'!#REF!,0)</f>
        <v>#REF!</v>
      </c>
      <c r="CQ23" s="3" t="e">
        <f>ROUND($D8*'Allocators Calc'!#REF!,0)</f>
        <v>#REF!</v>
      </c>
      <c r="CR23" s="3" t="e">
        <f>ROUND($D8*'Allocators Calc'!#REF!,0)</f>
        <v>#REF!</v>
      </c>
      <c r="CS23" s="3" t="e">
        <f>ROUND($D8*'Allocators Calc'!#REF!,0)</f>
        <v>#REF!</v>
      </c>
      <c r="CT23" s="3" t="e">
        <f>ROUND($D8*'Allocators Calc'!#REF!,0)</f>
        <v>#REF!</v>
      </c>
      <c r="CU23" s="3" t="e">
        <f>ROUND($D8*'Allocators Calc'!#REF!,0)</f>
        <v>#REF!</v>
      </c>
      <c r="CV23" s="3"/>
      <c r="CW23" s="3"/>
      <c r="CX23" s="3"/>
      <c r="CY23" s="3"/>
      <c r="CZ23" s="3"/>
      <c r="DA23" s="3"/>
      <c r="DB23" s="3"/>
      <c r="DC23" s="3"/>
      <c r="DD23" s="1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</row>
    <row r="24" spans="1:129" x14ac:dyDescent="0.2">
      <c r="H24" s="56" t="s">
        <v>265</v>
      </c>
      <c r="I24" s="45" t="e">
        <f t="shared" ref="I24:O24" si="20">I11+I12+I13</f>
        <v>#REF!</v>
      </c>
      <c r="J24" s="45" t="e">
        <f t="shared" si="20"/>
        <v>#REF!</v>
      </c>
      <c r="K24" s="45" t="e">
        <f t="shared" si="20"/>
        <v>#REF!</v>
      </c>
      <c r="L24" s="45" t="e">
        <f t="shared" si="20"/>
        <v>#REF!</v>
      </c>
      <c r="M24" s="45" t="e">
        <f t="shared" si="20"/>
        <v>#REF!</v>
      </c>
      <c r="N24" s="45" t="e">
        <f t="shared" si="20"/>
        <v>#REF!</v>
      </c>
      <c r="O24" s="45" t="e">
        <f t="shared" si="20"/>
        <v>#REF!</v>
      </c>
      <c r="P24" t="e">
        <f>ROUND($D9*'Allocators Calc'!#REF!,0)</f>
        <v>#REF!</v>
      </c>
      <c r="Q24" t="e">
        <f>ROUND($D9*'Allocators Calc'!#REF!,0)</f>
        <v>#REF!</v>
      </c>
      <c r="R24" t="e">
        <f>ROUND($D9*'Allocators Calc'!#REF!,0)</f>
        <v>#REF!</v>
      </c>
      <c r="S24" t="e">
        <f>ROUND($D9*'Allocators Calc'!#REF!,0)</f>
        <v>#REF!</v>
      </c>
      <c r="T24" t="e">
        <f>ROUND($D9*'Allocators Calc'!#REF!,0)</f>
        <v>#REF!</v>
      </c>
      <c r="U24" s="13" t="e">
        <f>ROUND($D9*'Allocators Calc'!#REF!,0)</f>
        <v>#REF!</v>
      </c>
      <c r="V24" t="e">
        <f>ROUND($D9*'Allocators Calc'!#REF!,0)</f>
        <v>#REF!</v>
      </c>
      <c r="W24" t="e">
        <f>ROUND($D9*'Allocators Calc'!#REF!,0)</f>
        <v>#REF!</v>
      </c>
      <c r="X24" t="e">
        <f>ROUND($D9*'Allocators Calc'!#REF!,0)</f>
        <v>#REF!</v>
      </c>
      <c r="Y24" t="e">
        <f>ROUND($D9*'Allocators Calc'!#REF!,0)</f>
        <v>#REF!</v>
      </c>
      <c r="Z24" t="e">
        <f>ROUND($D9*'Allocators Calc'!#REF!,0)</f>
        <v>#REF!</v>
      </c>
      <c r="AA24" s="13" t="e">
        <f>ROUND($D9*'Allocators Calc'!#REF!,0)</f>
        <v>#REF!</v>
      </c>
      <c r="AB24">
        <f>ROUND($D9*'Allocators Calc'!AG24,0)</f>
        <v>12824</v>
      </c>
      <c r="AC24">
        <f>ROUND($D9*'Allocators Calc'!AH24,0)</f>
        <v>34041</v>
      </c>
      <c r="AD24">
        <f>ROUND($D9*'Allocators Calc'!AI24,0)</f>
        <v>35475</v>
      </c>
      <c r="AE24">
        <f>ROUND($D9*'Allocators Calc'!AJ24,0)</f>
        <v>144858</v>
      </c>
      <c r="AF24">
        <f>ROUND($D9*'Allocators Calc'!AK24,0)</f>
        <v>0</v>
      </c>
      <c r="AG24" s="13">
        <f>ROUND($D9*'Allocators Calc'!AL24,0)</f>
        <v>0</v>
      </c>
      <c r="AH24" t="e">
        <f>ROUND($D9*'Allocators Calc'!#REF!,0)</f>
        <v>#REF!</v>
      </c>
      <c r="AI24" t="e">
        <f>ROUND($D9*'Allocators Calc'!#REF!,0)</f>
        <v>#REF!</v>
      </c>
      <c r="AJ24" t="e">
        <f>ROUND($D9*'Allocators Calc'!#REF!,0)</f>
        <v>#REF!</v>
      </c>
      <c r="AK24" t="e">
        <f>ROUND($D9*'Allocators Calc'!#REF!,0)</f>
        <v>#REF!</v>
      </c>
      <c r="AL24" t="e">
        <f>ROUND($D9*'Allocators Calc'!#REF!,0)</f>
        <v>#REF!</v>
      </c>
      <c r="AM24" s="13" t="e">
        <f>ROUND($D9*'Allocators Calc'!#REF!,0)</f>
        <v>#REF!</v>
      </c>
      <c r="AN24" t="e">
        <f>ROUND($D9*'Allocators Calc'!#REF!,0)</f>
        <v>#REF!</v>
      </c>
      <c r="AO24" t="e">
        <f>ROUND($D9*'Allocators Calc'!#REF!,0)</f>
        <v>#REF!</v>
      </c>
      <c r="AP24" t="e">
        <f>ROUND($D9*'Allocators Calc'!#REF!,0)</f>
        <v>#REF!</v>
      </c>
      <c r="AQ24" t="e">
        <f>ROUND($D9*'Allocators Calc'!#REF!,0)</f>
        <v>#REF!</v>
      </c>
      <c r="AR24" t="e">
        <f>ROUND($D9*'Allocators Calc'!#REF!,0)</f>
        <v>#REF!</v>
      </c>
      <c r="AS24" s="13" t="e">
        <f>ROUND($D9*'Allocators Calc'!#REF!,0)</f>
        <v>#REF!</v>
      </c>
      <c r="AT24">
        <f>ROUND($D9*'Allocators Calc'!AM24,0)</f>
        <v>852</v>
      </c>
      <c r="AU24">
        <f>ROUND($D9*'Allocators Calc'!AN24,0)</f>
        <v>1988</v>
      </c>
      <c r="AV24">
        <f>ROUND($D9*'Allocators Calc'!AO24,0)</f>
        <v>4260</v>
      </c>
      <c r="AW24">
        <f>ROUND($D9*'Allocators Calc'!AP24,0)</f>
        <v>2049433</v>
      </c>
      <c r="AX24">
        <f>ROUND($D9*'Allocators Calc'!AQ24,0)</f>
        <v>332598</v>
      </c>
      <c r="AY24" s="13">
        <f>ROUND($D9*'Allocators Calc'!AR24,0)</f>
        <v>156545</v>
      </c>
      <c r="AZ24">
        <f>ROUND($D9*'Allocators Calc'!AS24,0)</f>
        <v>4515</v>
      </c>
      <c r="BA24">
        <f>ROUND($D9*'Allocators Calc'!AT24,0)</f>
        <v>10323</v>
      </c>
      <c r="BB24">
        <f>ROUND($D9*'Allocators Calc'!AU24,0)</f>
        <v>20669</v>
      </c>
      <c r="BC24">
        <f>ROUND($D9*'Allocators Calc'!AV24,0)</f>
        <v>2323925</v>
      </c>
      <c r="BD24">
        <f>ROUND($D9*'Allocators Calc'!AW24,0)</f>
        <v>2129988</v>
      </c>
      <c r="BE24" s="13">
        <f>ROUND($D9*'Allocators Calc'!AX24,0)</f>
        <v>186905</v>
      </c>
      <c r="BF24" t="e">
        <f>ROUND($D9*'Allocators Calc'!#REF!,0)</f>
        <v>#REF!</v>
      </c>
      <c r="BG24" t="e">
        <f>ROUND($D9*'Allocators Calc'!#REF!,0)</f>
        <v>#REF!</v>
      </c>
      <c r="BH24" t="e">
        <f>ROUND($D9*'Allocators Calc'!#REF!,0)</f>
        <v>#REF!</v>
      </c>
      <c r="BI24" t="e">
        <f>ROUND($D9*'Allocators Calc'!#REF!,0)</f>
        <v>#REF!</v>
      </c>
      <c r="BJ24" t="e">
        <f>ROUND($D9*'Allocators Calc'!#REF!,0)</f>
        <v>#REF!</v>
      </c>
      <c r="BK24" s="13" t="e">
        <f>ROUND($D9*'Allocators Calc'!#REF!,0)</f>
        <v>#REF!</v>
      </c>
      <c r="BL24">
        <f>ROUND($D9*'Allocators Calc'!AY24,0)</f>
        <v>5861520</v>
      </c>
      <c r="BM24">
        <f>ROUND($D9*'Allocators Calc'!AZ24,0)</f>
        <v>11572705</v>
      </c>
      <c r="BN24">
        <f>ROUND($D9*'Allocators Calc'!BA24,0)</f>
        <v>17555225</v>
      </c>
      <c r="BO24">
        <f>ROUND($D9*'Allocators Calc'!BB24,0)</f>
        <v>110683291</v>
      </c>
      <c r="BP24">
        <f>ROUND($D9*'Allocators Calc'!BC24,0)</f>
        <v>61031144</v>
      </c>
      <c r="BQ24" s="13">
        <f>ROUND($D9*'Allocators Calc'!BD24,0)</f>
        <v>44721997</v>
      </c>
      <c r="BR24" t="e">
        <f>ROUND($D9*'Allocators Calc'!#REF!,0)</f>
        <v>#REF!</v>
      </c>
      <c r="BS24" t="e">
        <f>ROUND($D9*'Allocators Calc'!#REF!,0)</f>
        <v>#REF!</v>
      </c>
      <c r="BT24" t="e">
        <f>ROUND($D9*'Allocators Calc'!#REF!,0)</f>
        <v>#REF!</v>
      </c>
      <c r="BU24" t="e">
        <f>ROUND($D9*'Allocators Calc'!#REF!,0)</f>
        <v>#REF!</v>
      </c>
      <c r="BV24" t="e">
        <f>ROUND($D9*'Allocators Calc'!#REF!,0)</f>
        <v>#REF!</v>
      </c>
      <c r="BW24" s="13" t="e">
        <f>ROUND($D9*'Allocators Calc'!#REF!,0)</f>
        <v>#REF!</v>
      </c>
      <c r="BX24" t="e">
        <f>ROUND($D9*'Allocators Calc'!#REF!,0)</f>
        <v>#REF!</v>
      </c>
      <c r="BY24" t="e">
        <f>ROUND($D9*'Allocators Calc'!#REF!,0)</f>
        <v>#REF!</v>
      </c>
      <c r="BZ24" t="e">
        <f>ROUND($D9*'Allocators Calc'!#REF!,0)</f>
        <v>#REF!</v>
      </c>
      <c r="CA24" t="e">
        <f>ROUND($D9*'Allocators Calc'!#REF!,0)</f>
        <v>#REF!</v>
      </c>
      <c r="CB24" t="e">
        <f>ROUND($D9*'Allocators Calc'!#REF!,0)</f>
        <v>#REF!</v>
      </c>
      <c r="CC24" s="13" t="e">
        <f>ROUND($D9*'Allocators Calc'!#REF!,0)</f>
        <v>#REF!</v>
      </c>
      <c r="CD24">
        <f>ROUND($D9*'Allocators Calc'!BE24,0)</f>
        <v>58986</v>
      </c>
      <c r="CE24">
        <f>ROUND($D9*'Allocators Calc'!BF24,0)</f>
        <v>135044</v>
      </c>
      <c r="CF24">
        <f>ROUND($D9*'Allocators Calc'!BG24,0)</f>
        <v>282403</v>
      </c>
      <c r="CG24">
        <f>ROUND($D9*'Allocators Calc'!BH24,0)</f>
        <v>5778712</v>
      </c>
      <c r="CH24">
        <f>ROUND($D9*'Allocators Calc'!BI24,0)</f>
        <v>3272929</v>
      </c>
      <c r="CI24" s="13">
        <f>ROUND($D9*'Allocators Calc'!BJ24,0)</f>
        <v>3489697</v>
      </c>
      <c r="CJ24">
        <f>ROUND($D9*'Allocators Calc'!BK24,0)</f>
        <v>56868</v>
      </c>
      <c r="CK24">
        <f>ROUND($D9*'Allocators Calc'!BL24,0)</f>
        <v>132692</v>
      </c>
      <c r="CL24">
        <f>ROUND($D9*'Allocators Calc'!BM24,0)</f>
        <v>258194</v>
      </c>
      <c r="CM24">
        <f>ROUND($D9*'Allocators Calc'!BN24,0)</f>
        <v>1660800</v>
      </c>
      <c r="CN24">
        <f>ROUND($D9*'Allocators Calc'!BO24,0)</f>
        <v>0</v>
      </c>
      <c r="CO24" s="13">
        <f>ROUND($D9*'Allocators Calc'!BP24,0)</f>
        <v>0</v>
      </c>
      <c r="CP24" s="3" t="e">
        <f>ROUND($D9*'Allocators Calc'!#REF!,0)</f>
        <v>#REF!</v>
      </c>
      <c r="CQ24" s="3" t="e">
        <f>ROUND($D9*'Allocators Calc'!#REF!,0)</f>
        <v>#REF!</v>
      </c>
      <c r="CR24" s="3" t="e">
        <f>ROUND($D9*'Allocators Calc'!#REF!,0)</f>
        <v>#REF!</v>
      </c>
      <c r="CS24" s="3" t="e">
        <f>ROUND($D9*'Allocators Calc'!#REF!,0)</f>
        <v>#REF!</v>
      </c>
      <c r="CT24" s="3" t="e">
        <f>ROUND($D9*'Allocators Calc'!#REF!,0)</f>
        <v>#REF!</v>
      </c>
      <c r="CU24" s="3" t="e">
        <f>ROUND($D9*'Allocators Calc'!#REF!,0)</f>
        <v>#REF!</v>
      </c>
      <c r="CV24" s="3"/>
      <c r="CW24" s="3"/>
      <c r="CX24" s="3"/>
      <c r="CY24" s="3"/>
      <c r="CZ24" s="3"/>
      <c r="DA24" s="3"/>
      <c r="DB24" s="3"/>
      <c r="DC24" s="3"/>
      <c r="DD24" s="1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</row>
    <row r="25" spans="1:129" x14ac:dyDescent="0.2">
      <c r="H25" s="57" t="s">
        <v>266</v>
      </c>
      <c r="I25" s="45">
        <f t="shared" ref="I25:O25" si="21">I14</f>
        <v>768806</v>
      </c>
      <c r="J25" s="45">
        <f t="shared" si="21"/>
        <v>1760118</v>
      </c>
      <c r="K25" s="45">
        <f t="shared" si="21"/>
        <v>3680745</v>
      </c>
      <c r="L25" s="45">
        <f t="shared" si="21"/>
        <v>75317749</v>
      </c>
      <c r="M25" s="45">
        <f t="shared" si="21"/>
        <v>42658234</v>
      </c>
      <c r="N25" s="45">
        <f t="shared" si="21"/>
        <v>45483510</v>
      </c>
      <c r="O25" s="45">
        <f t="shared" si="21"/>
        <v>169669162</v>
      </c>
      <c r="P25" t="e">
        <f>ROUND($D10*'Allocators Calc'!#REF!,0)</f>
        <v>#REF!</v>
      </c>
      <c r="Q25" t="e">
        <f>ROUND($D10*'Allocators Calc'!#REF!,0)</f>
        <v>#REF!</v>
      </c>
      <c r="R25" t="e">
        <f>ROUND($D10*'Allocators Calc'!#REF!,0)</f>
        <v>#REF!</v>
      </c>
      <c r="S25" t="e">
        <f>ROUND($D10*'Allocators Calc'!#REF!,0)</f>
        <v>#REF!</v>
      </c>
      <c r="T25" t="e">
        <f>ROUND($D10*'Allocators Calc'!#REF!,0)</f>
        <v>#REF!</v>
      </c>
      <c r="U25" s="13" t="e">
        <f>ROUND($D10*'Allocators Calc'!#REF!,0)</f>
        <v>#REF!</v>
      </c>
      <c r="V25" t="e">
        <f>ROUND($D10*'Allocators Calc'!#REF!,0)</f>
        <v>#REF!</v>
      </c>
      <c r="W25" t="e">
        <f>ROUND($D10*'Allocators Calc'!#REF!,0)</f>
        <v>#REF!</v>
      </c>
      <c r="X25" t="e">
        <f>ROUND($D10*'Allocators Calc'!#REF!,0)</f>
        <v>#REF!</v>
      </c>
      <c r="Y25" t="e">
        <f>ROUND($D10*'Allocators Calc'!#REF!,0)</f>
        <v>#REF!</v>
      </c>
      <c r="Z25" t="e">
        <f>ROUND($D10*'Allocators Calc'!#REF!,0)</f>
        <v>#REF!</v>
      </c>
      <c r="AA25" s="13" t="e">
        <f>ROUND($D10*'Allocators Calc'!#REF!,0)</f>
        <v>#REF!</v>
      </c>
      <c r="AB25">
        <f>ROUND($D10*'Allocators Calc'!AG25,0)</f>
        <v>4310</v>
      </c>
      <c r="AC25">
        <f>ROUND($D10*'Allocators Calc'!AH25,0)</f>
        <v>8993</v>
      </c>
      <c r="AD25">
        <f>ROUND($D10*'Allocators Calc'!AI25,0)</f>
        <v>18018</v>
      </c>
      <c r="AE25">
        <f>ROUND($D10*'Allocators Calc'!AJ25,0)</f>
        <v>4919688</v>
      </c>
      <c r="AF25">
        <f>ROUND($D10*'Allocators Calc'!AK25,0)</f>
        <v>1999453</v>
      </c>
      <c r="AG25" s="13">
        <f>ROUND($D10*'Allocators Calc'!AL25,0)</f>
        <v>2028935</v>
      </c>
      <c r="AH25" t="e">
        <f>ROUND($D10*'Allocators Calc'!#REF!,0)</f>
        <v>#REF!</v>
      </c>
      <c r="AI25" t="e">
        <f>ROUND($D10*'Allocators Calc'!#REF!,0)</f>
        <v>#REF!</v>
      </c>
      <c r="AJ25" t="e">
        <f>ROUND($D10*'Allocators Calc'!#REF!,0)</f>
        <v>#REF!</v>
      </c>
      <c r="AK25" t="e">
        <f>ROUND($D10*'Allocators Calc'!#REF!,0)</f>
        <v>#REF!</v>
      </c>
      <c r="AL25" t="e">
        <f>ROUND($D10*'Allocators Calc'!#REF!,0)</f>
        <v>#REF!</v>
      </c>
      <c r="AM25" s="13" t="e">
        <f>ROUND($D10*'Allocators Calc'!#REF!,0)</f>
        <v>#REF!</v>
      </c>
      <c r="AN25" t="e">
        <f>ROUND($D10*'Allocators Calc'!#REF!,0)</f>
        <v>#REF!</v>
      </c>
      <c r="AO25" t="e">
        <f>ROUND($D10*'Allocators Calc'!#REF!,0)</f>
        <v>#REF!</v>
      </c>
      <c r="AP25" t="e">
        <f>ROUND($D10*'Allocators Calc'!#REF!,0)</f>
        <v>#REF!</v>
      </c>
      <c r="AQ25" t="e">
        <f>ROUND($D10*'Allocators Calc'!#REF!,0)</f>
        <v>#REF!</v>
      </c>
      <c r="AR25" t="e">
        <f>ROUND($D10*'Allocators Calc'!#REF!,0)</f>
        <v>#REF!</v>
      </c>
      <c r="AS25" s="13" t="e">
        <f>ROUND($D10*'Allocators Calc'!#REF!,0)</f>
        <v>#REF!</v>
      </c>
      <c r="AT25">
        <f>ROUND($D10*'Allocators Calc'!AM25,0)</f>
        <v>824</v>
      </c>
      <c r="AU25">
        <f>ROUND($D10*'Allocators Calc'!AN25,0)</f>
        <v>1923</v>
      </c>
      <c r="AV25">
        <f>ROUND($D10*'Allocators Calc'!AO25,0)</f>
        <v>4120</v>
      </c>
      <c r="AW25">
        <f>ROUND($D10*'Allocators Calc'!AP25,0)</f>
        <v>1981953</v>
      </c>
      <c r="AX25">
        <f>ROUND($D10*'Allocators Calc'!AQ25,0)</f>
        <v>321646</v>
      </c>
      <c r="AY25" s="13">
        <f>ROUND($D10*'Allocators Calc'!AR25,0)</f>
        <v>151390</v>
      </c>
      <c r="AZ25">
        <f>ROUND($D10*'Allocators Calc'!AS25,0)</f>
        <v>4657</v>
      </c>
      <c r="BA25">
        <f>ROUND($D10*'Allocators Calc'!AT25,0)</f>
        <v>10647</v>
      </c>
      <c r="BB25">
        <f>ROUND($D10*'Allocators Calc'!AU25,0)</f>
        <v>21319</v>
      </c>
      <c r="BC25">
        <f>ROUND($D10*'Allocators Calc'!AV25,0)</f>
        <v>2396945</v>
      </c>
      <c r="BD25">
        <f>ROUND($D10*'Allocators Calc'!AW25,0)</f>
        <v>2196915</v>
      </c>
      <c r="BE25" s="13">
        <f>ROUND($D10*'Allocators Calc'!AX25,0)</f>
        <v>192778</v>
      </c>
      <c r="BF25" t="e">
        <f>ROUND($D10*'Allocators Calc'!#REF!,0)</f>
        <v>#REF!</v>
      </c>
      <c r="BG25" t="e">
        <f>ROUND($D10*'Allocators Calc'!#REF!,0)</f>
        <v>#REF!</v>
      </c>
      <c r="BH25" t="e">
        <f>ROUND($D10*'Allocators Calc'!#REF!,0)</f>
        <v>#REF!</v>
      </c>
      <c r="BI25" t="e">
        <f>ROUND($D10*'Allocators Calc'!#REF!,0)</f>
        <v>#REF!</v>
      </c>
      <c r="BJ25" t="e">
        <f>ROUND($D10*'Allocators Calc'!#REF!,0)</f>
        <v>#REF!</v>
      </c>
      <c r="BK25" s="13" t="e">
        <f>ROUND($D10*'Allocators Calc'!#REF!,0)</f>
        <v>#REF!</v>
      </c>
      <c r="BL25">
        <f>ROUND($D10*'Allocators Calc'!AY25,0)</f>
        <v>5558208</v>
      </c>
      <c r="BM25">
        <f>ROUND($D10*'Allocators Calc'!AZ25,0)</f>
        <v>10973862</v>
      </c>
      <c r="BN25">
        <f>ROUND($D10*'Allocators Calc'!BA25,0)</f>
        <v>16646809</v>
      </c>
      <c r="BO25">
        <f>ROUND($D10*'Allocators Calc'!BB25,0)</f>
        <v>104955853</v>
      </c>
      <c r="BP25">
        <f>ROUND($D10*'Allocators Calc'!BC25,0)</f>
        <v>57873015</v>
      </c>
      <c r="BQ25" s="13">
        <f>ROUND($D10*'Allocators Calc'!BD25,0)</f>
        <v>42407805</v>
      </c>
      <c r="BR25" t="e">
        <f>ROUND($D10*'Allocators Calc'!#REF!,0)</f>
        <v>#REF!</v>
      </c>
      <c r="BS25" t="e">
        <f>ROUND($D10*'Allocators Calc'!#REF!,0)</f>
        <v>#REF!</v>
      </c>
      <c r="BT25" t="e">
        <f>ROUND($D10*'Allocators Calc'!#REF!,0)</f>
        <v>#REF!</v>
      </c>
      <c r="BU25" t="e">
        <f>ROUND($D10*'Allocators Calc'!#REF!,0)</f>
        <v>#REF!</v>
      </c>
      <c r="BV25" t="e">
        <f>ROUND($D10*'Allocators Calc'!#REF!,0)</f>
        <v>#REF!</v>
      </c>
      <c r="BW25" s="13" t="e">
        <f>ROUND($D10*'Allocators Calc'!#REF!,0)</f>
        <v>#REF!</v>
      </c>
      <c r="BX25" t="e">
        <f>ROUND($D10*'Allocators Calc'!#REF!,0)</f>
        <v>#REF!</v>
      </c>
      <c r="BY25" t="e">
        <f>ROUND($D10*'Allocators Calc'!#REF!,0)</f>
        <v>#REF!</v>
      </c>
      <c r="BZ25" t="e">
        <f>ROUND($D10*'Allocators Calc'!#REF!,0)</f>
        <v>#REF!</v>
      </c>
      <c r="CA25" t="e">
        <f>ROUND($D10*'Allocators Calc'!#REF!,0)</f>
        <v>#REF!</v>
      </c>
      <c r="CB25" t="e">
        <f>ROUND($D10*'Allocators Calc'!#REF!,0)</f>
        <v>#REF!</v>
      </c>
      <c r="CC25" s="13" t="e">
        <f>ROUND($D10*'Allocators Calc'!#REF!,0)</f>
        <v>#REF!</v>
      </c>
      <c r="CD25">
        <f>ROUND($D10*'Allocators Calc'!BE25,0)</f>
        <v>57171</v>
      </c>
      <c r="CE25">
        <f>ROUND($D10*'Allocators Calc'!BF25,0)</f>
        <v>130888</v>
      </c>
      <c r="CF25">
        <f>ROUND($D10*'Allocators Calc'!BG25,0)</f>
        <v>273712</v>
      </c>
      <c r="CG25">
        <f>ROUND($D10*'Allocators Calc'!BH25,0)</f>
        <v>5600872</v>
      </c>
      <c r="CH25">
        <f>ROUND($D10*'Allocators Calc'!BI25,0)</f>
        <v>3172204</v>
      </c>
      <c r="CI25" s="13">
        <f>ROUND($D10*'Allocators Calc'!BJ25,0)</f>
        <v>3382301</v>
      </c>
      <c r="CJ25">
        <f>ROUND($D10*'Allocators Calc'!BK25,0)</f>
        <v>30753</v>
      </c>
      <c r="CK25">
        <f>ROUND($D10*'Allocators Calc'!BL25,0)</f>
        <v>71724</v>
      </c>
      <c r="CL25">
        <f>ROUND($D10*'Allocators Calc'!BM25,0)</f>
        <v>149719</v>
      </c>
      <c r="CM25">
        <f>ROUND($D10*'Allocators Calc'!BN25,0)</f>
        <v>1201817</v>
      </c>
      <c r="CN25">
        <f>ROUND($D10*'Allocators Calc'!BO25,0)</f>
        <v>0</v>
      </c>
      <c r="CO25" s="13">
        <f>ROUND($D10*'Allocators Calc'!BP25,0)</f>
        <v>0</v>
      </c>
      <c r="CP25" s="3" t="e">
        <f>ROUND($D10*'Allocators Calc'!#REF!,0)</f>
        <v>#REF!</v>
      </c>
      <c r="CQ25" s="3" t="e">
        <f>ROUND($D10*'Allocators Calc'!#REF!,0)</f>
        <v>#REF!</v>
      </c>
      <c r="CR25" s="3" t="e">
        <f>ROUND($D10*'Allocators Calc'!#REF!,0)</f>
        <v>#REF!</v>
      </c>
      <c r="CS25" s="3" t="e">
        <f>ROUND($D10*'Allocators Calc'!#REF!,0)</f>
        <v>#REF!</v>
      </c>
      <c r="CT25" s="3" t="e">
        <f>ROUND($D10*'Allocators Calc'!#REF!,0)</f>
        <v>#REF!</v>
      </c>
      <c r="CU25" s="3" t="e">
        <f>ROUND($D10*'Allocators Calc'!#REF!,0)</f>
        <v>#REF!</v>
      </c>
      <c r="CV25" s="3"/>
      <c r="CW25" s="3"/>
      <c r="CX25" s="3"/>
      <c r="CY25" s="3"/>
      <c r="CZ25" s="3"/>
      <c r="DA25" s="3"/>
      <c r="DB25" s="3"/>
      <c r="DC25" s="3"/>
      <c r="DD25" s="1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</row>
    <row r="26" spans="1:129" x14ac:dyDescent="0.2">
      <c r="H26" s="59" t="s">
        <v>267</v>
      </c>
      <c r="I26" s="47" t="e">
        <f>I15+I16</f>
        <v>#REF!</v>
      </c>
      <c r="J26" s="47" t="e">
        <f t="shared" ref="J26:O26" si="22">J15+J16</f>
        <v>#REF!</v>
      </c>
      <c r="K26" s="47" t="e">
        <f t="shared" si="22"/>
        <v>#REF!</v>
      </c>
      <c r="L26" s="47" t="e">
        <f t="shared" si="22"/>
        <v>#REF!</v>
      </c>
      <c r="M26" s="47" t="e">
        <f t="shared" si="22"/>
        <v>#REF!</v>
      </c>
      <c r="N26" s="47" t="e">
        <f t="shared" si="22"/>
        <v>#REF!</v>
      </c>
      <c r="O26" s="47" t="e">
        <f t="shared" si="22"/>
        <v>#REF!</v>
      </c>
      <c r="P26" t="e">
        <f>ROUND($D11*'Allocators Calc'!#REF!,0)</f>
        <v>#REF!</v>
      </c>
      <c r="Q26" t="e">
        <f>ROUND($D11*'Allocators Calc'!#REF!,0)</f>
        <v>#REF!</v>
      </c>
      <c r="R26" t="e">
        <f>ROUND($D11*'Allocators Calc'!#REF!,0)</f>
        <v>#REF!</v>
      </c>
      <c r="S26" t="e">
        <f>ROUND($D11*'Allocators Calc'!#REF!,0)</f>
        <v>#REF!</v>
      </c>
      <c r="T26" t="e">
        <f>ROUND($D11*'Allocators Calc'!#REF!,0)</f>
        <v>#REF!</v>
      </c>
      <c r="U26" s="13" t="e">
        <f>ROUND($D11*'Allocators Calc'!#REF!,0)</f>
        <v>#REF!</v>
      </c>
      <c r="V26" t="e">
        <f>ROUND($D11*'Allocators Calc'!#REF!,0)</f>
        <v>#REF!</v>
      </c>
      <c r="W26" t="e">
        <f>ROUND($D11*'Allocators Calc'!#REF!,0)</f>
        <v>#REF!</v>
      </c>
      <c r="X26" t="e">
        <f>ROUND($D11*'Allocators Calc'!#REF!,0)</f>
        <v>#REF!</v>
      </c>
      <c r="Y26" t="e">
        <f>ROUND($D11*'Allocators Calc'!#REF!,0)</f>
        <v>#REF!</v>
      </c>
      <c r="Z26" t="e">
        <f>ROUND($D11*'Allocators Calc'!#REF!,0)</f>
        <v>#REF!</v>
      </c>
      <c r="AA26" s="13" t="e">
        <f>ROUND($D11*'Allocators Calc'!#REF!,0)</f>
        <v>#REF!</v>
      </c>
      <c r="AB26">
        <f>ROUND($D11*'Allocators Calc'!AG26,0)</f>
        <v>1893</v>
      </c>
      <c r="AC26">
        <f>ROUND($D11*'Allocators Calc'!AH26,0)</f>
        <v>3541</v>
      </c>
      <c r="AD26">
        <f>ROUND($D11*'Allocators Calc'!AI26,0)</f>
        <v>4923</v>
      </c>
      <c r="AE26">
        <f>ROUND($D11*'Allocators Calc'!AJ26,0)</f>
        <v>3489</v>
      </c>
      <c r="AF26">
        <f>ROUND($D11*'Allocators Calc'!AK26,0)</f>
        <v>0</v>
      </c>
      <c r="AG26" s="13">
        <f>ROUND($D11*'Allocators Calc'!AL26,0)</f>
        <v>0</v>
      </c>
      <c r="AH26" t="e">
        <f>ROUND($D11*'Allocators Calc'!#REF!,0)</f>
        <v>#REF!</v>
      </c>
      <c r="AI26" t="e">
        <f>ROUND($D11*'Allocators Calc'!#REF!,0)</f>
        <v>#REF!</v>
      </c>
      <c r="AJ26" t="e">
        <f>ROUND($D11*'Allocators Calc'!#REF!,0)</f>
        <v>#REF!</v>
      </c>
      <c r="AK26" t="e">
        <f>ROUND($D11*'Allocators Calc'!#REF!,0)</f>
        <v>#REF!</v>
      </c>
      <c r="AL26" t="e">
        <f>ROUND($D11*'Allocators Calc'!#REF!,0)</f>
        <v>#REF!</v>
      </c>
      <c r="AM26" s="13" t="e">
        <f>ROUND($D11*'Allocators Calc'!#REF!,0)</f>
        <v>#REF!</v>
      </c>
      <c r="AN26" t="e">
        <f>ROUND($D11*'Allocators Calc'!#REF!,0)</f>
        <v>#REF!</v>
      </c>
      <c r="AO26" t="e">
        <f>ROUND($D11*'Allocators Calc'!#REF!,0)</f>
        <v>#REF!</v>
      </c>
      <c r="AP26" t="e">
        <f>ROUND($D11*'Allocators Calc'!#REF!,0)</f>
        <v>#REF!</v>
      </c>
      <c r="AQ26" t="e">
        <f>ROUND($D11*'Allocators Calc'!#REF!,0)</f>
        <v>#REF!</v>
      </c>
      <c r="AR26" t="e">
        <f>ROUND($D11*'Allocators Calc'!#REF!,0)</f>
        <v>#REF!</v>
      </c>
      <c r="AS26" s="13" t="e">
        <f>ROUND($D11*'Allocators Calc'!#REF!,0)</f>
        <v>#REF!</v>
      </c>
      <c r="AT26">
        <f>ROUND($D11*'Allocators Calc'!AM26,0)</f>
        <v>911</v>
      </c>
      <c r="AU26">
        <f>ROUND($D11*'Allocators Calc'!AN26,0)</f>
        <v>2126</v>
      </c>
      <c r="AV26">
        <f>ROUND($D11*'Allocators Calc'!AO26,0)</f>
        <v>4555</v>
      </c>
      <c r="AW26">
        <f>ROUND($D11*'Allocators Calc'!AP26,0)</f>
        <v>2191209</v>
      </c>
      <c r="AX26">
        <f>ROUND($D11*'Allocators Calc'!AQ26,0)</f>
        <v>355606</v>
      </c>
      <c r="AY26" s="13">
        <f>ROUND($D11*'Allocators Calc'!AR26,0)</f>
        <v>167374</v>
      </c>
      <c r="AZ26">
        <f>ROUND($D11*'Allocators Calc'!AS26,0)</f>
        <v>4663</v>
      </c>
      <c r="BA26">
        <f>ROUND($D11*'Allocators Calc'!AT26,0)</f>
        <v>10661</v>
      </c>
      <c r="BB26">
        <f>ROUND($D11*'Allocators Calc'!AU26,0)</f>
        <v>21346</v>
      </c>
      <c r="BC26">
        <f>ROUND($D11*'Allocators Calc'!AV26,0)</f>
        <v>2400008</v>
      </c>
      <c r="BD26">
        <f>ROUND($D11*'Allocators Calc'!AW26,0)</f>
        <v>2199721</v>
      </c>
      <c r="BE26" s="13">
        <f>ROUND($D11*'Allocators Calc'!AX26,0)</f>
        <v>193024</v>
      </c>
      <c r="BF26" t="e">
        <f>ROUND($D11*'Allocators Calc'!#REF!,0)</f>
        <v>#REF!</v>
      </c>
      <c r="BG26" t="e">
        <f>ROUND($D11*'Allocators Calc'!#REF!,0)</f>
        <v>#REF!</v>
      </c>
      <c r="BH26" t="e">
        <f>ROUND($D11*'Allocators Calc'!#REF!,0)</f>
        <v>#REF!</v>
      </c>
      <c r="BI26" t="e">
        <f>ROUND($D11*'Allocators Calc'!#REF!,0)</f>
        <v>#REF!</v>
      </c>
      <c r="BJ26" t="e">
        <f>ROUND($D11*'Allocators Calc'!#REF!,0)</f>
        <v>#REF!</v>
      </c>
      <c r="BK26" s="13" t="e">
        <f>ROUND($D11*'Allocators Calc'!#REF!,0)</f>
        <v>#REF!</v>
      </c>
      <c r="BL26">
        <f>ROUND($D11*'Allocators Calc'!AY26,0)</f>
        <v>5584956</v>
      </c>
      <c r="BM26">
        <f>ROUND($D11*'Allocators Calc'!AZ26,0)</f>
        <v>11026671</v>
      </c>
      <c r="BN26">
        <f>ROUND($D11*'Allocators Calc'!BA26,0)</f>
        <v>16726919</v>
      </c>
      <c r="BO26">
        <f>ROUND($D11*'Allocators Calc'!BB26,0)</f>
        <v>105460931</v>
      </c>
      <c r="BP26">
        <f>ROUND($D11*'Allocators Calc'!BC26,0)</f>
        <v>58151516</v>
      </c>
      <c r="BQ26" s="13">
        <f>ROUND($D11*'Allocators Calc'!BD26,0)</f>
        <v>42611883</v>
      </c>
      <c r="BR26" t="e">
        <f>ROUND($D11*'Allocators Calc'!#REF!,0)</f>
        <v>#REF!</v>
      </c>
      <c r="BS26" t="e">
        <f>ROUND($D11*'Allocators Calc'!#REF!,0)</f>
        <v>#REF!</v>
      </c>
      <c r="BT26" t="e">
        <f>ROUND($D11*'Allocators Calc'!#REF!,0)</f>
        <v>#REF!</v>
      </c>
      <c r="BU26" t="e">
        <f>ROUND($D11*'Allocators Calc'!#REF!,0)</f>
        <v>#REF!</v>
      </c>
      <c r="BV26" t="e">
        <f>ROUND($D11*'Allocators Calc'!#REF!,0)</f>
        <v>#REF!</v>
      </c>
      <c r="BW26" s="13" t="e">
        <f>ROUND($D11*'Allocators Calc'!#REF!,0)</f>
        <v>#REF!</v>
      </c>
      <c r="BX26" t="e">
        <f>ROUND($D11*'Allocators Calc'!#REF!,0)</f>
        <v>#REF!</v>
      </c>
      <c r="BY26" t="e">
        <f>ROUND($D11*'Allocators Calc'!#REF!,0)</f>
        <v>#REF!</v>
      </c>
      <c r="BZ26" t="e">
        <f>ROUND($D11*'Allocators Calc'!#REF!,0)</f>
        <v>#REF!</v>
      </c>
      <c r="CA26" t="e">
        <f>ROUND($D11*'Allocators Calc'!#REF!,0)</f>
        <v>#REF!</v>
      </c>
      <c r="CB26" t="e">
        <f>ROUND($D11*'Allocators Calc'!#REF!,0)</f>
        <v>#REF!</v>
      </c>
      <c r="CC26" s="13" t="e">
        <f>ROUND($D11*'Allocators Calc'!#REF!,0)</f>
        <v>#REF!</v>
      </c>
      <c r="CD26">
        <f>ROUND($D11*'Allocators Calc'!BE26,0)</f>
        <v>55857</v>
      </c>
      <c r="CE26">
        <f>ROUND($D11*'Allocators Calc'!BF26,0)</f>
        <v>127881</v>
      </c>
      <c r="CF26">
        <f>ROUND($D11*'Allocators Calc'!BG26,0)</f>
        <v>267423</v>
      </c>
      <c r="CG26">
        <f>ROUND($D11*'Allocators Calc'!BH26,0)</f>
        <v>5472180</v>
      </c>
      <c r="CH26">
        <f>ROUND($D11*'Allocators Calc'!BI26,0)</f>
        <v>3099316</v>
      </c>
      <c r="CI26" s="13">
        <f>ROUND($D11*'Allocators Calc'!BJ26,0)</f>
        <v>3304586</v>
      </c>
      <c r="CJ26">
        <f>ROUND($D11*'Allocators Calc'!BK26,0)</f>
        <v>0</v>
      </c>
      <c r="CK26">
        <f>ROUND($D11*'Allocators Calc'!BL26,0)</f>
        <v>0</v>
      </c>
      <c r="CL26">
        <f>ROUND($D11*'Allocators Calc'!BM26,0)</f>
        <v>0</v>
      </c>
      <c r="CM26">
        <f>ROUND($D11*'Allocators Calc'!BN26,0)</f>
        <v>0</v>
      </c>
      <c r="CN26">
        <f>ROUND($D11*'Allocators Calc'!BO26,0)</f>
        <v>0</v>
      </c>
      <c r="CO26" s="13">
        <f>ROUND($D11*'Allocators Calc'!BP26,0)</f>
        <v>0</v>
      </c>
      <c r="CP26" s="3" t="e">
        <f>ROUND($D11*'Allocators Calc'!#REF!,0)</f>
        <v>#REF!</v>
      </c>
      <c r="CQ26" s="3" t="e">
        <f>ROUND($D11*'Allocators Calc'!#REF!,0)</f>
        <v>#REF!</v>
      </c>
      <c r="CR26" s="3" t="e">
        <f>ROUND($D11*'Allocators Calc'!#REF!,0)</f>
        <v>#REF!</v>
      </c>
      <c r="CS26" s="3" t="e">
        <f>ROUND($D11*'Allocators Calc'!#REF!,0)</f>
        <v>#REF!</v>
      </c>
      <c r="CT26" s="3" t="e">
        <f>ROUND($D11*'Allocators Calc'!#REF!,0)</f>
        <v>#REF!</v>
      </c>
      <c r="CU26" s="3" t="e">
        <f>ROUND($D11*'Allocators Calc'!#REF!,0)</f>
        <v>#REF!</v>
      </c>
      <c r="CV26" s="3"/>
      <c r="CW26" s="3"/>
      <c r="CX26" s="3"/>
      <c r="CY26" s="3"/>
      <c r="CZ26" s="3"/>
      <c r="DA26" s="3"/>
      <c r="DB26" s="3"/>
      <c r="DC26" s="3"/>
      <c r="DD26" s="1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</row>
    <row r="27" spans="1:129" x14ac:dyDescent="0.2">
      <c r="I27" s="60" t="e">
        <f>SUM(I21:I26)</f>
        <v>#REF!</v>
      </c>
      <c r="J27" s="60" t="e">
        <f t="shared" ref="J27:O27" si="23">SUM(J21:J26)</f>
        <v>#REF!</v>
      </c>
      <c r="K27" s="60" t="e">
        <f t="shared" si="23"/>
        <v>#REF!</v>
      </c>
      <c r="L27" s="60" t="e">
        <f t="shared" si="23"/>
        <v>#REF!</v>
      </c>
      <c r="M27" s="60" t="e">
        <f t="shared" si="23"/>
        <v>#REF!</v>
      </c>
      <c r="N27" s="60" t="e">
        <f t="shared" si="23"/>
        <v>#REF!</v>
      </c>
      <c r="O27" s="60" t="e">
        <f t="shared" si="23"/>
        <v>#REF!</v>
      </c>
      <c r="P27" t="e">
        <f>ROUND($D12*'Allocators Calc'!#REF!,0)</f>
        <v>#REF!</v>
      </c>
      <c r="Q27" t="e">
        <f>ROUND($D12*'Allocators Calc'!#REF!,0)</f>
        <v>#REF!</v>
      </c>
      <c r="R27" t="e">
        <f>ROUND($D12*'Allocators Calc'!#REF!,0)</f>
        <v>#REF!</v>
      </c>
      <c r="S27" t="e">
        <f>ROUND($D12*'Allocators Calc'!#REF!,0)</f>
        <v>#REF!</v>
      </c>
      <c r="T27" t="e">
        <f>ROUND($D12*'Allocators Calc'!#REF!,0)</f>
        <v>#REF!</v>
      </c>
      <c r="U27" s="13" t="e">
        <f>ROUND($D12*'Allocators Calc'!#REF!,0)</f>
        <v>#REF!</v>
      </c>
      <c r="V27" t="e">
        <f>ROUND($D12*'Allocators Calc'!#REF!,0)</f>
        <v>#REF!</v>
      </c>
      <c r="W27" t="e">
        <f>ROUND($D12*'Allocators Calc'!#REF!,0)</f>
        <v>#REF!</v>
      </c>
      <c r="X27" t="e">
        <f>ROUND($D12*'Allocators Calc'!#REF!,0)</f>
        <v>#REF!</v>
      </c>
      <c r="Y27" t="e">
        <f>ROUND($D12*'Allocators Calc'!#REF!,0)</f>
        <v>#REF!</v>
      </c>
      <c r="Z27" t="e">
        <f>ROUND($D12*'Allocators Calc'!#REF!,0)</f>
        <v>#REF!</v>
      </c>
      <c r="AA27" s="13" t="e">
        <f>ROUND($D12*'Allocators Calc'!#REF!,0)</f>
        <v>#REF!</v>
      </c>
      <c r="AB27">
        <f>ROUND($D12*'Allocators Calc'!AG27,0)</f>
        <v>2447</v>
      </c>
      <c r="AC27">
        <f>ROUND($D12*'Allocators Calc'!AH27,0)</f>
        <v>3521</v>
      </c>
      <c r="AD27">
        <f>ROUND($D12*'Allocators Calc'!AI27,0)</f>
        <v>2859</v>
      </c>
      <c r="AE27">
        <f>ROUND($D12*'Allocators Calc'!AJ27,0)</f>
        <v>2281</v>
      </c>
      <c r="AF27">
        <f>ROUND($D12*'Allocators Calc'!AK27,0)</f>
        <v>0</v>
      </c>
      <c r="AG27" s="13">
        <f>ROUND($D12*'Allocators Calc'!AL27,0)</f>
        <v>0</v>
      </c>
      <c r="AH27" t="e">
        <f>ROUND($D12*'Allocators Calc'!#REF!,0)</f>
        <v>#REF!</v>
      </c>
      <c r="AI27" t="e">
        <f>ROUND($D12*'Allocators Calc'!#REF!,0)</f>
        <v>#REF!</v>
      </c>
      <c r="AJ27" t="e">
        <f>ROUND($D12*'Allocators Calc'!#REF!,0)</f>
        <v>#REF!</v>
      </c>
      <c r="AK27" t="e">
        <f>ROUND($D12*'Allocators Calc'!#REF!,0)</f>
        <v>#REF!</v>
      </c>
      <c r="AL27" t="e">
        <f>ROUND($D12*'Allocators Calc'!#REF!,0)</f>
        <v>#REF!</v>
      </c>
      <c r="AM27" s="13" t="e">
        <f>ROUND($D12*'Allocators Calc'!#REF!,0)</f>
        <v>#REF!</v>
      </c>
      <c r="AN27" t="e">
        <f>ROUND($D12*'Allocators Calc'!#REF!,0)</f>
        <v>#REF!</v>
      </c>
      <c r="AO27" t="e">
        <f>ROUND($D12*'Allocators Calc'!#REF!,0)</f>
        <v>#REF!</v>
      </c>
      <c r="AP27" t="e">
        <f>ROUND($D12*'Allocators Calc'!#REF!,0)</f>
        <v>#REF!</v>
      </c>
      <c r="AQ27" t="e">
        <f>ROUND($D12*'Allocators Calc'!#REF!,0)</f>
        <v>#REF!</v>
      </c>
      <c r="AR27" t="e">
        <f>ROUND($D12*'Allocators Calc'!#REF!,0)</f>
        <v>#REF!</v>
      </c>
      <c r="AS27" s="13" t="e">
        <f>ROUND($D12*'Allocators Calc'!#REF!,0)</f>
        <v>#REF!</v>
      </c>
      <c r="AT27">
        <f>ROUND($D12*'Allocators Calc'!AM27,0)</f>
        <v>836</v>
      </c>
      <c r="AU27">
        <f>ROUND($D12*'Allocators Calc'!AN27,0)</f>
        <v>1950</v>
      </c>
      <c r="AV27">
        <f>ROUND($D12*'Allocators Calc'!AO27,0)</f>
        <v>4178</v>
      </c>
      <c r="AW27">
        <f>ROUND($D12*'Allocators Calc'!AP27,0)</f>
        <v>2010100</v>
      </c>
      <c r="AX27">
        <f>ROUND($D12*'Allocators Calc'!AQ27,0)</f>
        <v>326214</v>
      </c>
      <c r="AY27" s="13">
        <f>ROUND($D12*'Allocators Calc'!AR27,0)</f>
        <v>153540</v>
      </c>
      <c r="AZ27">
        <f>ROUND($D12*'Allocators Calc'!AS27,0)</f>
        <v>4551</v>
      </c>
      <c r="BA27">
        <f>ROUND($D12*'Allocators Calc'!AT27,0)</f>
        <v>10404</v>
      </c>
      <c r="BB27">
        <f>ROUND($D12*'Allocators Calc'!AU27,0)</f>
        <v>20833</v>
      </c>
      <c r="BC27">
        <f>ROUND($D12*'Allocators Calc'!AV27,0)</f>
        <v>2342306</v>
      </c>
      <c r="BD27">
        <f>ROUND($D12*'Allocators Calc'!AW27,0)</f>
        <v>2146835</v>
      </c>
      <c r="BE27" s="13">
        <f>ROUND($D12*'Allocators Calc'!AX27,0)</f>
        <v>188384</v>
      </c>
      <c r="BF27" t="e">
        <f>ROUND($D12*'Allocators Calc'!#REF!,0)</f>
        <v>#REF!</v>
      </c>
      <c r="BG27" t="e">
        <f>ROUND($D12*'Allocators Calc'!#REF!,0)</f>
        <v>#REF!</v>
      </c>
      <c r="BH27" t="e">
        <f>ROUND($D12*'Allocators Calc'!#REF!,0)</f>
        <v>#REF!</v>
      </c>
      <c r="BI27" t="e">
        <f>ROUND($D12*'Allocators Calc'!#REF!,0)</f>
        <v>#REF!</v>
      </c>
      <c r="BJ27" t="e">
        <f>ROUND($D12*'Allocators Calc'!#REF!,0)</f>
        <v>#REF!</v>
      </c>
      <c r="BK27" s="13" t="e">
        <f>ROUND($D12*'Allocators Calc'!#REF!,0)</f>
        <v>#REF!</v>
      </c>
      <c r="BL27">
        <f>ROUND($D12*'Allocators Calc'!AY27,0)</f>
        <v>4849366</v>
      </c>
      <c r="BM27">
        <f>ROUND($D12*'Allocators Calc'!AZ27,0)</f>
        <v>9574357</v>
      </c>
      <c r="BN27">
        <f>ROUND($D12*'Allocators Calc'!BA27,0)</f>
        <v>14523830</v>
      </c>
      <c r="BO27">
        <f>ROUND($D12*'Allocators Calc'!BB27,0)</f>
        <v>91570758</v>
      </c>
      <c r="BP27">
        <f>ROUND($D12*'Allocators Calc'!BC27,0)</f>
        <v>50492428</v>
      </c>
      <c r="BQ27" s="13">
        <f>ROUND($D12*'Allocators Calc'!BD27,0)</f>
        <v>36999507</v>
      </c>
      <c r="BR27" t="e">
        <f>ROUND($D12*'Allocators Calc'!#REF!,0)</f>
        <v>#REF!</v>
      </c>
      <c r="BS27" t="e">
        <f>ROUND($D12*'Allocators Calc'!#REF!,0)</f>
        <v>#REF!</v>
      </c>
      <c r="BT27" t="e">
        <f>ROUND($D12*'Allocators Calc'!#REF!,0)</f>
        <v>#REF!</v>
      </c>
      <c r="BU27" t="e">
        <f>ROUND($D12*'Allocators Calc'!#REF!,0)</f>
        <v>#REF!</v>
      </c>
      <c r="BV27" t="e">
        <f>ROUND($D12*'Allocators Calc'!#REF!,0)</f>
        <v>#REF!</v>
      </c>
      <c r="BW27" s="13" t="e">
        <f>ROUND($D12*'Allocators Calc'!#REF!,0)</f>
        <v>#REF!</v>
      </c>
      <c r="BX27" t="e">
        <f>ROUND($D12*'Allocators Calc'!#REF!,0)</f>
        <v>#REF!</v>
      </c>
      <c r="BY27" t="e">
        <f>ROUND($D12*'Allocators Calc'!#REF!,0)</f>
        <v>#REF!</v>
      </c>
      <c r="BZ27" t="e">
        <f>ROUND($D12*'Allocators Calc'!#REF!,0)</f>
        <v>#REF!</v>
      </c>
      <c r="CA27" t="e">
        <f>ROUND($D12*'Allocators Calc'!#REF!,0)</f>
        <v>#REF!</v>
      </c>
      <c r="CB27" t="e">
        <f>ROUND($D12*'Allocators Calc'!#REF!,0)</f>
        <v>#REF!</v>
      </c>
      <c r="CC27" s="13" t="e">
        <f>ROUND($D12*'Allocators Calc'!#REF!,0)</f>
        <v>#REF!</v>
      </c>
      <c r="CD27">
        <f>ROUND($D12*'Allocators Calc'!BE27,0)</f>
        <v>51692</v>
      </c>
      <c r="CE27">
        <f>ROUND($D12*'Allocators Calc'!BF27,0)</f>
        <v>118344</v>
      </c>
      <c r="CF27">
        <f>ROUND($D12*'Allocators Calc'!BG27,0)</f>
        <v>247480</v>
      </c>
      <c r="CG27">
        <f>ROUND($D12*'Allocators Calc'!BH27,0)</f>
        <v>5064091</v>
      </c>
      <c r="CH27">
        <f>ROUND($D12*'Allocators Calc'!BI27,0)</f>
        <v>2868184</v>
      </c>
      <c r="CI27" s="13">
        <f>ROUND($D12*'Allocators Calc'!BJ27,0)</f>
        <v>3058145</v>
      </c>
      <c r="CJ27">
        <f>ROUND($D12*'Allocators Calc'!BK27,0)</f>
        <v>0</v>
      </c>
      <c r="CK27">
        <f>ROUND($D12*'Allocators Calc'!BL27,0)</f>
        <v>0</v>
      </c>
      <c r="CL27">
        <f>ROUND($D12*'Allocators Calc'!BM27,0)</f>
        <v>0</v>
      </c>
      <c r="CM27">
        <f>ROUND($D12*'Allocators Calc'!BN27,0)</f>
        <v>0</v>
      </c>
      <c r="CN27">
        <f>ROUND($D12*'Allocators Calc'!BO27,0)</f>
        <v>0</v>
      </c>
      <c r="CO27" s="13">
        <f>ROUND($D12*'Allocators Calc'!BP27,0)</f>
        <v>0</v>
      </c>
      <c r="CP27" t="e">
        <f>ROUND($D12*'Allocators Calc'!#REF!,0)</f>
        <v>#REF!</v>
      </c>
      <c r="CQ27" t="e">
        <f>ROUND($D12*'Allocators Calc'!#REF!,0)</f>
        <v>#REF!</v>
      </c>
      <c r="CR27" t="e">
        <f>ROUND($D12*'Allocators Calc'!#REF!,0)</f>
        <v>#REF!</v>
      </c>
      <c r="CS27" t="e">
        <f>ROUND($D12*'Allocators Calc'!#REF!,0)</f>
        <v>#REF!</v>
      </c>
      <c r="CT27" t="e">
        <f>ROUND($D12*'Allocators Calc'!#REF!,0)</f>
        <v>#REF!</v>
      </c>
      <c r="CU27" t="e">
        <f>ROUND($D12*'Allocators Calc'!#REF!,0)</f>
        <v>#REF!</v>
      </c>
    </row>
    <row r="28" spans="1:129" x14ac:dyDescent="0.2">
      <c r="P28" t="e">
        <f>ROUND($D13*'Allocators Calc'!#REF!,0)</f>
        <v>#REF!</v>
      </c>
      <c r="Q28" t="e">
        <f>ROUND($D13*'Allocators Calc'!#REF!,0)</f>
        <v>#REF!</v>
      </c>
      <c r="R28" t="e">
        <f>ROUND($D13*'Allocators Calc'!#REF!,0)</f>
        <v>#REF!</v>
      </c>
      <c r="S28" t="e">
        <f>ROUND($D13*'Allocators Calc'!#REF!,0)</f>
        <v>#REF!</v>
      </c>
      <c r="T28" t="e">
        <f>ROUND($D13*'Allocators Calc'!#REF!,0)</f>
        <v>#REF!</v>
      </c>
      <c r="U28" s="13" t="e">
        <f>ROUND($D13*'Allocators Calc'!#REF!,0)</f>
        <v>#REF!</v>
      </c>
      <c r="V28" t="e">
        <f>ROUND($D13*'Allocators Calc'!#REF!,0)</f>
        <v>#REF!</v>
      </c>
      <c r="W28" t="e">
        <f>ROUND($D13*'Allocators Calc'!#REF!,0)</f>
        <v>#REF!</v>
      </c>
      <c r="X28" t="e">
        <f>ROUND($D13*'Allocators Calc'!#REF!,0)</f>
        <v>#REF!</v>
      </c>
      <c r="Y28" t="e">
        <f>ROUND($D13*'Allocators Calc'!#REF!,0)</f>
        <v>#REF!</v>
      </c>
      <c r="Z28" t="e">
        <f>ROUND($D13*'Allocators Calc'!#REF!,0)</f>
        <v>#REF!</v>
      </c>
      <c r="AA28" s="13" t="e">
        <f>ROUND($D13*'Allocators Calc'!#REF!,0)</f>
        <v>#REF!</v>
      </c>
      <c r="AB28">
        <f>ROUND($D13*'Allocators Calc'!AG28,0)</f>
        <v>2164</v>
      </c>
      <c r="AC28">
        <f>ROUND($D13*'Allocators Calc'!AH28,0)</f>
        <v>5630</v>
      </c>
      <c r="AD28">
        <f>ROUND($D13*'Allocators Calc'!AI28,0)</f>
        <v>6465</v>
      </c>
      <c r="AE28">
        <f>ROUND($D13*'Allocators Calc'!AJ28,0)</f>
        <v>5216</v>
      </c>
      <c r="AF28">
        <f>ROUND($D13*'Allocators Calc'!AK28,0)</f>
        <v>0</v>
      </c>
      <c r="AG28" s="13">
        <f>ROUND($D13*'Allocators Calc'!AL28,0)</f>
        <v>0</v>
      </c>
      <c r="AH28" t="e">
        <f>ROUND($D13*'Allocators Calc'!#REF!,0)</f>
        <v>#REF!</v>
      </c>
      <c r="AI28" t="e">
        <f>ROUND($D13*'Allocators Calc'!#REF!,0)</f>
        <v>#REF!</v>
      </c>
      <c r="AJ28" t="e">
        <f>ROUND($D13*'Allocators Calc'!#REF!,0)</f>
        <v>#REF!</v>
      </c>
      <c r="AK28" t="e">
        <f>ROUND($D13*'Allocators Calc'!#REF!,0)</f>
        <v>#REF!</v>
      </c>
      <c r="AL28" t="e">
        <f>ROUND($D13*'Allocators Calc'!#REF!,0)</f>
        <v>#REF!</v>
      </c>
      <c r="AM28" s="13" t="e">
        <f>ROUND($D13*'Allocators Calc'!#REF!,0)</f>
        <v>#REF!</v>
      </c>
      <c r="AN28" t="e">
        <f>ROUND($D13*'Allocators Calc'!#REF!,0)</f>
        <v>#REF!</v>
      </c>
      <c r="AO28" t="e">
        <f>ROUND($D13*'Allocators Calc'!#REF!,0)</f>
        <v>#REF!</v>
      </c>
      <c r="AP28" t="e">
        <f>ROUND($D13*'Allocators Calc'!#REF!,0)</f>
        <v>#REF!</v>
      </c>
      <c r="AQ28" t="e">
        <f>ROUND($D13*'Allocators Calc'!#REF!,0)</f>
        <v>#REF!</v>
      </c>
      <c r="AR28" t="e">
        <f>ROUND($D13*'Allocators Calc'!#REF!,0)</f>
        <v>#REF!</v>
      </c>
      <c r="AS28" s="13" t="e">
        <f>ROUND($D13*'Allocators Calc'!#REF!,0)</f>
        <v>#REF!</v>
      </c>
      <c r="AT28">
        <f>ROUND($D13*'Allocators Calc'!AM28,0)</f>
        <v>713</v>
      </c>
      <c r="AU28">
        <f>ROUND($D13*'Allocators Calc'!AN28,0)</f>
        <v>1663</v>
      </c>
      <c r="AV28">
        <f>ROUND($D13*'Allocators Calc'!AO28,0)</f>
        <v>3564</v>
      </c>
      <c r="AW28">
        <f>ROUND($D13*'Allocators Calc'!AP28,0)</f>
        <v>1714563</v>
      </c>
      <c r="AX28">
        <f>ROUND($D13*'Allocators Calc'!AQ28,0)</f>
        <v>278252</v>
      </c>
      <c r="AY28" s="13">
        <f>ROUND($D13*'Allocators Calc'!AR28,0)</f>
        <v>130966</v>
      </c>
      <c r="AZ28">
        <f>ROUND($D13*'Allocators Calc'!AS28,0)</f>
        <v>3523</v>
      </c>
      <c r="BA28">
        <f>ROUND($D13*'Allocators Calc'!AT28,0)</f>
        <v>8055</v>
      </c>
      <c r="BB28">
        <f>ROUND($D13*'Allocators Calc'!AU28,0)</f>
        <v>16128</v>
      </c>
      <c r="BC28">
        <f>ROUND($D13*'Allocators Calc'!AV28,0)</f>
        <v>1813315</v>
      </c>
      <c r="BD28">
        <f>ROUND($D13*'Allocators Calc'!AW28,0)</f>
        <v>1661990</v>
      </c>
      <c r="BE28" s="13">
        <f>ROUND($D13*'Allocators Calc'!AX28,0)</f>
        <v>145839</v>
      </c>
      <c r="BF28" t="e">
        <f>ROUND($D13*'Allocators Calc'!#REF!,0)</f>
        <v>#REF!</v>
      </c>
      <c r="BG28" t="e">
        <f>ROUND($D13*'Allocators Calc'!#REF!,0)</f>
        <v>#REF!</v>
      </c>
      <c r="BH28" t="e">
        <f>ROUND($D13*'Allocators Calc'!#REF!,0)</f>
        <v>#REF!</v>
      </c>
      <c r="BI28" t="e">
        <f>ROUND($D13*'Allocators Calc'!#REF!,0)</f>
        <v>#REF!</v>
      </c>
      <c r="BJ28" t="e">
        <f>ROUND($D13*'Allocators Calc'!#REF!,0)</f>
        <v>#REF!</v>
      </c>
      <c r="BK28" s="13" t="e">
        <f>ROUND($D13*'Allocators Calc'!#REF!,0)</f>
        <v>#REF!</v>
      </c>
      <c r="BL28">
        <f>ROUND($D13*'Allocators Calc'!AY28,0)</f>
        <v>4531324</v>
      </c>
      <c r="BM28">
        <f>ROUND($D13*'Allocators Calc'!AZ28,0)</f>
        <v>8946430</v>
      </c>
      <c r="BN28">
        <f>ROUND($D13*'Allocators Calc'!BA28,0)</f>
        <v>13571295</v>
      </c>
      <c r="BO28">
        <f>ROUND($D13*'Allocators Calc'!BB28,0)</f>
        <v>85565158</v>
      </c>
      <c r="BP28">
        <f>ROUND($D13*'Allocators Calc'!BC28,0)</f>
        <v>47180920</v>
      </c>
      <c r="BQ28" s="13">
        <f>ROUND($D13*'Allocators Calc'!BD28,0)</f>
        <v>34572922</v>
      </c>
      <c r="BR28" t="e">
        <f>ROUND($D13*'Allocators Calc'!#REF!,0)</f>
        <v>#REF!</v>
      </c>
      <c r="BS28" t="e">
        <f>ROUND($D13*'Allocators Calc'!#REF!,0)</f>
        <v>#REF!</v>
      </c>
      <c r="BT28" t="e">
        <f>ROUND($D13*'Allocators Calc'!#REF!,0)</f>
        <v>#REF!</v>
      </c>
      <c r="BU28" t="e">
        <f>ROUND($D13*'Allocators Calc'!#REF!,0)</f>
        <v>#REF!</v>
      </c>
      <c r="BV28" t="e">
        <f>ROUND($D13*'Allocators Calc'!#REF!,0)</f>
        <v>#REF!</v>
      </c>
      <c r="BW28" s="13" t="e">
        <f>ROUND($D13*'Allocators Calc'!#REF!,0)</f>
        <v>#REF!</v>
      </c>
      <c r="BX28" t="e">
        <f>ROUND($D13*'Allocators Calc'!#REF!,0)</f>
        <v>#REF!</v>
      </c>
      <c r="BY28" t="e">
        <f>ROUND($D13*'Allocators Calc'!#REF!,0)</f>
        <v>#REF!</v>
      </c>
      <c r="BZ28" t="e">
        <f>ROUND($D13*'Allocators Calc'!#REF!,0)</f>
        <v>#REF!</v>
      </c>
      <c r="CA28" t="e">
        <f>ROUND($D13*'Allocators Calc'!#REF!,0)</f>
        <v>#REF!</v>
      </c>
      <c r="CB28" t="e">
        <f>ROUND($D13*'Allocators Calc'!#REF!,0)</f>
        <v>#REF!</v>
      </c>
      <c r="CC28" s="13" t="e">
        <f>ROUND($D13*'Allocators Calc'!#REF!,0)</f>
        <v>#REF!</v>
      </c>
      <c r="CD28">
        <f>ROUND($D13*'Allocators Calc'!BE28,0)</f>
        <v>54182</v>
      </c>
      <c r="CE28">
        <f>ROUND($D13*'Allocators Calc'!BF28,0)</f>
        <v>124046</v>
      </c>
      <c r="CF28">
        <f>ROUND($D13*'Allocators Calc'!BG28,0)</f>
        <v>259405</v>
      </c>
      <c r="CG28">
        <f>ROUND($D13*'Allocators Calc'!BH28,0)</f>
        <v>5308111</v>
      </c>
      <c r="CH28">
        <f>ROUND($D13*'Allocators Calc'!BI28,0)</f>
        <v>3006391</v>
      </c>
      <c r="CI28" s="13">
        <f>ROUND($D13*'Allocators Calc'!BJ28,0)</f>
        <v>3205506</v>
      </c>
      <c r="CJ28">
        <f>ROUND($D13*'Allocators Calc'!BK28,0)</f>
        <v>0</v>
      </c>
      <c r="CK28">
        <f>ROUND($D13*'Allocators Calc'!BL28,0)</f>
        <v>0</v>
      </c>
      <c r="CL28">
        <f>ROUND($D13*'Allocators Calc'!BM28,0)</f>
        <v>0</v>
      </c>
      <c r="CM28">
        <f>ROUND($D13*'Allocators Calc'!BN28,0)</f>
        <v>0</v>
      </c>
      <c r="CN28">
        <f>ROUND($D13*'Allocators Calc'!BO28,0)</f>
        <v>0</v>
      </c>
      <c r="CO28" s="13">
        <f>ROUND($D13*'Allocators Calc'!BP28,0)</f>
        <v>0</v>
      </c>
      <c r="CP28" t="e">
        <f>ROUND($D13*'Allocators Calc'!#REF!,0)</f>
        <v>#REF!</v>
      </c>
      <c r="CQ28" t="e">
        <f>ROUND($D13*'Allocators Calc'!#REF!,0)</f>
        <v>#REF!</v>
      </c>
      <c r="CR28" t="e">
        <f>ROUND($D13*'Allocators Calc'!#REF!,0)</f>
        <v>#REF!</v>
      </c>
      <c r="CS28" t="e">
        <f>ROUND($D13*'Allocators Calc'!#REF!,0)</f>
        <v>#REF!</v>
      </c>
      <c r="CT28" t="e">
        <f>ROUND($D13*'Allocators Calc'!#REF!,0)</f>
        <v>#REF!</v>
      </c>
      <c r="CU28" t="e">
        <f>ROUND($D13*'Allocators Calc'!#REF!,0)</f>
        <v>#REF!</v>
      </c>
    </row>
    <row r="29" spans="1:129" x14ac:dyDescent="0.2">
      <c r="P29" t="e">
        <f>ROUND($D14*'Allocators Calc'!#REF!,0)</f>
        <v>#REF!</v>
      </c>
      <c r="Q29" t="e">
        <f>ROUND($D14*'Allocators Calc'!#REF!,0)</f>
        <v>#REF!</v>
      </c>
      <c r="R29" t="e">
        <f>ROUND($D14*'Allocators Calc'!#REF!,0)</f>
        <v>#REF!</v>
      </c>
      <c r="S29" t="e">
        <f>ROUND($D14*'Allocators Calc'!#REF!,0)</f>
        <v>#REF!</v>
      </c>
      <c r="T29" t="e">
        <f>ROUND($D14*'Allocators Calc'!#REF!,0)</f>
        <v>#REF!</v>
      </c>
      <c r="U29" s="13" t="e">
        <f>ROUND($D14*'Allocators Calc'!#REF!,0)</f>
        <v>#REF!</v>
      </c>
      <c r="V29" t="e">
        <f>ROUND($D14*'Allocators Calc'!#REF!,0)</f>
        <v>#REF!</v>
      </c>
      <c r="W29" t="e">
        <f>ROUND($D14*'Allocators Calc'!#REF!,0)</f>
        <v>#REF!</v>
      </c>
      <c r="X29" t="e">
        <f>ROUND($D14*'Allocators Calc'!#REF!,0)</f>
        <v>#REF!</v>
      </c>
      <c r="Y29" t="e">
        <f>ROUND($D14*'Allocators Calc'!#REF!,0)</f>
        <v>#REF!</v>
      </c>
      <c r="Z29" t="e">
        <f>ROUND($D14*'Allocators Calc'!#REF!,0)</f>
        <v>#REF!</v>
      </c>
      <c r="AA29" s="13" t="e">
        <f>ROUND($D14*'Allocators Calc'!#REF!,0)</f>
        <v>#REF!</v>
      </c>
      <c r="AB29">
        <f>ROUND($D14*'Allocators Calc'!AG29,0)</f>
        <v>1714</v>
      </c>
      <c r="AC29">
        <f>ROUND($D14*'Allocators Calc'!AH29,0)</f>
        <v>2959</v>
      </c>
      <c r="AD29">
        <f>ROUND($D14*'Allocators Calc'!AI29,0)</f>
        <v>6317</v>
      </c>
      <c r="AE29">
        <f>ROUND($D14*'Allocators Calc'!AJ29,0)</f>
        <v>15575</v>
      </c>
      <c r="AF29">
        <f>ROUND($D14*'Allocators Calc'!AK29,0)</f>
        <v>0</v>
      </c>
      <c r="AG29" s="13">
        <f>ROUND($D14*'Allocators Calc'!AL29,0)</f>
        <v>0</v>
      </c>
      <c r="AH29" t="e">
        <f>ROUND($D14*'Allocators Calc'!#REF!,0)</f>
        <v>#REF!</v>
      </c>
      <c r="AI29" t="e">
        <f>ROUND($D14*'Allocators Calc'!#REF!,0)</f>
        <v>#REF!</v>
      </c>
      <c r="AJ29" t="e">
        <f>ROUND($D14*'Allocators Calc'!#REF!,0)</f>
        <v>#REF!</v>
      </c>
      <c r="AK29" t="e">
        <f>ROUND($D14*'Allocators Calc'!#REF!,0)</f>
        <v>#REF!</v>
      </c>
      <c r="AL29" t="e">
        <f>ROUND($D14*'Allocators Calc'!#REF!,0)</f>
        <v>#REF!</v>
      </c>
      <c r="AM29" s="13" t="e">
        <f>ROUND($D14*'Allocators Calc'!#REF!,0)</f>
        <v>#REF!</v>
      </c>
      <c r="AN29" t="e">
        <f>ROUND($D14*'Allocators Calc'!#REF!,0)</f>
        <v>#REF!</v>
      </c>
      <c r="AO29" t="e">
        <f>ROUND($D14*'Allocators Calc'!#REF!,0)</f>
        <v>#REF!</v>
      </c>
      <c r="AP29" t="e">
        <f>ROUND($D14*'Allocators Calc'!#REF!,0)</f>
        <v>#REF!</v>
      </c>
      <c r="AQ29" t="e">
        <f>ROUND($D14*'Allocators Calc'!#REF!,0)</f>
        <v>#REF!</v>
      </c>
      <c r="AR29" t="e">
        <f>ROUND($D14*'Allocators Calc'!#REF!,0)</f>
        <v>#REF!</v>
      </c>
      <c r="AS29" s="13" t="e">
        <f>ROUND($D14*'Allocators Calc'!#REF!,0)</f>
        <v>#REF!</v>
      </c>
      <c r="AT29">
        <f>ROUND($D14*'Allocators Calc'!AM29,0)</f>
        <v>736</v>
      </c>
      <c r="AU29">
        <f>ROUND($D14*'Allocators Calc'!AN29,0)</f>
        <v>1718</v>
      </c>
      <c r="AV29">
        <f>ROUND($D14*'Allocators Calc'!AO29,0)</f>
        <v>3681</v>
      </c>
      <c r="AW29">
        <f>ROUND($D14*'Allocators Calc'!AP29,0)</f>
        <v>1770718</v>
      </c>
      <c r="AX29">
        <f>ROUND($D14*'Allocators Calc'!AQ29,0)</f>
        <v>287366</v>
      </c>
      <c r="AY29" s="13">
        <f>ROUND($D14*'Allocators Calc'!AR29,0)</f>
        <v>135255</v>
      </c>
      <c r="AZ29">
        <f>ROUND($D14*'Allocators Calc'!AS29,0)</f>
        <v>3526</v>
      </c>
      <c r="BA29">
        <f>ROUND($D14*'Allocators Calc'!AT29,0)</f>
        <v>8062</v>
      </c>
      <c r="BB29">
        <f>ROUND($D14*'Allocators Calc'!AU29,0)</f>
        <v>16142</v>
      </c>
      <c r="BC29">
        <f>ROUND($D14*'Allocators Calc'!AV29,0)</f>
        <v>1814970</v>
      </c>
      <c r="BD29">
        <f>ROUND($D14*'Allocators Calc'!AW29,0)</f>
        <v>1663507</v>
      </c>
      <c r="BE29" s="13">
        <f>ROUND($D14*'Allocators Calc'!AX29,0)</f>
        <v>145972</v>
      </c>
      <c r="BF29" t="e">
        <f>ROUND($D14*'Allocators Calc'!#REF!,0)</f>
        <v>#REF!</v>
      </c>
      <c r="BG29" t="e">
        <f>ROUND($D14*'Allocators Calc'!#REF!,0)</f>
        <v>#REF!</v>
      </c>
      <c r="BH29" t="e">
        <f>ROUND($D14*'Allocators Calc'!#REF!,0)</f>
        <v>#REF!</v>
      </c>
      <c r="BI29" t="e">
        <f>ROUND($D14*'Allocators Calc'!#REF!,0)</f>
        <v>#REF!</v>
      </c>
      <c r="BJ29" t="e">
        <f>ROUND($D14*'Allocators Calc'!#REF!,0)</f>
        <v>#REF!</v>
      </c>
      <c r="BK29" s="13" t="e">
        <f>ROUND($D14*'Allocators Calc'!#REF!,0)</f>
        <v>#REF!</v>
      </c>
      <c r="BL29">
        <f>ROUND($D14*'Allocators Calc'!AY29,0)</f>
        <v>4920034</v>
      </c>
      <c r="BM29">
        <f>ROUND($D14*'Allocators Calc'!AZ29,0)</f>
        <v>9713881</v>
      </c>
      <c r="BN29">
        <f>ROUND($D14*'Allocators Calc'!BA29,0)</f>
        <v>14735481</v>
      </c>
      <c r="BO29">
        <f>ROUND($D14*'Allocators Calc'!BB29,0)</f>
        <v>92905188</v>
      </c>
      <c r="BP29">
        <f>ROUND($D14*'Allocators Calc'!BC29,0)</f>
        <v>51228237</v>
      </c>
      <c r="BQ29" s="13">
        <f>ROUND($D14*'Allocators Calc'!BD29,0)</f>
        <v>37538688</v>
      </c>
      <c r="BR29" t="e">
        <f>ROUND($D14*'Allocators Calc'!#REF!,0)</f>
        <v>#REF!</v>
      </c>
      <c r="BS29" t="e">
        <f>ROUND($D14*'Allocators Calc'!#REF!,0)</f>
        <v>#REF!</v>
      </c>
      <c r="BT29" t="e">
        <f>ROUND($D14*'Allocators Calc'!#REF!,0)</f>
        <v>#REF!</v>
      </c>
      <c r="BU29" t="e">
        <f>ROUND($D14*'Allocators Calc'!#REF!,0)</f>
        <v>#REF!</v>
      </c>
      <c r="BV29" t="e">
        <f>ROUND($D14*'Allocators Calc'!#REF!,0)</f>
        <v>#REF!</v>
      </c>
      <c r="BW29" s="13" t="e">
        <f>ROUND($D14*'Allocators Calc'!#REF!,0)</f>
        <v>#REF!</v>
      </c>
      <c r="BX29" t="e">
        <f>ROUND($D14*'Allocators Calc'!#REF!,0)</f>
        <v>#REF!</v>
      </c>
      <c r="BY29" t="e">
        <f>ROUND($D14*'Allocators Calc'!#REF!,0)</f>
        <v>#REF!</v>
      </c>
      <c r="BZ29" t="e">
        <f>ROUND($D14*'Allocators Calc'!#REF!,0)</f>
        <v>#REF!</v>
      </c>
      <c r="CA29" t="e">
        <f>ROUND($D14*'Allocators Calc'!#REF!,0)</f>
        <v>#REF!</v>
      </c>
      <c r="CB29" t="e">
        <f>ROUND($D14*'Allocators Calc'!#REF!,0)</f>
        <v>#REF!</v>
      </c>
      <c r="CC29" s="13" t="e">
        <f>ROUND($D14*'Allocators Calc'!#REF!,0)</f>
        <v>#REF!</v>
      </c>
      <c r="CD29">
        <f>ROUND($D14*'Allocators Calc'!BE29,0)</f>
        <v>65877</v>
      </c>
      <c r="CE29">
        <f>ROUND($D14*'Allocators Calc'!BF29,0)</f>
        <v>150819</v>
      </c>
      <c r="CF29">
        <f>ROUND($D14*'Allocators Calc'!BG29,0)</f>
        <v>315393</v>
      </c>
      <c r="CG29">
        <f>ROUND($D14*'Allocators Calc'!BH29,0)</f>
        <v>6453759</v>
      </c>
      <c r="CH29">
        <f>ROUND($D14*'Allocators Calc'!BI29,0)</f>
        <v>3655260</v>
      </c>
      <c r="CI29" s="13">
        <f>ROUND($D14*'Allocators Calc'!BJ29,0)</f>
        <v>3897350</v>
      </c>
      <c r="CJ29">
        <f>ROUND($D14*'Allocators Calc'!BK29,0)</f>
        <v>948</v>
      </c>
      <c r="CK29">
        <f>ROUND($D14*'Allocators Calc'!BL29,0)</f>
        <v>2211</v>
      </c>
      <c r="CL29">
        <f>ROUND($D14*'Allocators Calc'!BM29,0)</f>
        <v>4738</v>
      </c>
      <c r="CM29">
        <f>ROUND($D14*'Allocators Calc'!BN29,0)</f>
        <v>11486</v>
      </c>
      <c r="CN29">
        <f>ROUND($D14*'Allocators Calc'!BO29,0)</f>
        <v>0</v>
      </c>
      <c r="CO29" s="13">
        <f>ROUND($D14*'Allocators Calc'!BP29,0)</f>
        <v>0</v>
      </c>
      <c r="CP29" t="e">
        <f>ROUND($D14*'Allocators Calc'!#REF!,0)</f>
        <v>#REF!</v>
      </c>
      <c r="CQ29" t="e">
        <f>ROUND($D14*'Allocators Calc'!#REF!,0)</f>
        <v>#REF!</v>
      </c>
      <c r="CR29" t="e">
        <f>ROUND($D14*'Allocators Calc'!#REF!,0)</f>
        <v>#REF!</v>
      </c>
      <c r="CS29" t="e">
        <f>ROUND($D14*'Allocators Calc'!#REF!,0)</f>
        <v>#REF!</v>
      </c>
      <c r="CT29" t="e">
        <f>ROUND($D14*'Allocators Calc'!#REF!,0)</f>
        <v>#REF!</v>
      </c>
      <c r="CU29" t="e">
        <f>ROUND($D14*'Allocators Calc'!#REF!,0)</f>
        <v>#REF!</v>
      </c>
    </row>
    <row r="30" spans="1:129" x14ac:dyDescent="0.2">
      <c r="P30" s="11"/>
      <c r="Q30" s="11"/>
      <c r="R30" s="11"/>
      <c r="S30" s="11"/>
      <c r="T30" s="11"/>
      <c r="U30" s="14"/>
      <c r="V30" s="11"/>
      <c r="W30" s="11"/>
      <c r="X30" s="11"/>
      <c r="Y30" s="11"/>
      <c r="Z30" s="11"/>
      <c r="AA30" s="14"/>
      <c r="AB30" s="11"/>
      <c r="AC30" s="11"/>
      <c r="AD30" s="11"/>
      <c r="AE30" s="11"/>
      <c r="AF30" s="11"/>
      <c r="AG30" s="14"/>
      <c r="AH30" s="11"/>
      <c r="AI30" s="11"/>
      <c r="AJ30" s="11"/>
      <c r="AK30" s="11"/>
      <c r="AL30" s="11"/>
      <c r="AM30" s="14"/>
      <c r="AN30" s="11"/>
      <c r="AO30" s="11"/>
      <c r="AP30" s="11"/>
      <c r="AQ30" s="11"/>
      <c r="AR30" s="11"/>
      <c r="AS30" s="14"/>
      <c r="AT30" s="11"/>
      <c r="AU30" s="11"/>
      <c r="AV30" s="11"/>
      <c r="AW30" s="11"/>
      <c r="AX30" s="11"/>
      <c r="AY30" s="14"/>
      <c r="AZ30" s="11"/>
      <c r="BA30" s="11"/>
      <c r="BB30" s="11"/>
      <c r="BC30" s="11"/>
      <c r="BD30" s="11"/>
      <c r="BE30" s="14"/>
      <c r="BF30" s="11"/>
      <c r="BG30" s="11"/>
      <c r="BH30" s="11"/>
      <c r="BI30" s="11"/>
      <c r="BJ30" s="11"/>
      <c r="BK30" s="14"/>
      <c r="BL30" s="11"/>
      <c r="BM30" s="11"/>
      <c r="BN30" s="11"/>
      <c r="BO30" s="11"/>
      <c r="BP30" s="11"/>
      <c r="BQ30" s="14"/>
      <c r="BR30" s="11"/>
      <c r="BS30" s="11"/>
      <c r="BT30" s="11"/>
      <c r="BU30" s="11"/>
      <c r="BV30" s="11"/>
      <c r="BW30" s="14"/>
      <c r="BX30" s="11"/>
      <c r="BY30" s="11"/>
      <c r="BZ30" s="11"/>
      <c r="CA30" s="11"/>
      <c r="CB30" s="11"/>
      <c r="CC30" s="14"/>
      <c r="CD30" s="11"/>
      <c r="CE30" s="11"/>
      <c r="CF30" s="11"/>
      <c r="CG30" s="11"/>
      <c r="CH30" s="11"/>
      <c r="CI30" s="14"/>
      <c r="CJ30" s="11"/>
      <c r="CK30" s="11"/>
      <c r="CL30" s="11"/>
      <c r="CM30" s="11"/>
      <c r="CN30" s="11"/>
      <c r="CO30" s="14"/>
      <c r="CP30" s="11"/>
      <c r="CQ30" s="11"/>
      <c r="CR30" s="11"/>
      <c r="CS30" s="11"/>
      <c r="CT30" s="11"/>
      <c r="CU30" s="11"/>
    </row>
    <row r="31" spans="1:129" x14ac:dyDescent="0.2">
      <c r="P31" s="344" t="str">
        <f t="shared" ref="P31:CO32" si="24">P16</f>
        <v>LBA0</v>
      </c>
      <c r="Q31" s="344"/>
      <c r="R31" s="344"/>
      <c r="S31" s="344"/>
      <c r="T31" s="344"/>
      <c r="U31" s="345"/>
      <c r="V31" s="343" t="str">
        <f t="shared" si="24"/>
        <v>LBAM</v>
      </c>
      <c r="W31" s="344"/>
      <c r="X31" s="344"/>
      <c r="Y31" s="344"/>
      <c r="Z31" s="344"/>
      <c r="AA31" s="345"/>
      <c r="AB31" s="343" t="str">
        <f t="shared" si="24"/>
        <v>LBN0</v>
      </c>
      <c r="AC31" s="344"/>
      <c r="AD31" s="344"/>
      <c r="AE31" s="344"/>
      <c r="AF31" s="344"/>
      <c r="AG31" s="345"/>
      <c r="AH31" s="343" t="str">
        <f t="shared" si="24"/>
        <v>LCA0</v>
      </c>
      <c r="AI31" s="344"/>
      <c r="AJ31" s="344"/>
      <c r="AK31" s="344"/>
      <c r="AL31" s="344"/>
      <c r="AM31" s="345"/>
      <c r="AN31" s="343" t="str">
        <f t="shared" si="24"/>
        <v>LCN0</v>
      </c>
      <c r="AO31" s="344"/>
      <c r="AP31" s="344"/>
      <c r="AQ31" s="344"/>
      <c r="AR31" s="344"/>
      <c r="AS31" s="345"/>
      <c r="AT31" s="343" t="str">
        <f t="shared" si="24"/>
        <v>LDN0</v>
      </c>
      <c r="AU31" s="344"/>
      <c r="AV31" s="344"/>
      <c r="AW31" s="344"/>
      <c r="AX31" s="344"/>
      <c r="AY31" s="345"/>
      <c r="AZ31" s="343" t="str">
        <f t="shared" si="24"/>
        <v>LPN0</v>
      </c>
      <c r="BA31" s="344"/>
      <c r="BB31" s="344"/>
      <c r="BC31" s="344"/>
      <c r="BD31" s="344"/>
      <c r="BE31" s="345"/>
      <c r="BF31" s="343" t="str">
        <f t="shared" si="24"/>
        <v>LPA0</v>
      </c>
      <c r="BG31" s="344"/>
      <c r="BH31" s="344"/>
      <c r="BI31" s="344"/>
      <c r="BJ31" s="344"/>
      <c r="BK31" s="345"/>
      <c r="BL31" s="343" t="str">
        <f t="shared" si="24"/>
        <v>LSN0</v>
      </c>
      <c r="BM31" s="344"/>
      <c r="BN31" s="344"/>
      <c r="BO31" s="344"/>
      <c r="BP31" s="344"/>
      <c r="BQ31" s="345"/>
      <c r="BR31" s="343" t="str">
        <f t="shared" si="24"/>
        <v>LSS0</v>
      </c>
      <c r="BS31" s="344"/>
      <c r="BT31" s="344"/>
      <c r="BU31" s="344"/>
      <c r="BV31" s="344"/>
      <c r="BW31" s="345"/>
      <c r="BX31" s="343" t="str">
        <f t="shared" si="24"/>
        <v>LSN4</v>
      </c>
      <c r="BY31" s="344"/>
      <c r="BZ31" s="344"/>
      <c r="CA31" s="344"/>
      <c r="CB31" s="344"/>
      <c r="CC31" s="345"/>
      <c r="CD31" s="343" t="str">
        <f t="shared" si="24"/>
        <v>LSN2</v>
      </c>
      <c r="CE31" s="344"/>
      <c r="CF31" s="344"/>
      <c r="CG31" s="344"/>
      <c r="CH31" s="344"/>
      <c r="CI31" s="345"/>
      <c r="CJ31" s="343" t="str">
        <f t="shared" si="24"/>
        <v>LSN3 - Peak</v>
      </c>
      <c r="CK31" s="344"/>
      <c r="CL31" s="344"/>
      <c r="CM31" s="344"/>
      <c r="CN31" s="344"/>
      <c r="CO31" s="344"/>
      <c r="CP31" s="343" t="str">
        <f>CP16</f>
        <v>LSN3 - Off Peak</v>
      </c>
      <c r="CQ31" s="344"/>
      <c r="CR31" s="344"/>
      <c r="CS31" s="344"/>
      <c r="CT31" s="344"/>
      <c r="CU31" s="344"/>
    </row>
    <row r="32" spans="1:129" x14ac:dyDescent="0.2">
      <c r="P32" t="str">
        <f t="shared" si="24"/>
        <v>First 300 kWh</v>
      </c>
      <c r="Q32" t="str">
        <f t="shared" si="24"/>
        <v>Next 700 kWh</v>
      </c>
      <c r="R32" t="str">
        <f t="shared" si="24"/>
        <v>Next 1500 kWh</v>
      </c>
      <c r="S32" t="str">
        <f t="shared" si="24"/>
        <v>Over 2500 kWh</v>
      </c>
      <c r="T32" t="str">
        <f t="shared" si="24"/>
        <v>KWH_NEXT110</v>
      </c>
      <c r="U32" s="13" t="str">
        <f t="shared" si="24"/>
        <v>KWH_300+</v>
      </c>
      <c r="V32" t="str">
        <f t="shared" si="24"/>
        <v>First 300 kWh</v>
      </c>
      <c r="W32" t="str">
        <f t="shared" si="24"/>
        <v>Next 700 kWh</v>
      </c>
      <c r="X32" t="str">
        <f t="shared" si="24"/>
        <v>Next 1500 kWh</v>
      </c>
      <c r="Y32" t="str">
        <f t="shared" si="24"/>
        <v>Over 2500 kWh</v>
      </c>
      <c r="Z32" t="str">
        <f t="shared" si="24"/>
        <v>KWH_NEXT110</v>
      </c>
      <c r="AA32" s="13" t="str">
        <f t="shared" si="24"/>
        <v>KWH_300+</v>
      </c>
      <c r="AB32" t="str">
        <f t="shared" si="24"/>
        <v>First 300 kWh</v>
      </c>
      <c r="AC32" t="str">
        <f t="shared" si="24"/>
        <v>Next 700 kWh</v>
      </c>
      <c r="AD32" t="str">
        <f t="shared" si="24"/>
        <v>Next 1500 kWh</v>
      </c>
      <c r="AE32" t="str">
        <f t="shared" si="24"/>
        <v>Over 2500 kWh</v>
      </c>
      <c r="AF32" t="str">
        <f t="shared" si="24"/>
        <v>KWH_NEXT110</v>
      </c>
      <c r="AG32" s="13" t="str">
        <f t="shared" si="24"/>
        <v>KWH_300+</v>
      </c>
      <c r="AH32" t="str">
        <f t="shared" si="24"/>
        <v>First 300 kWh</v>
      </c>
      <c r="AI32" t="str">
        <f t="shared" si="24"/>
        <v>Next 700 kWh</v>
      </c>
      <c r="AJ32" t="str">
        <f t="shared" si="24"/>
        <v>Next 1500 kWh</v>
      </c>
      <c r="AK32" t="str">
        <f t="shared" si="24"/>
        <v>Over 2500 kWh</v>
      </c>
      <c r="AL32" t="str">
        <f t="shared" si="24"/>
        <v>KWH_NEXT110</v>
      </c>
      <c r="AM32" s="13" t="str">
        <f t="shared" si="24"/>
        <v>KWH_300+</v>
      </c>
      <c r="AN32" t="str">
        <f t="shared" si="24"/>
        <v>First 300 kWh</v>
      </c>
      <c r="AO32" t="str">
        <f t="shared" si="24"/>
        <v>Next 700 kWh</v>
      </c>
      <c r="AP32" t="str">
        <f t="shared" si="24"/>
        <v>Next 1500 kWh</v>
      </c>
      <c r="AQ32" t="str">
        <f t="shared" si="24"/>
        <v>Over 2500 kWh</v>
      </c>
      <c r="AR32" t="str">
        <f t="shared" si="24"/>
        <v>KWH_NEXT110</v>
      </c>
      <c r="AS32" s="13" t="str">
        <f t="shared" si="24"/>
        <v>KWH_300+</v>
      </c>
      <c r="AT32" t="str">
        <f t="shared" si="24"/>
        <v>First 300 kWh</v>
      </c>
      <c r="AU32" t="str">
        <f t="shared" si="24"/>
        <v>Next 700 kWh</v>
      </c>
      <c r="AV32" t="str">
        <f t="shared" si="24"/>
        <v>Next 1500 kWh</v>
      </c>
      <c r="AW32" t="str">
        <f t="shared" si="24"/>
        <v>Over 2500 kWh</v>
      </c>
      <c r="AX32" t="str">
        <f t="shared" si="24"/>
        <v>KWH_NEXT110</v>
      </c>
      <c r="AY32" s="13" t="str">
        <f t="shared" si="24"/>
        <v>KWH_300+</v>
      </c>
      <c r="AZ32" t="str">
        <f t="shared" si="24"/>
        <v>First 300 kWh</v>
      </c>
      <c r="BA32" t="str">
        <f t="shared" si="24"/>
        <v>Next 700 kWh</v>
      </c>
      <c r="BB32" t="str">
        <f t="shared" si="24"/>
        <v>Next 1500 kWh</v>
      </c>
      <c r="BC32" t="str">
        <f t="shared" si="24"/>
        <v>Over 2500 kWh</v>
      </c>
      <c r="BD32" t="str">
        <f t="shared" si="24"/>
        <v>KWH_NEXT110</v>
      </c>
      <c r="BE32" s="13" t="str">
        <f t="shared" si="24"/>
        <v>KWH_300+</v>
      </c>
      <c r="BF32" t="str">
        <f t="shared" si="24"/>
        <v>First 300 kWh</v>
      </c>
      <c r="BG32" t="str">
        <f t="shared" si="24"/>
        <v>Next 700 kWh</v>
      </c>
      <c r="BH32" t="str">
        <f t="shared" si="24"/>
        <v>Next 1500 kWh</v>
      </c>
      <c r="BI32" t="str">
        <f t="shared" si="24"/>
        <v>Over 2500 kWh</v>
      </c>
      <c r="BJ32" t="str">
        <f t="shared" si="24"/>
        <v>KWH_NEXT110</v>
      </c>
      <c r="BK32" s="13" t="str">
        <f t="shared" si="24"/>
        <v>KWH_300+</v>
      </c>
      <c r="BL32" t="str">
        <f t="shared" si="24"/>
        <v>First 300 kWh</v>
      </c>
      <c r="BM32" t="str">
        <f t="shared" si="24"/>
        <v>Next 700 kWh</v>
      </c>
      <c r="BN32" t="str">
        <f t="shared" si="24"/>
        <v>Next 1500 kWh</v>
      </c>
      <c r="BO32" t="str">
        <f t="shared" si="24"/>
        <v>Over 2500 kWh</v>
      </c>
      <c r="BP32" t="str">
        <f t="shared" si="24"/>
        <v>KWH_NEXT110</v>
      </c>
      <c r="BQ32" s="13" t="str">
        <f t="shared" si="24"/>
        <v>KWH_300+</v>
      </c>
      <c r="BR32" t="str">
        <f t="shared" si="24"/>
        <v>First 300 kWh</v>
      </c>
      <c r="BS32" t="str">
        <f t="shared" si="24"/>
        <v>Next 700 kWh</v>
      </c>
      <c r="BT32" t="str">
        <f t="shared" si="24"/>
        <v>Next 1500 kWh</v>
      </c>
      <c r="BU32" t="str">
        <f t="shared" si="24"/>
        <v>Over 2500 kWh</v>
      </c>
      <c r="BV32" t="str">
        <f t="shared" si="24"/>
        <v>KWH_NEXT110</v>
      </c>
      <c r="BW32" s="13" t="str">
        <f t="shared" si="24"/>
        <v>KWH_300+</v>
      </c>
      <c r="BX32" t="str">
        <f t="shared" si="24"/>
        <v>First 300 kWh</v>
      </c>
      <c r="BY32" t="str">
        <f t="shared" si="24"/>
        <v>Next 700 kWh</v>
      </c>
      <c r="BZ32" t="str">
        <f t="shared" si="24"/>
        <v>Next 1500 kWh</v>
      </c>
      <c r="CA32" t="str">
        <f t="shared" si="24"/>
        <v>Over 2500 kWh</v>
      </c>
      <c r="CB32" t="str">
        <f t="shared" si="24"/>
        <v>KWH_NEXT110</v>
      </c>
      <c r="CC32" s="13" t="str">
        <f t="shared" si="24"/>
        <v>KWH_300+</v>
      </c>
      <c r="CD32" t="str">
        <f t="shared" si="24"/>
        <v>First 300 kWh</v>
      </c>
      <c r="CE32" t="str">
        <f t="shared" si="24"/>
        <v>Next 700 kWh</v>
      </c>
      <c r="CF32" t="str">
        <f t="shared" si="24"/>
        <v>Next 1500 kWh</v>
      </c>
      <c r="CG32" t="str">
        <f t="shared" si="24"/>
        <v>Over 2500 kWh</v>
      </c>
      <c r="CH32" t="str">
        <f t="shared" si="24"/>
        <v>KWH_NEXT110</v>
      </c>
      <c r="CI32" s="13" t="str">
        <f t="shared" si="24"/>
        <v>KWH_300+</v>
      </c>
      <c r="CJ32" t="str">
        <f t="shared" si="24"/>
        <v>First 300 kWh</v>
      </c>
      <c r="CK32" t="str">
        <f t="shared" si="24"/>
        <v>Next 700 kWh</v>
      </c>
      <c r="CL32" t="str">
        <f t="shared" si="24"/>
        <v>Next 1500 kWh</v>
      </c>
      <c r="CM32" t="str">
        <f t="shared" si="24"/>
        <v>Over 2500 kWh</v>
      </c>
      <c r="CN32" t="str">
        <f t="shared" si="24"/>
        <v>KWH_NEXT110</v>
      </c>
      <c r="CO32" s="13" t="str">
        <f t="shared" si="24"/>
        <v>KWH_300+</v>
      </c>
      <c r="CP32" t="str">
        <f t="shared" ref="CP32:CU32" si="25">CP17</f>
        <v>First 300 kWh</v>
      </c>
      <c r="CQ32" t="str">
        <f t="shared" si="25"/>
        <v>Next 700 kWh</v>
      </c>
      <c r="CR32" t="str">
        <f t="shared" si="25"/>
        <v>Next 1500 kWh</v>
      </c>
      <c r="CS32" t="str">
        <f t="shared" si="25"/>
        <v>Over 2500 kWh</v>
      </c>
      <c r="CT32" t="str">
        <f t="shared" si="25"/>
        <v>KWH_NEXT110</v>
      </c>
      <c r="CU32" t="str">
        <f t="shared" si="25"/>
        <v>KWH_300+</v>
      </c>
    </row>
    <row r="33" spans="16:99" x14ac:dyDescent="0.2">
      <c r="P33" t="e">
        <f>ROUND($E3*'Allocators Calc'!#REF!,0)</f>
        <v>#REF!</v>
      </c>
      <c r="Q33" t="e">
        <f>ROUND($E3*'Allocators Calc'!#REF!,0)</f>
        <v>#REF!</v>
      </c>
      <c r="R33" t="e">
        <f>ROUND($E3*'Allocators Calc'!#REF!,0)</f>
        <v>#REF!</v>
      </c>
      <c r="S33" t="e">
        <f>ROUND($E3*'Allocators Calc'!#REF!,0)</f>
        <v>#REF!</v>
      </c>
      <c r="T33" t="e">
        <f>ROUND($E3*'Allocators Calc'!#REF!,0)</f>
        <v>#REF!</v>
      </c>
      <c r="U33" s="13" t="e">
        <f>ROUND($E3*'Allocators Calc'!#REF!,0)</f>
        <v>#REF!</v>
      </c>
      <c r="V33" t="e">
        <f>ROUND($E3*'Allocators Calc'!#REF!,0)</f>
        <v>#REF!</v>
      </c>
      <c r="W33" t="e">
        <f>ROUND($E3*'Allocators Calc'!#REF!,0)</f>
        <v>#REF!</v>
      </c>
      <c r="X33" t="e">
        <f>ROUND($E3*'Allocators Calc'!#REF!,0)</f>
        <v>#REF!</v>
      </c>
      <c r="Y33" t="e">
        <f>ROUND($E3*'Allocators Calc'!#REF!,0)</f>
        <v>#REF!</v>
      </c>
      <c r="Z33" t="e">
        <f>ROUND($E3*'Allocators Calc'!#REF!,0)</f>
        <v>#REF!</v>
      </c>
      <c r="AA33" s="13" t="e">
        <f>ROUND($E3*'Allocators Calc'!#REF!,0)</f>
        <v>#REF!</v>
      </c>
      <c r="AB33">
        <f>ROUND($E3*'Allocators Calc'!AG33,0)</f>
        <v>4227</v>
      </c>
      <c r="AC33">
        <f>ROUND($E3*'Allocators Calc'!AH33,0)</f>
        <v>9864</v>
      </c>
      <c r="AD33">
        <f>ROUND($E3*'Allocators Calc'!AI33,0)</f>
        <v>21136</v>
      </c>
      <c r="AE33">
        <f>ROUND($E3*'Allocators Calc'!AJ33,0)</f>
        <v>8757245</v>
      </c>
      <c r="AF33">
        <f>ROUND($E3*'Allocators Calc'!AK33,0)</f>
        <v>3559108</v>
      </c>
      <c r="AG33" s="13">
        <f>ROUND($E3*'Allocators Calc'!AL33,0)</f>
        <v>3632114</v>
      </c>
      <c r="AH33" t="e">
        <f>ROUND($E3*'Allocators Calc'!#REF!,0)</f>
        <v>#REF!</v>
      </c>
      <c r="AI33" t="e">
        <f>ROUND($E3*'Allocators Calc'!#REF!,0)</f>
        <v>#REF!</v>
      </c>
      <c r="AJ33" t="e">
        <f>ROUND($E3*'Allocators Calc'!#REF!,0)</f>
        <v>#REF!</v>
      </c>
      <c r="AK33" t="e">
        <f>ROUND($E3*'Allocators Calc'!#REF!,0)</f>
        <v>#REF!</v>
      </c>
      <c r="AL33" t="e">
        <f>ROUND($E3*'Allocators Calc'!#REF!,0)</f>
        <v>#REF!</v>
      </c>
      <c r="AM33" s="13" t="e">
        <f>ROUND($E3*'Allocators Calc'!#REF!,0)</f>
        <v>#REF!</v>
      </c>
      <c r="AN33" t="e">
        <f>ROUND($E3*'Allocators Calc'!#REF!,0)</f>
        <v>#REF!</v>
      </c>
      <c r="AO33" t="e">
        <f>ROUND($E3*'Allocators Calc'!#REF!,0)</f>
        <v>#REF!</v>
      </c>
      <c r="AP33" t="e">
        <f>ROUND($E3*'Allocators Calc'!#REF!,0)</f>
        <v>#REF!</v>
      </c>
      <c r="AQ33" t="e">
        <f>ROUND($E3*'Allocators Calc'!#REF!,0)</f>
        <v>#REF!</v>
      </c>
      <c r="AR33" t="e">
        <f>ROUND($E3*'Allocators Calc'!#REF!,0)</f>
        <v>#REF!</v>
      </c>
      <c r="AS33" s="13" t="e">
        <f>ROUND($E3*'Allocators Calc'!#REF!,0)</f>
        <v>#REF!</v>
      </c>
      <c r="AT33">
        <f>ROUND($E3*'Allocators Calc'!AM33,0)</f>
        <v>8368</v>
      </c>
      <c r="AU33">
        <f>ROUND($E3*'Allocators Calc'!AN33,0)</f>
        <v>19524</v>
      </c>
      <c r="AV33">
        <f>ROUND($E3*'Allocators Calc'!AO33,0)</f>
        <v>41838</v>
      </c>
      <c r="AW33">
        <f>ROUND($E3*'Allocators Calc'!AP33,0)</f>
        <v>20126900</v>
      </c>
      <c r="AX33">
        <f>ROUND($E3*'Allocators Calc'!AQ33,0)</f>
        <v>3266346</v>
      </c>
      <c r="AY33" s="13">
        <f>ROUND($E3*'Allocators Calc'!AR33,0)</f>
        <v>1537379</v>
      </c>
      <c r="AZ33">
        <f>ROUND($E3*'Allocators Calc'!AS33,0)</f>
        <v>51459</v>
      </c>
      <c r="BA33">
        <f>ROUND($E3*'Allocators Calc'!AT33,0)</f>
        <v>117650</v>
      </c>
      <c r="BB33">
        <f>ROUND($E3*'Allocators Calc'!AU33,0)</f>
        <v>235568</v>
      </c>
      <c r="BC33">
        <f>ROUND($E3*'Allocators Calc'!AV33,0)</f>
        <v>26486024</v>
      </c>
      <c r="BD33">
        <f>ROUND($E3*'Allocators Calc'!AW33,0)</f>
        <v>24275703</v>
      </c>
      <c r="BE33" s="13">
        <f>ROUND($E3*'Allocators Calc'!AX33,0)</f>
        <v>2130181</v>
      </c>
      <c r="BF33" t="e">
        <f>ROUND($E3*'Allocators Calc'!#REF!,0)</f>
        <v>#REF!</v>
      </c>
      <c r="BG33" t="e">
        <f>ROUND($E3*'Allocators Calc'!#REF!,0)</f>
        <v>#REF!</v>
      </c>
      <c r="BH33" t="e">
        <f>ROUND($E3*'Allocators Calc'!#REF!,0)</f>
        <v>#REF!</v>
      </c>
      <c r="BI33" t="e">
        <f>ROUND($E3*'Allocators Calc'!#REF!,0)</f>
        <v>#REF!</v>
      </c>
      <c r="BJ33" t="e">
        <f>ROUND($E3*'Allocators Calc'!#REF!,0)</f>
        <v>#REF!</v>
      </c>
      <c r="BK33" s="13" t="e">
        <f>ROUND($E3*'Allocators Calc'!#REF!,0)</f>
        <v>#REF!</v>
      </c>
      <c r="BL33">
        <f>ROUND($E3*'Allocators Calc'!AY33,0)</f>
        <v>2261282</v>
      </c>
      <c r="BM33">
        <f>ROUND($E3*'Allocators Calc'!AZ33,0)</f>
        <v>4464567</v>
      </c>
      <c r="BN33">
        <f>ROUND($E3*'Allocators Calc'!BA33,0)</f>
        <v>6772529</v>
      </c>
      <c r="BO33">
        <f>ROUND($E3*'Allocators Calc'!BB33,0)</f>
        <v>42699865</v>
      </c>
      <c r="BP33">
        <f>ROUND($E3*'Allocators Calc'!BC33,0)</f>
        <v>23544851</v>
      </c>
      <c r="BQ33" s="13">
        <f>ROUND($E3*'Allocators Calc'!BD33,0)</f>
        <v>17253040</v>
      </c>
      <c r="BR33" t="e">
        <f>ROUND($E3*'Allocators Calc'!#REF!,0)</f>
        <v>#REF!</v>
      </c>
      <c r="BS33" t="e">
        <f>ROUND($E3*'Allocators Calc'!#REF!,0)</f>
        <v>#REF!</v>
      </c>
      <c r="BT33" t="e">
        <f>ROUND($E3*'Allocators Calc'!#REF!,0)</f>
        <v>#REF!</v>
      </c>
      <c r="BU33" t="e">
        <f>ROUND($E3*'Allocators Calc'!#REF!,0)</f>
        <v>#REF!</v>
      </c>
      <c r="BV33" t="e">
        <f>ROUND($E3*'Allocators Calc'!#REF!,0)</f>
        <v>#REF!</v>
      </c>
      <c r="BW33" s="13" t="e">
        <f>ROUND($E3*'Allocators Calc'!#REF!,0)</f>
        <v>#REF!</v>
      </c>
      <c r="BX33" t="e">
        <f>ROUND($E3*'Allocators Calc'!#REF!,0)</f>
        <v>#REF!</v>
      </c>
      <c r="BY33" t="e">
        <f>ROUND($E3*'Allocators Calc'!#REF!,0)</f>
        <v>#REF!</v>
      </c>
      <c r="BZ33" t="e">
        <f>ROUND($E3*'Allocators Calc'!#REF!,0)</f>
        <v>#REF!</v>
      </c>
      <c r="CA33" t="e">
        <f>ROUND($E3*'Allocators Calc'!#REF!,0)</f>
        <v>#REF!</v>
      </c>
      <c r="CB33" t="e">
        <f>ROUND($E3*'Allocators Calc'!#REF!,0)</f>
        <v>#REF!</v>
      </c>
      <c r="CC33" s="13" t="e">
        <f>ROUND($E3*'Allocators Calc'!#REF!,0)</f>
        <v>#REF!</v>
      </c>
      <c r="CD33">
        <f>ROUND($E3*'Allocators Calc'!BE33,0)</f>
        <v>0</v>
      </c>
      <c r="CE33">
        <f>ROUND($E3*'Allocators Calc'!BF33,0)</f>
        <v>0</v>
      </c>
      <c r="CF33">
        <f>ROUND($E3*'Allocators Calc'!BG33,0)</f>
        <v>0</v>
      </c>
      <c r="CG33">
        <f>ROUND($E3*'Allocators Calc'!BH33,0)</f>
        <v>0</v>
      </c>
      <c r="CH33">
        <f>ROUND($E3*'Allocators Calc'!BI33,0)</f>
        <v>0</v>
      </c>
      <c r="CI33" s="13">
        <f>ROUND($E3*'Allocators Calc'!BJ33,0)</f>
        <v>0</v>
      </c>
      <c r="CJ33">
        <f>ROUND($E3*'Allocators Calc'!BK33,0)</f>
        <v>0</v>
      </c>
      <c r="CK33">
        <f>ROUND($E3*'Allocators Calc'!BL33,0)</f>
        <v>0</v>
      </c>
      <c r="CL33">
        <f>ROUND($E3*'Allocators Calc'!BM33,0)</f>
        <v>0</v>
      </c>
      <c r="CM33">
        <f>ROUND($E3*'Allocators Calc'!BN33,0)</f>
        <v>0</v>
      </c>
      <c r="CN33">
        <f>ROUND($E3*'Allocators Calc'!BO33,0)</f>
        <v>0</v>
      </c>
      <c r="CO33" s="13">
        <f>ROUND($E3*'Allocators Calc'!BP33,0)</f>
        <v>0</v>
      </c>
      <c r="CP33" t="e">
        <f>ROUND($E3*'Allocators Calc'!#REF!,0)</f>
        <v>#REF!</v>
      </c>
      <c r="CQ33" t="e">
        <f>ROUND($E3*'Allocators Calc'!#REF!,0)</f>
        <v>#REF!</v>
      </c>
      <c r="CR33" t="e">
        <f>ROUND($E3*'Allocators Calc'!#REF!,0)</f>
        <v>#REF!</v>
      </c>
      <c r="CS33" t="e">
        <f>ROUND($E3*'Allocators Calc'!#REF!,0)</f>
        <v>#REF!</v>
      </c>
      <c r="CT33" t="e">
        <f>ROUND($E3*'Allocators Calc'!#REF!,0)</f>
        <v>#REF!</v>
      </c>
      <c r="CU33" t="e">
        <f>ROUND($E3*'Allocators Calc'!#REF!,0)</f>
        <v>#REF!</v>
      </c>
    </row>
    <row r="34" spans="16:99" x14ac:dyDescent="0.2">
      <c r="P34" t="e">
        <f>ROUND($E4*'Allocators Calc'!#REF!,0)</f>
        <v>#REF!</v>
      </c>
      <c r="Q34" t="e">
        <f>ROUND($E4*'Allocators Calc'!#REF!,0)</f>
        <v>#REF!</v>
      </c>
      <c r="R34" t="e">
        <f>ROUND($E4*'Allocators Calc'!#REF!,0)</f>
        <v>#REF!</v>
      </c>
      <c r="S34" t="e">
        <f>ROUND($E4*'Allocators Calc'!#REF!,0)</f>
        <v>#REF!</v>
      </c>
      <c r="T34" t="e">
        <f>ROUND($E4*'Allocators Calc'!#REF!,0)</f>
        <v>#REF!</v>
      </c>
      <c r="U34" s="13" t="e">
        <f>ROUND($E4*'Allocators Calc'!#REF!,0)</f>
        <v>#REF!</v>
      </c>
      <c r="V34" t="e">
        <f>ROUND($E4*'Allocators Calc'!#REF!,0)</f>
        <v>#REF!</v>
      </c>
      <c r="W34" t="e">
        <f>ROUND($E4*'Allocators Calc'!#REF!,0)</f>
        <v>#REF!</v>
      </c>
      <c r="X34" t="e">
        <f>ROUND($E4*'Allocators Calc'!#REF!,0)</f>
        <v>#REF!</v>
      </c>
      <c r="Y34" t="e">
        <f>ROUND($E4*'Allocators Calc'!#REF!,0)</f>
        <v>#REF!</v>
      </c>
      <c r="Z34" t="e">
        <f>ROUND($E4*'Allocators Calc'!#REF!,0)</f>
        <v>#REF!</v>
      </c>
      <c r="AA34" s="13" t="e">
        <f>ROUND($E4*'Allocators Calc'!#REF!,0)</f>
        <v>#REF!</v>
      </c>
      <c r="AB34">
        <f>ROUND($E4*'Allocators Calc'!AG34,0)</f>
        <v>2103</v>
      </c>
      <c r="AC34">
        <f>ROUND($E4*'Allocators Calc'!AH34,0)</f>
        <v>4908</v>
      </c>
      <c r="AD34">
        <f>ROUND($E4*'Allocators Calc'!AI34,0)</f>
        <v>10517</v>
      </c>
      <c r="AE34">
        <f>ROUND($E4*'Allocators Calc'!AJ34,0)</f>
        <v>8290132</v>
      </c>
      <c r="AF34">
        <f>ROUND($E4*'Allocators Calc'!AK34,0)</f>
        <v>3369264</v>
      </c>
      <c r="AG34" s="13">
        <f>ROUND($E4*'Allocators Calc'!AL34,0)</f>
        <v>4230169</v>
      </c>
      <c r="AH34" t="e">
        <f>ROUND($E4*'Allocators Calc'!#REF!,0)</f>
        <v>#REF!</v>
      </c>
      <c r="AI34" t="e">
        <f>ROUND($E4*'Allocators Calc'!#REF!,0)</f>
        <v>#REF!</v>
      </c>
      <c r="AJ34" t="e">
        <f>ROUND($E4*'Allocators Calc'!#REF!,0)</f>
        <v>#REF!</v>
      </c>
      <c r="AK34" t="e">
        <f>ROUND($E4*'Allocators Calc'!#REF!,0)</f>
        <v>#REF!</v>
      </c>
      <c r="AL34" t="e">
        <f>ROUND($E4*'Allocators Calc'!#REF!,0)</f>
        <v>#REF!</v>
      </c>
      <c r="AM34" s="13" t="e">
        <f>ROUND($E4*'Allocators Calc'!#REF!,0)</f>
        <v>#REF!</v>
      </c>
      <c r="AN34" t="e">
        <f>ROUND($E4*'Allocators Calc'!#REF!,0)</f>
        <v>#REF!</v>
      </c>
      <c r="AO34" t="e">
        <f>ROUND($E4*'Allocators Calc'!#REF!,0)</f>
        <v>#REF!</v>
      </c>
      <c r="AP34" t="e">
        <f>ROUND($E4*'Allocators Calc'!#REF!,0)</f>
        <v>#REF!</v>
      </c>
      <c r="AQ34" t="e">
        <f>ROUND($E4*'Allocators Calc'!#REF!,0)</f>
        <v>#REF!</v>
      </c>
      <c r="AR34" t="e">
        <f>ROUND($E4*'Allocators Calc'!#REF!,0)</f>
        <v>#REF!</v>
      </c>
      <c r="AS34" s="13" t="e">
        <f>ROUND($E4*'Allocators Calc'!#REF!,0)</f>
        <v>#REF!</v>
      </c>
      <c r="AT34">
        <f>ROUND($E4*'Allocators Calc'!AM34,0)</f>
        <v>9312</v>
      </c>
      <c r="AU34">
        <f>ROUND($E4*'Allocators Calc'!AN34,0)</f>
        <v>21729</v>
      </c>
      <c r="AV34">
        <f>ROUND($E4*'Allocators Calc'!AO34,0)</f>
        <v>46561</v>
      </c>
      <c r="AW34">
        <f>ROUND($E4*'Allocators Calc'!AP34,0)</f>
        <v>22399028</v>
      </c>
      <c r="AX34">
        <f>ROUND($E4*'Allocators Calc'!AQ34,0)</f>
        <v>3635084</v>
      </c>
      <c r="AY34" s="13">
        <f>ROUND($E4*'Allocators Calc'!AR34,0)</f>
        <v>1710934</v>
      </c>
      <c r="AZ34">
        <f>ROUND($E4*'Allocators Calc'!AS34,0)</f>
        <v>53856</v>
      </c>
      <c r="BA34">
        <f>ROUND($E4*'Allocators Calc'!AT34,0)</f>
        <v>123130</v>
      </c>
      <c r="BB34">
        <f>ROUND($E4*'Allocators Calc'!AU34,0)</f>
        <v>246540</v>
      </c>
      <c r="BC34">
        <f>ROUND($E4*'Allocators Calc'!AV34,0)</f>
        <v>27719721</v>
      </c>
      <c r="BD34">
        <f>ROUND($E4*'Allocators Calc'!AW34,0)</f>
        <v>25406445</v>
      </c>
      <c r="BE34" s="13">
        <f>ROUND($E4*'Allocators Calc'!AX34,0)</f>
        <v>2229403</v>
      </c>
      <c r="BF34" t="e">
        <f>ROUND($E4*'Allocators Calc'!#REF!,0)</f>
        <v>#REF!</v>
      </c>
      <c r="BG34" t="e">
        <f>ROUND($E4*'Allocators Calc'!#REF!,0)</f>
        <v>#REF!</v>
      </c>
      <c r="BH34" t="e">
        <f>ROUND($E4*'Allocators Calc'!#REF!,0)</f>
        <v>#REF!</v>
      </c>
      <c r="BI34" t="e">
        <f>ROUND($E4*'Allocators Calc'!#REF!,0)</f>
        <v>#REF!</v>
      </c>
      <c r="BJ34" t="e">
        <f>ROUND($E4*'Allocators Calc'!#REF!,0)</f>
        <v>#REF!</v>
      </c>
      <c r="BK34" s="13" t="e">
        <f>ROUND($E4*'Allocators Calc'!#REF!,0)</f>
        <v>#REF!</v>
      </c>
      <c r="BL34">
        <f>ROUND($E4*'Allocators Calc'!AY34,0)</f>
        <v>2311170</v>
      </c>
      <c r="BM34">
        <f>ROUND($E4*'Allocators Calc'!AZ34,0)</f>
        <v>4563063</v>
      </c>
      <c r="BN34">
        <f>ROUND($E4*'Allocators Calc'!BA34,0)</f>
        <v>6921943</v>
      </c>
      <c r="BO34">
        <f>ROUND($E4*'Allocators Calc'!BB34,0)</f>
        <v>43641901</v>
      </c>
      <c r="BP34">
        <f>ROUND($E4*'Allocators Calc'!BC34,0)</f>
        <v>24064293</v>
      </c>
      <c r="BQ34" s="13">
        <f>ROUND($E4*'Allocators Calc'!BD34,0)</f>
        <v>17633673</v>
      </c>
      <c r="BR34" t="e">
        <f>ROUND($E4*'Allocators Calc'!#REF!,0)</f>
        <v>#REF!</v>
      </c>
      <c r="BS34" t="e">
        <f>ROUND($E4*'Allocators Calc'!#REF!,0)</f>
        <v>#REF!</v>
      </c>
      <c r="BT34" t="e">
        <f>ROUND($E4*'Allocators Calc'!#REF!,0)</f>
        <v>#REF!</v>
      </c>
      <c r="BU34" t="e">
        <f>ROUND($E4*'Allocators Calc'!#REF!,0)</f>
        <v>#REF!</v>
      </c>
      <c r="BV34" t="e">
        <f>ROUND($E4*'Allocators Calc'!#REF!,0)</f>
        <v>#REF!</v>
      </c>
      <c r="BW34" s="13" t="e">
        <f>ROUND($E4*'Allocators Calc'!#REF!,0)</f>
        <v>#REF!</v>
      </c>
      <c r="BX34" t="e">
        <f>ROUND($E4*'Allocators Calc'!#REF!,0)</f>
        <v>#REF!</v>
      </c>
      <c r="BY34" t="e">
        <f>ROUND($E4*'Allocators Calc'!#REF!,0)</f>
        <v>#REF!</v>
      </c>
      <c r="BZ34" t="e">
        <f>ROUND($E4*'Allocators Calc'!#REF!,0)</f>
        <v>#REF!</v>
      </c>
      <c r="CA34" t="e">
        <f>ROUND($E4*'Allocators Calc'!#REF!,0)</f>
        <v>#REF!</v>
      </c>
      <c r="CB34" t="e">
        <f>ROUND($E4*'Allocators Calc'!#REF!,0)</f>
        <v>#REF!</v>
      </c>
      <c r="CC34" s="13" t="e">
        <f>ROUND($E4*'Allocators Calc'!#REF!,0)</f>
        <v>#REF!</v>
      </c>
      <c r="CD34">
        <f>ROUND($E4*'Allocators Calc'!BE34,0)</f>
        <v>0</v>
      </c>
      <c r="CE34">
        <f>ROUND($E4*'Allocators Calc'!BF34,0)</f>
        <v>0</v>
      </c>
      <c r="CF34">
        <f>ROUND($E4*'Allocators Calc'!BG34,0)</f>
        <v>0</v>
      </c>
      <c r="CG34">
        <f>ROUND($E4*'Allocators Calc'!BH34,0)</f>
        <v>0</v>
      </c>
      <c r="CH34">
        <f>ROUND($E4*'Allocators Calc'!BI34,0)</f>
        <v>0</v>
      </c>
      <c r="CI34" s="13">
        <f>ROUND($E4*'Allocators Calc'!BJ34,0)</f>
        <v>0</v>
      </c>
      <c r="CJ34">
        <f>ROUND($E4*'Allocators Calc'!BK34,0)</f>
        <v>0</v>
      </c>
      <c r="CK34">
        <f>ROUND($E4*'Allocators Calc'!BL34,0)</f>
        <v>0</v>
      </c>
      <c r="CL34">
        <f>ROUND($E4*'Allocators Calc'!BM34,0)</f>
        <v>0</v>
      </c>
      <c r="CM34">
        <f>ROUND($E4*'Allocators Calc'!BN34,0)</f>
        <v>0</v>
      </c>
      <c r="CN34">
        <f>ROUND($E4*'Allocators Calc'!BO34,0)</f>
        <v>0</v>
      </c>
      <c r="CO34" s="13">
        <f>ROUND($E4*'Allocators Calc'!BP34,0)</f>
        <v>0</v>
      </c>
      <c r="CP34" t="e">
        <f>ROUND($E4*'Allocators Calc'!#REF!,0)</f>
        <v>#REF!</v>
      </c>
      <c r="CQ34" t="e">
        <f>ROUND($E4*'Allocators Calc'!#REF!,0)</f>
        <v>#REF!</v>
      </c>
      <c r="CR34" t="e">
        <f>ROUND($E4*'Allocators Calc'!#REF!,0)</f>
        <v>#REF!</v>
      </c>
      <c r="CS34" t="e">
        <f>ROUND($E4*'Allocators Calc'!#REF!,0)</f>
        <v>#REF!</v>
      </c>
      <c r="CT34" t="e">
        <f>ROUND($E4*'Allocators Calc'!#REF!,0)</f>
        <v>#REF!</v>
      </c>
      <c r="CU34" t="e">
        <f>ROUND($E4*'Allocators Calc'!#REF!,0)</f>
        <v>#REF!</v>
      </c>
    </row>
    <row r="35" spans="16:99" x14ac:dyDescent="0.2">
      <c r="P35" t="e">
        <f>ROUND($E5*'Allocators Calc'!#REF!,0)</f>
        <v>#REF!</v>
      </c>
      <c r="Q35" t="e">
        <f>ROUND($E5*'Allocators Calc'!#REF!,0)</f>
        <v>#REF!</v>
      </c>
      <c r="R35" t="e">
        <f>ROUND($E5*'Allocators Calc'!#REF!,0)</f>
        <v>#REF!</v>
      </c>
      <c r="S35" t="e">
        <f>ROUND($E5*'Allocators Calc'!#REF!,0)</f>
        <v>#REF!</v>
      </c>
      <c r="T35" t="e">
        <f>ROUND($E5*'Allocators Calc'!#REF!,0)</f>
        <v>#REF!</v>
      </c>
      <c r="U35" s="13" t="e">
        <f>ROUND($E5*'Allocators Calc'!#REF!,0)</f>
        <v>#REF!</v>
      </c>
      <c r="V35" t="e">
        <f>ROUND($E5*'Allocators Calc'!#REF!,0)</f>
        <v>#REF!</v>
      </c>
      <c r="W35" t="e">
        <f>ROUND($E5*'Allocators Calc'!#REF!,0)</f>
        <v>#REF!</v>
      </c>
      <c r="X35" t="e">
        <f>ROUND($E5*'Allocators Calc'!#REF!,0)</f>
        <v>#REF!</v>
      </c>
      <c r="Y35" t="e">
        <f>ROUND($E5*'Allocators Calc'!#REF!,0)</f>
        <v>#REF!</v>
      </c>
      <c r="Z35" t="e">
        <f>ROUND($E5*'Allocators Calc'!#REF!,0)</f>
        <v>#REF!</v>
      </c>
      <c r="AA35" s="13" t="e">
        <f>ROUND($E5*'Allocators Calc'!#REF!,0)</f>
        <v>#REF!</v>
      </c>
      <c r="AB35">
        <f>ROUND($E5*'Allocators Calc'!AG35,0)</f>
        <v>5451</v>
      </c>
      <c r="AC35">
        <f>ROUND($E5*'Allocators Calc'!AH35,0)</f>
        <v>12718</v>
      </c>
      <c r="AD35">
        <f>ROUND($E5*'Allocators Calc'!AI35,0)</f>
        <v>27254</v>
      </c>
      <c r="AE35">
        <f>ROUND($E5*'Allocators Calc'!AJ35,0)</f>
        <v>7834871</v>
      </c>
      <c r="AF35">
        <f>ROUND($E5*'Allocators Calc'!AK35,0)</f>
        <v>3184238</v>
      </c>
      <c r="AG35" s="13">
        <f>ROUND($E5*'Allocators Calc'!AL35,0)</f>
        <v>3235648</v>
      </c>
      <c r="AH35" t="e">
        <f>ROUND($E5*'Allocators Calc'!#REF!,0)</f>
        <v>#REF!</v>
      </c>
      <c r="AI35" t="e">
        <f>ROUND($E5*'Allocators Calc'!#REF!,0)</f>
        <v>#REF!</v>
      </c>
      <c r="AJ35" t="e">
        <f>ROUND($E5*'Allocators Calc'!#REF!,0)</f>
        <v>#REF!</v>
      </c>
      <c r="AK35" t="e">
        <f>ROUND($E5*'Allocators Calc'!#REF!,0)</f>
        <v>#REF!</v>
      </c>
      <c r="AL35" t="e">
        <f>ROUND($E5*'Allocators Calc'!#REF!,0)</f>
        <v>#REF!</v>
      </c>
      <c r="AM35" s="13" t="e">
        <f>ROUND($E5*'Allocators Calc'!#REF!,0)</f>
        <v>#REF!</v>
      </c>
      <c r="AN35" t="e">
        <f>ROUND($E5*'Allocators Calc'!#REF!,0)</f>
        <v>#REF!</v>
      </c>
      <c r="AO35" t="e">
        <f>ROUND($E5*'Allocators Calc'!#REF!,0)</f>
        <v>#REF!</v>
      </c>
      <c r="AP35" t="e">
        <f>ROUND($E5*'Allocators Calc'!#REF!,0)</f>
        <v>#REF!</v>
      </c>
      <c r="AQ35" t="e">
        <f>ROUND($E5*'Allocators Calc'!#REF!,0)</f>
        <v>#REF!</v>
      </c>
      <c r="AR35" t="e">
        <f>ROUND($E5*'Allocators Calc'!#REF!,0)</f>
        <v>#REF!</v>
      </c>
      <c r="AS35" s="13" t="e">
        <f>ROUND($E5*'Allocators Calc'!#REF!,0)</f>
        <v>#REF!</v>
      </c>
      <c r="AT35">
        <f>ROUND($E5*'Allocators Calc'!AM35,0)</f>
        <v>9395</v>
      </c>
      <c r="AU35">
        <f>ROUND($E5*'Allocators Calc'!AN35,0)</f>
        <v>21922</v>
      </c>
      <c r="AV35">
        <f>ROUND($E5*'Allocators Calc'!AO35,0)</f>
        <v>46976</v>
      </c>
      <c r="AW35">
        <f>ROUND($E5*'Allocators Calc'!AP35,0)</f>
        <v>22598722</v>
      </c>
      <c r="AX35">
        <f>ROUND($E5*'Allocators Calc'!AQ35,0)</f>
        <v>3667492</v>
      </c>
      <c r="AY35" s="13">
        <f>ROUND($E5*'Allocators Calc'!AR35,0)</f>
        <v>1726187</v>
      </c>
      <c r="AZ35">
        <f>ROUND($E5*'Allocators Calc'!AS35,0)</f>
        <v>55568</v>
      </c>
      <c r="BA35">
        <f>ROUND($E5*'Allocators Calc'!AT35,0)</f>
        <v>127045</v>
      </c>
      <c r="BB35">
        <f>ROUND($E5*'Allocators Calc'!AU35,0)</f>
        <v>254380</v>
      </c>
      <c r="BC35">
        <f>ROUND($E5*'Allocators Calc'!AV35,0)</f>
        <v>28601200</v>
      </c>
      <c r="BD35">
        <f>ROUND($E5*'Allocators Calc'!AW35,0)</f>
        <v>26214363</v>
      </c>
      <c r="BE35" s="13">
        <f>ROUND($E5*'Allocators Calc'!AX35,0)</f>
        <v>2300297</v>
      </c>
      <c r="BF35" t="e">
        <f>ROUND($E5*'Allocators Calc'!#REF!,0)</f>
        <v>#REF!</v>
      </c>
      <c r="BG35" t="e">
        <f>ROUND($E5*'Allocators Calc'!#REF!,0)</f>
        <v>#REF!</v>
      </c>
      <c r="BH35" t="e">
        <f>ROUND($E5*'Allocators Calc'!#REF!,0)</f>
        <v>#REF!</v>
      </c>
      <c r="BI35" t="e">
        <f>ROUND($E5*'Allocators Calc'!#REF!,0)</f>
        <v>#REF!</v>
      </c>
      <c r="BJ35" t="e">
        <f>ROUND($E5*'Allocators Calc'!#REF!,0)</f>
        <v>#REF!</v>
      </c>
      <c r="BK35" s="13" t="e">
        <f>ROUND($E5*'Allocators Calc'!#REF!,0)</f>
        <v>#REF!</v>
      </c>
      <c r="BL35">
        <f>ROUND($E5*'Allocators Calc'!AY35,0)</f>
        <v>2286306</v>
      </c>
      <c r="BM35">
        <f>ROUND($E5*'Allocators Calc'!AZ35,0)</f>
        <v>4513973</v>
      </c>
      <c r="BN35">
        <f>ROUND($E5*'Allocators Calc'!BA35,0)</f>
        <v>6847475</v>
      </c>
      <c r="BO35">
        <f>ROUND($E5*'Allocators Calc'!BB35,0)</f>
        <v>43172393</v>
      </c>
      <c r="BP35">
        <f>ROUND($E5*'Allocators Calc'!BC35,0)</f>
        <v>23805405</v>
      </c>
      <c r="BQ35" s="13">
        <f>ROUND($E5*'Allocators Calc'!BD35,0)</f>
        <v>17443967</v>
      </c>
      <c r="BR35" t="e">
        <f>ROUND($E5*'Allocators Calc'!#REF!,0)</f>
        <v>#REF!</v>
      </c>
      <c r="BS35" t="e">
        <f>ROUND($E5*'Allocators Calc'!#REF!,0)</f>
        <v>#REF!</v>
      </c>
      <c r="BT35" t="e">
        <f>ROUND($E5*'Allocators Calc'!#REF!,0)</f>
        <v>#REF!</v>
      </c>
      <c r="BU35" t="e">
        <f>ROUND($E5*'Allocators Calc'!#REF!,0)</f>
        <v>#REF!</v>
      </c>
      <c r="BV35" t="e">
        <f>ROUND($E5*'Allocators Calc'!#REF!,0)</f>
        <v>#REF!</v>
      </c>
      <c r="BW35" s="13" t="e">
        <f>ROUND($E5*'Allocators Calc'!#REF!,0)</f>
        <v>#REF!</v>
      </c>
      <c r="BX35" t="e">
        <f>ROUND($E5*'Allocators Calc'!#REF!,0)</f>
        <v>#REF!</v>
      </c>
      <c r="BY35" t="e">
        <f>ROUND($E5*'Allocators Calc'!#REF!,0)</f>
        <v>#REF!</v>
      </c>
      <c r="BZ35" t="e">
        <f>ROUND($E5*'Allocators Calc'!#REF!,0)</f>
        <v>#REF!</v>
      </c>
      <c r="CA35" t="e">
        <f>ROUND($E5*'Allocators Calc'!#REF!,0)</f>
        <v>#REF!</v>
      </c>
      <c r="CB35" t="e">
        <f>ROUND($E5*'Allocators Calc'!#REF!,0)</f>
        <v>#REF!</v>
      </c>
      <c r="CC35" s="13" t="e">
        <f>ROUND($E5*'Allocators Calc'!#REF!,0)</f>
        <v>#REF!</v>
      </c>
      <c r="CD35">
        <f>ROUND($E5*'Allocators Calc'!BE35,0)</f>
        <v>0</v>
      </c>
      <c r="CE35">
        <f>ROUND($E5*'Allocators Calc'!BF35,0)</f>
        <v>0</v>
      </c>
      <c r="CF35">
        <f>ROUND($E5*'Allocators Calc'!BG35,0)</f>
        <v>0</v>
      </c>
      <c r="CG35">
        <f>ROUND($E5*'Allocators Calc'!BH35,0)</f>
        <v>0</v>
      </c>
      <c r="CH35">
        <f>ROUND($E5*'Allocators Calc'!BI35,0)</f>
        <v>0</v>
      </c>
      <c r="CI35" s="13">
        <f>ROUND($E5*'Allocators Calc'!BJ35,0)</f>
        <v>0</v>
      </c>
      <c r="CJ35">
        <f>ROUND($E5*'Allocators Calc'!BK35,0)</f>
        <v>0</v>
      </c>
      <c r="CK35">
        <f>ROUND($E5*'Allocators Calc'!BL35,0)</f>
        <v>0</v>
      </c>
      <c r="CL35">
        <f>ROUND($E5*'Allocators Calc'!BM35,0)</f>
        <v>0</v>
      </c>
      <c r="CM35">
        <f>ROUND($E5*'Allocators Calc'!BN35,0)</f>
        <v>0</v>
      </c>
      <c r="CN35">
        <f>ROUND($E5*'Allocators Calc'!BO35,0)</f>
        <v>0</v>
      </c>
      <c r="CO35" s="13">
        <f>ROUND($E5*'Allocators Calc'!BP35,0)</f>
        <v>0</v>
      </c>
      <c r="CP35" t="e">
        <f>ROUND($E5*'Allocators Calc'!#REF!,0)</f>
        <v>#REF!</v>
      </c>
      <c r="CQ35" t="e">
        <f>ROUND($E5*'Allocators Calc'!#REF!,0)</f>
        <v>#REF!</v>
      </c>
      <c r="CR35" t="e">
        <f>ROUND($E5*'Allocators Calc'!#REF!,0)</f>
        <v>#REF!</v>
      </c>
      <c r="CS35" t="e">
        <f>ROUND($E5*'Allocators Calc'!#REF!,0)</f>
        <v>#REF!</v>
      </c>
      <c r="CT35" t="e">
        <f>ROUND($E5*'Allocators Calc'!#REF!,0)</f>
        <v>#REF!</v>
      </c>
      <c r="CU35" t="e">
        <f>ROUND($E5*'Allocators Calc'!#REF!,0)</f>
        <v>#REF!</v>
      </c>
    </row>
    <row r="36" spans="16:99" x14ac:dyDescent="0.2">
      <c r="P36" t="e">
        <f>ROUND($E6*'Allocators Calc'!#REF!,0)</f>
        <v>#REF!</v>
      </c>
      <c r="Q36" t="e">
        <f>ROUND($E6*'Allocators Calc'!#REF!,0)</f>
        <v>#REF!</v>
      </c>
      <c r="R36" t="e">
        <f>ROUND($E6*'Allocators Calc'!#REF!,0)</f>
        <v>#REF!</v>
      </c>
      <c r="S36" t="e">
        <f>ROUND($E6*'Allocators Calc'!#REF!,0)</f>
        <v>#REF!</v>
      </c>
      <c r="T36" t="e">
        <f>ROUND($E6*'Allocators Calc'!#REF!,0)</f>
        <v>#REF!</v>
      </c>
      <c r="U36" s="13" t="e">
        <f>ROUND($E6*'Allocators Calc'!#REF!,0)</f>
        <v>#REF!</v>
      </c>
      <c r="V36" t="e">
        <f>ROUND($E6*'Allocators Calc'!#REF!,0)</f>
        <v>#REF!</v>
      </c>
      <c r="W36" t="e">
        <f>ROUND($E6*'Allocators Calc'!#REF!,0)</f>
        <v>#REF!</v>
      </c>
      <c r="X36" t="e">
        <f>ROUND($E6*'Allocators Calc'!#REF!,0)</f>
        <v>#REF!</v>
      </c>
      <c r="Y36" t="e">
        <f>ROUND($E6*'Allocators Calc'!#REF!,0)</f>
        <v>#REF!</v>
      </c>
      <c r="Z36" t="e">
        <f>ROUND($E6*'Allocators Calc'!#REF!,0)</f>
        <v>#REF!</v>
      </c>
      <c r="AA36" s="13" t="e">
        <f>ROUND($E6*'Allocators Calc'!#REF!,0)</f>
        <v>#REF!</v>
      </c>
      <c r="AB36">
        <f>ROUND($E6*'Allocators Calc'!AG36,0)</f>
        <v>13162</v>
      </c>
      <c r="AC36">
        <f>ROUND($E6*'Allocators Calc'!AH36,0)</f>
        <v>25861</v>
      </c>
      <c r="AD36">
        <f>ROUND($E6*'Allocators Calc'!AI36,0)</f>
        <v>51520</v>
      </c>
      <c r="AE36">
        <f>ROUND($E6*'Allocators Calc'!AJ36,0)</f>
        <v>7624583</v>
      </c>
      <c r="AF36">
        <f>ROUND($E6*'Allocators Calc'!AK36,0)</f>
        <v>3098773</v>
      </c>
      <c r="AG36" s="13">
        <f>ROUND($E6*'Allocators Calc'!AL36,0)</f>
        <v>3102464</v>
      </c>
      <c r="AH36" t="e">
        <f>ROUND($E6*'Allocators Calc'!#REF!,0)</f>
        <v>#REF!</v>
      </c>
      <c r="AI36" t="e">
        <f>ROUND($E6*'Allocators Calc'!#REF!,0)</f>
        <v>#REF!</v>
      </c>
      <c r="AJ36" t="e">
        <f>ROUND($E6*'Allocators Calc'!#REF!,0)</f>
        <v>#REF!</v>
      </c>
      <c r="AK36" t="e">
        <f>ROUND($E6*'Allocators Calc'!#REF!,0)</f>
        <v>#REF!</v>
      </c>
      <c r="AL36" t="e">
        <f>ROUND($E6*'Allocators Calc'!#REF!,0)</f>
        <v>#REF!</v>
      </c>
      <c r="AM36" s="13" t="e">
        <f>ROUND($E6*'Allocators Calc'!#REF!,0)</f>
        <v>#REF!</v>
      </c>
      <c r="AN36" t="e">
        <f>ROUND($E6*'Allocators Calc'!#REF!,0)</f>
        <v>#REF!</v>
      </c>
      <c r="AO36" t="e">
        <f>ROUND($E6*'Allocators Calc'!#REF!,0)</f>
        <v>#REF!</v>
      </c>
      <c r="AP36" t="e">
        <f>ROUND($E6*'Allocators Calc'!#REF!,0)</f>
        <v>#REF!</v>
      </c>
      <c r="AQ36" t="e">
        <f>ROUND($E6*'Allocators Calc'!#REF!,0)</f>
        <v>#REF!</v>
      </c>
      <c r="AR36" t="e">
        <f>ROUND($E6*'Allocators Calc'!#REF!,0)</f>
        <v>#REF!</v>
      </c>
      <c r="AS36" s="13" t="e">
        <f>ROUND($E6*'Allocators Calc'!#REF!,0)</f>
        <v>#REF!</v>
      </c>
      <c r="AT36">
        <f>ROUND($E6*'Allocators Calc'!AM36,0)</f>
        <v>9180</v>
      </c>
      <c r="AU36">
        <f>ROUND($E6*'Allocators Calc'!AN36,0)</f>
        <v>21419</v>
      </c>
      <c r="AV36">
        <f>ROUND($E6*'Allocators Calc'!AO36,0)</f>
        <v>45899</v>
      </c>
      <c r="AW36">
        <f>ROUND($E6*'Allocators Calc'!AP36,0)</f>
        <v>22080257</v>
      </c>
      <c r="AX36">
        <f>ROUND($E6*'Allocators Calc'!AQ36,0)</f>
        <v>3583352</v>
      </c>
      <c r="AY36" s="13">
        <f>ROUND($E6*'Allocators Calc'!AR36,0)</f>
        <v>1686585</v>
      </c>
      <c r="AZ36">
        <f>ROUND($E6*'Allocators Calc'!AS36,0)</f>
        <v>52966</v>
      </c>
      <c r="BA36">
        <f>ROUND($E6*'Allocators Calc'!AT36,0)</f>
        <v>121096</v>
      </c>
      <c r="BB36">
        <f>ROUND($E6*'Allocators Calc'!AU36,0)</f>
        <v>242468</v>
      </c>
      <c r="BC36">
        <f>ROUND($E6*'Allocators Calc'!AV36,0)</f>
        <v>27261861</v>
      </c>
      <c r="BD36">
        <f>ROUND($E6*'Allocators Calc'!AW36,0)</f>
        <v>24986795</v>
      </c>
      <c r="BE36" s="13">
        <f>ROUND($E6*'Allocators Calc'!AX36,0)</f>
        <v>2192579</v>
      </c>
      <c r="BF36" t="e">
        <f>ROUND($E6*'Allocators Calc'!#REF!,0)</f>
        <v>#REF!</v>
      </c>
      <c r="BG36" t="e">
        <f>ROUND($E6*'Allocators Calc'!#REF!,0)</f>
        <v>#REF!</v>
      </c>
      <c r="BH36" t="e">
        <f>ROUND($E6*'Allocators Calc'!#REF!,0)</f>
        <v>#REF!</v>
      </c>
      <c r="BI36" t="e">
        <f>ROUND($E6*'Allocators Calc'!#REF!,0)</f>
        <v>#REF!</v>
      </c>
      <c r="BJ36" t="e">
        <f>ROUND($E6*'Allocators Calc'!#REF!,0)</f>
        <v>#REF!</v>
      </c>
      <c r="BK36" s="13" t="e">
        <f>ROUND($E6*'Allocators Calc'!#REF!,0)</f>
        <v>#REF!</v>
      </c>
      <c r="BL36">
        <f>ROUND($E6*'Allocators Calc'!AY36,0)</f>
        <v>2345590</v>
      </c>
      <c r="BM36">
        <f>ROUND($E6*'Allocators Calc'!AZ36,0)</f>
        <v>4631021</v>
      </c>
      <c r="BN36">
        <f>ROUND($E6*'Allocators Calc'!BA36,0)</f>
        <v>7025032</v>
      </c>
      <c r="BO36">
        <f>ROUND($E6*'Allocators Calc'!BB36,0)</f>
        <v>44291864</v>
      </c>
      <c r="BP36">
        <f>ROUND($E6*'Allocators Calc'!BC36,0)</f>
        <v>24422684</v>
      </c>
      <c r="BQ36" s="13">
        <f>ROUND($E6*'Allocators Calc'!BD36,0)</f>
        <v>17896293</v>
      </c>
      <c r="BR36" t="e">
        <f>ROUND($E6*'Allocators Calc'!#REF!,0)</f>
        <v>#REF!</v>
      </c>
      <c r="BS36" t="e">
        <f>ROUND($E6*'Allocators Calc'!#REF!,0)</f>
        <v>#REF!</v>
      </c>
      <c r="BT36" t="e">
        <f>ROUND($E6*'Allocators Calc'!#REF!,0)</f>
        <v>#REF!</v>
      </c>
      <c r="BU36" t="e">
        <f>ROUND($E6*'Allocators Calc'!#REF!,0)</f>
        <v>#REF!</v>
      </c>
      <c r="BV36" t="e">
        <f>ROUND($E6*'Allocators Calc'!#REF!,0)</f>
        <v>#REF!</v>
      </c>
      <c r="BW36" s="13" t="e">
        <f>ROUND($E6*'Allocators Calc'!#REF!,0)</f>
        <v>#REF!</v>
      </c>
      <c r="BX36" t="e">
        <f>ROUND($E6*'Allocators Calc'!#REF!,0)</f>
        <v>#REF!</v>
      </c>
      <c r="BY36" t="e">
        <f>ROUND($E6*'Allocators Calc'!#REF!,0)</f>
        <v>#REF!</v>
      </c>
      <c r="BZ36" t="e">
        <f>ROUND($E6*'Allocators Calc'!#REF!,0)</f>
        <v>#REF!</v>
      </c>
      <c r="CA36" t="e">
        <f>ROUND($E6*'Allocators Calc'!#REF!,0)</f>
        <v>#REF!</v>
      </c>
      <c r="CB36" t="e">
        <f>ROUND($E6*'Allocators Calc'!#REF!,0)</f>
        <v>#REF!</v>
      </c>
      <c r="CC36" s="13" t="e">
        <f>ROUND($E6*'Allocators Calc'!#REF!,0)</f>
        <v>#REF!</v>
      </c>
      <c r="CD36">
        <f>ROUND($E6*'Allocators Calc'!BE36,0)</f>
        <v>0</v>
      </c>
      <c r="CE36">
        <f>ROUND($E6*'Allocators Calc'!BF36,0)</f>
        <v>0</v>
      </c>
      <c r="CF36">
        <f>ROUND($E6*'Allocators Calc'!BG36,0)</f>
        <v>0</v>
      </c>
      <c r="CG36">
        <f>ROUND($E6*'Allocators Calc'!BH36,0)</f>
        <v>0</v>
      </c>
      <c r="CH36">
        <f>ROUND($E6*'Allocators Calc'!BI36,0)</f>
        <v>0</v>
      </c>
      <c r="CI36" s="13">
        <f>ROUND($E6*'Allocators Calc'!BJ36,0)</f>
        <v>0</v>
      </c>
      <c r="CJ36">
        <f>ROUND($E6*'Allocators Calc'!BK36,0)</f>
        <v>0</v>
      </c>
      <c r="CK36">
        <f>ROUND($E6*'Allocators Calc'!BL36,0)</f>
        <v>0</v>
      </c>
      <c r="CL36">
        <f>ROUND($E6*'Allocators Calc'!BM36,0)</f>
        <v>0</v>
      </c>
      <c r="CM36">
        <f>ROUND($E6*'Allocators Calc'!BN36,0)</f>
        <v>0</v>
      </c>
      <c r="CN36">
        <f>ROUND($E6*'Allocators Calc'!BO36,0)</f>
        <v>0</v>
      </c>
      <c r="CO36" s="13">
        <f>ROUND($E6*'Allocators Calc'!BP36,0)</f>
        <v>0</v>
      </c>
      <c r="CP36" t="e">
        <f>ROUND($E6*'Allocators Calc'!#REF!,0)</f>
        <v>#REF!</v>
      </c>
      <c r="CQ36" t="e">
        <f>ROUND($E6*'Allocators Calc'!#REF!,0)</f>
        <v>#REF!</v>
      </c>
      <c r="CR36" t="e">
        <f>ROUND($E6*'Allocators Calc'!#REF!,0)</f>
        <v>#REF!</v>
      </c>
      <c r="CS36" t="e">
        <f>ROUND($E6*'Allocators Calc'!#REF!,0)</f>
        <v>#REF!</v>
      </c>
      <c r="CT36" t="e">
        <f>ROUND($E6*'Allocators Calc'!#REF!,0)</f>
        <v>#REF!</v>
      </c>
      <c r="CU36" t="e">
        <f>ROUND($E6*'Allocators Calc'!#REF!,0)</f>
        <v>#REF!</v>
      </c>
    </row>
    <row r="37" spans="16:99" x14ac:dyDescent="0.2">
      <c r="P37" t="e">
        <f>ROUND($E7*'Allocators Calc'!#REF!,0)</f>
        <v>#REF!</v>
      </c>
      <c r="Q37" t="e">
        <f>ROUND($E7*'Allocators Calc'!#REF!,0)</f>
        <v>#REF!</v>
      </c>
      <c r="R37" t="e">
        <f>ROUND($E7*'Allocators Calc'!#REF!,0)</f>
        <v>#REF!</v>
      </c>
      <c r="S37" t="e">
        <f>ROUND($E7*'Allocators Calc'!#REF!,0)</f>
        <v>#REF!</v>
      </c>
      <c r="T37" t="e">
        <f>ROUND($E7*'Allocators Calc'!#REF!,0)</f>
        <v>#REF!</v>
      </c>
      <c r="U37" s="13" t="e">
        <f>ROUND($E7*'Allocators Calc'!#REF!,0)</f>
        <v>#REF!</v>
      </c>
      <c r="V37" t="e">
        <f>ROUND($E7*'Allocators Calc'!#REF!,0)</f>
        <v>#REF!</v>
      </c>
      <c r="W37" t="e">
        <f>ROUND($E7*'Allocators Calc'!#REF!,0)</f>
        <v>#REF!</v>
      </c>
      <c r="X37" t="e">
        <f>ROUND($E7*'Allocators Calc'!#REF!,0)</f>
        <v>#REF!</v>
      </c>
      <c r="Y37" t="e">
        <f>ROUND($E7*'Allocators Calc'!#REF!,0)</f>
        <v>#REF!</v>
      </c>
      <c r="Z37" t="e">
        <f>ROUND($E7*'Allocators Calc'!#REF!,0)</f>
        <v>#REF!</v>
      </c>
      <c r="AA37" s="13" t="e">
        <f>ROUND($E7*'Allocators Calc'!#REF!,0)</f>
        <v>#REF!</v>
      </c>
      <c r="AB37">
        <f>ROUND($E7*'Allocators Calc'!AG37,0)</f>
        <v>5557</v>
      </c>
      <c r="AC37">
        <f>ROUND($E7*'Allocators Calc'!AH37,0)</f>
        <v>12965</v>
      </c>
      <c r="AD37">
        <f>ROUND($E7*'Allocators Calc'!AI37,0)</f>
        <v>25678</v>
      </c>
      <c r="AE37">
        <f>ROUND($E7*'Allocators Calc'!AJ37,0)</f>
        <v>14615563</v>
      </c>
      <c r="AF37">
        <f>ROUND($E7*'Allocators Calc'!AK37,0)</f>
        <v>5940037</v>
      </c>
      <c r="AG37" s="13">
        <f>ROUND($E7*'Allocators Calc'!AL37,0)</f>
        <v>6076475</v>
      </c>
      <c r="AH37" t="e">
        <f>ROUND($E7*'Allocators Calc'!#REF!,0)</f>
        <v>#REF!</v>
      </c>
      <c r="AI37" t="e">
        <f>ROUND($E7*'Allocators Calc'!#REF!,0)</f>
        <v>#REF!</v>
      </c>
      <c r="AJ37" t="e">
        <f>ROUND($E7*'Allocators Calc'!#REF!,0)</f>
        <v>#REF!</v>
      </c>
      <c r="AK37" t="e">
        <f>ROUND($E7*'Allocators Calc'!#REF!,0)</f>
        <v>#REF!</v>
      </c>
      <c r="AL37" t="e">
        <f>ROUND($E7*'Allocators Calc'!#REF!,0)</f>
        <v>#REF!</v>
      </c>
      <c r="AM37" s="13" t="e">
        <f>ROUND($E7*'Allocators Calc'!#REF!,0)</f>
        <v>#REF!</v>
      </c>
      <c r="AN37" t="e">
        <f>ROUND($E7*'Allocators Calc'!#REF!,0)</f>
        <v>#REF!</v>
      </c>
      <c r="AO37" t="e">
        <f>ROUND($E7*'Allocators Calc'!#REF!,0)</f>
        <v>#REF!</v>
      </c>
      <c r="AP37" t="e">
        <f>ROUND($E7*'Allocators Calc'!#REF!,0)</f>
        <v>#REF!</v>
      </c>
      <c r="AQ37" t="e">
        <f>ROUND($E7*'Allocators Calc'!#REF!,0)</f>
        <v>#REF!</v>
      </c>
      <c r="AR37" t="e">
        <f>ROUND($E7*'Allocators Calc'!#REF!,0)</f>
        <v>#REF!</v>
      </c>
      <c r="AS37" s="13" t="e">
        <f>ROUND($E7*'Allocators Calc'!#REF!,0)</f>
        <v>#REF!</v>
      </c>
      <c r="AT37">
        <f>ROUND($E7*'Allocators Calc'!AM37,0)</f>
        <v>9002</v>
      </c>
      <c r="AU37">
        <f>ROUND($E7*'Allocators Calc'!AN37,0)</f>
        <v>21006</v>
      </c>
      <c r="AV37">
        <f>ROUND($E7*'Allocators Calc'!AO37,0)</f>
        <v>45012</v>
      </c>
      <c r="AW37">
        <f>ROUND($E7*'Allocators Calc'!AP37,0)</f>
        <v>21653733</v>
      </c>
      <c r="AX37">
        <f>ROUND($E7*'Allocators Calc'!AQ37,0)</f>
        <v>3514132</v>
      </c>
      <c r="AY37" s="13">
        <f>ROUND($E7*'Allocators Calc'!AR37,0)</f>
        <v>1654005</v>
      </c>
      <c r="AZ37">
        <f>ROUND($E7*'Allocators Calc'!AS37,0)</f>
        <v>55976</v>
      </c>
      <c r="BA37">
        <f>ROUND($E7*'Allocators Calc'!AT37,0)</f>
        <v>127977</v>
      </c>
      <c r="BB37">
        <f>ROUND($E7*'Allocators Calc'!AU37,0)</f>
        <v>256247</v>
      </c>
      <c r="BC37">
        <f>ROUND($E7*'Allocators Calc'!AV37,0)</f>
        <v>28811056</v>
      </c>
      <c r="BD37">
        <f>ROUND($E7*'Allocators Calc'!AW37,0)</f>
        <v>26406706</v>
      </c>
      <c r="BE37" s="13">
        <f>ROUND($E7*'Allocators Calc'!AX37,0)</f>
        <v>2317175</v>
      </c>
      <c r="BF37" t="e">
        <f>ROUND($E7*'Allocators Calc'!#REF!,0)</f>
        <v>#REF!</v>
      </c>
      <c r="BG37" t="e">
        <f>ROUND($E7*'Allocators Calc'!#REF!,0)</f>
        <v>#REF!</v>
      </c>
      <c r="BH37" t="e">
        <f>ROUND($E7*'Allocators Calc'!#REF!,0)</f>
        <v>#REF!</v>
      </c>
      <c r="BI37" t="e">
        <f>ROUND($E7*'Allocators Calc'!#REF!,0)</f>
        <v>#REF!</v>
      </c>
      <c r="BJ37" t="e">
        <f>ROUND($E7*'Allocators Calc'!#REF!,0)</f>
        <v>#REF!</v>
      </c>
      <c r="BK37" s="13" t="e">
        <f>ROUND($E7*'Allocators Calc'!#REF!,0)</f>
        <v>#REF!</v>
      </c>
      <c r="BL37">
        <f>ROUND($E7*'Allocators Calc'!AY37,0)</f>
        <v>2287271</v>
      </c>
      <c r="BM37">
        <f>ROUND($E7*'Allocators Calc'!AZ37,0)</f>
        <v>4515880</v>
      </c>
      <c r="BN37">
        <f>ROUND($E7*'Allocators Calc'!BA37,0)</f>
        <v>6850368</v>
      </c>
      <c r="BO37">
        <f>ROUND($E7*'Allocators Calc'!BB37,0)</f>
        <v>43190631</v>
      </c>
      <c r="BP37">
        <f>ROUND($E7*'Allocators Calc'!BC37,0)</f>
        <v>23815461</v>
      </c>
      <c r="BQ37" s="13">
        <f>ROUND($E7*'Allocators Calc'!BD37,0)</f>
        <v>17451336</v>
      </c>
      <c r="BR37" t="e">
        <f>ROUND($E7*'Allocators Calc'!#REF!,0)</f>
        <v>#REF!</v>
      </c>
      <c r="BS37" t="e">
        <f>ROUND($E7*'Allocators Calc'!#REF!,0)</f>
        <v>#REF!</v>
      </c>
      <c r="BT37" t="e">
        <f>ROUND($E7*'Allocators Calc'!#REF!,0)</f>
        <v>#REF!</v>
      </c>
      <c r="BU37" t="e">
        <f>ROUND($E7*'Allocators Calc'!#REF!,0)</f>
        <v>#REF!</v>
      </c>
      <c r="BV37" t="e">
        <f>ROUND($E7*'Allocators Calc'!#REF!,0)</f>
        <v>#REF!</v>
      </c>
      <c r="BW37" s="13" t="e">
        <f>ROUND($E7*'Allocators Calc'!#REF!,0)</f>
        <v>#REF!</v>
      </c>
      <c r="BX37" t="e">
        <f>ROUND($E7*'Allocators Calc'!#REF!,0)</f>
        <v>#REF!</v>
      </c>
      <c r="BY37" t="e">
        <f>ROUND($E7*'Allocators Calc'!#REF!,0)</f>
        <v>#REF!</v>
      </c>
      <c r="BZ37" t="e">
        <f>ROUND($E7*'Allocators Calc'!#REF!,0)</f>
        <v>#REF!</v>
      </c>
      <c r="CA37" t="e">
        <f>ROUND($E7*'Allocators Calc'!#REF!,0)</f>
        <v>#REF!</v>
      </c>
      <c r="CB37" t="e">
        <f>ROUND($E7*'Allocators Calc'!#REF!,0)</f>
        <v>#REF!</v>
      </c>
      <c r="CC37" s="13" t="e">
        <f>ROUND($E7*'Allocators Calc'!#REF!,0)</f>
        <v>#REF!</v>
      </c>
      <c r="CD37">
        <f>ROUND($E7*'Allocators Calc'!BE37,0)</f>
        <v>0</v>
      </c>
      <c r="CE37">
        <f>ROUND($E7*'Allocators Calc'!BF37,0)</f>
        <v>0</v>
      </c>
      <c r="CF37">
        <f>ROUND($E7*'Allocators Calc'!BG37,0)</f>
        <v>0</v>
      </c>
      <c r="CG37">
        <f>ROUND($E7*'Allocators Calc'!BH37,0)</f>
        <v>0</v>
      </c>
      <c r="CH37">
        <f>ROUND($E7*'Allocators Calc'!BI37,0)</f>
        <v>0</v>
      </c>
      <c r="CI37" s="13">
        <f>ROUND($E7*'Allocators Calc'!BJ37,0)</f>
        <v>0</v>
      </c>
      <c r="CJ37">
        <f>ROUND($E7*'Allocators Calc'!BK37,0)</f>
        <v>0</v>
      </c>
      <c r="CK37">
        <f>ROUND($E7*'Allocators Calc'!BL37,0)</f>
        <v>0</v>
      </c>
      <c r="CL37">
        <f>ROUND($E7*'Allocators Calc'!BM37,0)</f>
        <v>0</v>
      </c>
      <c r="CM37">
        <f>ROUND($E7*'Allocators Calc'!BN37,0)</f>
        <v>0</v>
      </c>
      <c r="CN37">
        <f>ROUND($E7*'Allocators Calc'!BO37,0)</f>
        <v>0</v>
      </c>
      <c r="CO37" s="13">
        <f>ROUND($E7*'Allocators Calc'!BP37,0)</f>
        <v>0</v>
      </c>
      <c r="CP37" t="e">
        <f>ROUND($E7*'Allocators Calc'!#REF!,0)</f>
        <v>#REF!</v>
      </c>
      <c r="CQ37" t="e">
        <f>ROUND($E7*'Allocators Calc'!#REF!,0)</f>
        <v>#REF!</v>
      </c>
      <c r="CR37" t="e">
        <f>ROUND($E7*'Allocators Calc'!#REF!,0)</f>
        <v>#REF!</v>
      </c>
      <c r="CS37" t="e">
        <f>ROUND($E7*'Allocators Calc'!#REF!,0)</f>
        <v>#REF!</v>
      </c>
      <c r="CT37" t="e">
        <f>ROUND($E7*'Allocators Calc'!#REF!,0)</f>
        <v>#REF!</v>
      </c>
      <c r="CU37" t="e">
        <f>ROUND($E7*'Allocators Calc'!#REF!,0)</f>
        <v>#REF!</v>
      </c>
    </row>
    <row r="38" spans="16:99" x14ac:dyDescent="0.2">
      <c r="P38" t="e">
        <f>ROUND($E8*'Allocators Calc'!#REF!,0)</f>
        <v>#REF!</v>
      </c>
      <c r="Q38" t="e">
        <f>ROUND($E8*'Allocators Calc'!#REF!,0)</f>
        <v>#REF!</v>
      </c>
      <c r="R38" t="e">
        <f>ROUND($E8*'Allocators Calc'!#REF!,0)</f>
        <v>#REF!</v>
      </c>
      <c r="S38" t="e">
        <f>ROUND($E8*'Allocators Calc'!#REF!,0)</f>
        <v>#REF!</v>
      </c>
      <c r="T38" t="e">
        <f>ROUND($E8*'Allocators Calc'!#REF!,0)</f>
        <v>#REF!</v>
      </c>
      <c r="U38" s="13" t="e">
        <f>ROUND($E8*'Allocators Calc'!#REF!,0)</f>
        <v>#REF!</v>
      </c>
      <c r="V38" t="e">
        <f>ROUND($E8*'Allocators Calc'!#REF!,0)</f>
        <v>#REF!</v>
      </c>
      <c r="W38" t="e">
        <f>ROUND($E8*'Allocators Calc'!#REF!,0)</f>
        <v>#REF!</v>
      </c>
      <c r="X38" t="e">
        <f>ROUND($E8*'Allocators Calc'!#REF!,0)</f>
        <v>#REF!</v>
      </c>
      <c r="Y38" t="e">
        <f>ROUND($E8*'Allocators Calc'!#REF!,0)</f>
        <v>#REF!</v>
      </c>
      <c r="Z38" t="e">
        <f>ROUND($E8*'Allocators Calc'!#REF!,0)</f>
        <v>#REF!</v>
      </c>
      <c r="AA38" s="13" t="e">
        <f>ROUND($E8*'Allocators Calc'!#REF!,0)</f>
        <v>#REF!</v>
      </c>
      <c r="AB38">
        <f>ROUND($E8*'Allocators Calc'!AG38,0)</f>
        <v>5639</v>
      </c>
      <c r="AC38">
        <f>ROUND($E8*'Allocators Calc'!AH38,0)</f>
        <v>11279</v>
      </c>
      <c r="AD38">
        <f>ROUND($E8*'Allocators Calc'!AI38,0)</f>
        <v>28196</v>
      </c>
      <c r="AE38">
        <f>ROUND($E8*'Allocators Calc'!AJ38,0)</f>
        <v>15739419</v>
      </c>
      <c r="AF38">
        <f>ROUND($E8*'Allocators Calc'!AK38,0)</f>
        <v>6396793</v>
      </c>
      <c r="AG38" s="13">
        <f>ROUND($E8*'Allocators Calc'!AL38,0)</f>
        <v>6546207</v>
      </c>
      <c r="AH38" t="e">
        <f>ROUND($E8*'Allocators Calc'!#REF!,0)</f>
        <v>#REF!</v>
      </c>
      <c r="AI38" t="e">
        <f>ROUND($E8*'Allocators Calc'!#REF!,0)</f>
        <v>#REF!</v>
      </c>
      <c r="AJ38" t="e">
        <f>ROUND($E8*'Allocators Calc'!#REF!,0)</f>
        <v>#REF!</v>
      </c>
      <c r="AK38" t="e">
        <f>ROUND($E8*'Allocators Calc'!#REF!,0)</f>
        <v>#REF!</v>
      </c>
      <c r="AL38" t="e">
        <f>ROUND($E8*'Allocators Calc'!#REF!,0)</f>
        <v>#REF!</v>
      </c>
      <c r="AM38" s="13" t="e">
        <f>ROUND($E8*'Allocators Calc'!#REF!,0)</f>
        <v>#REF!</v>
      </c>
      <c r="AN38" t="e">
        <f>ROUND($E8*'Allocators Calc'!#REF!,0)</f>
        <v>#REF!</v>
      </c>
      <c r="AO38" t="e">
        <f>ROUND($E8*'Allocators Calc'!#REF!,0)</f>
        <v>#REF!</v>
      </c>
      <c r="AP38" t="e">
        <f>ROUND($E8*'Allocators Calc'!#REF!,0)</f>
        <v>#REF!</v>
      </c>
      <c r="AQ38" t="e">
        <f>ROUND($E8*'Allocators Calc'!#REF!,0)</f>
        <v>#REF!</v>
      </c>
      <c r="AR38" t="e">
        <f>ROUND($E8*'Allocators Calc'!#REF!,0)</f>
        <v>#REF!</v>
      </c>
      <c r="AS38" s="13" t="e">
        <f>ROUND($E8*'Allocators Calc'!#REF!,0)</f>
        <v>#REF!</v>
      </c>
      <c r="AT38">
        <f>ROUND($E8*'Allocators Calc'!AM38,0)</f>
        <v>9185</v>
      </c>
      <c r="AU38">
        <f>ROUND($E8*'Allocators Calc'!AN38,0)</f>
        <v>21431</v>
      </c>
      <c r="AV38">
        <f>ROUND($E8*'Allocators Calc'!AO38,0)</f>
        <v>45923</v>
      </c>
      <c r="AW38">
        <f>ROUND($E8*'Allocators Calc'!AP38,0)</f>
        <v>22092011</v>
      </c>
      <c r="AX38">
        <f>ROUND($E8*'Allocators Calc'!AQ38,0)</f>
        <v>3585259</v>
      </c>
      <c r="AY38" s="13">
        <f>ROUND($E8*'Allocators Calc'!AR38,0)</f>
        <v>1687483</v>
      </c>
      <c r="AZ38">
        <f>ROUND($E8*'Allocators Calc'!AS38,0)</f>
        <v>57454</v>
      </c>
      <c r="BA38">
        <f>ROUND($E8*'Allocators Calc'!AT38,0)</f>
        <v>131356</v>
      </c>
      <c r="BB38">
        <f>ROUND($E8*'Allocators Calc'!AU38,0)</f>
        <v>263012</v>
      </c>
      <c r="BC38">
        <f>ROUND($E8*'Allocators Calc'!AV38,0)</f>
        <v>29571687</v>
      </c>
      <c r="BD38">
        <f>ROUND($E8*'Allocators Calc'!AW38,0)</f>
        <v>27103860</v>
      </c>
      <c r="BE38" s="13">
        <f>ROUND($E8*'Allocators Calc'!AX38,0)</f>
        <v>2378350</v>
      </c>
      <c r="BF38" t="e">
        <f>ROUND($E8*'Allocators Calc'!#REF!,0)</f>
        <v>#REF!</v>
      </c>
      <c r="BG38" t="e">
        <f>ROUND($E8*'Allocators Calc'!#REF!,0)</f>
        <v>#REF!</v>
      </c>
      <c r="BH38" t="e">
        <f>ROUND($E8*'Allocators Calc'!#REF!,0)</f>
        <v>#REF!</v>
      </c>
      <c r="BI38" t="e">
        <f>ROUND($E8*'Allocators Calc'!#REF!,0)</f>
        <v>#REF!</v>
      </c>
      <c r="BJ38" t="e">
        <f>ROUND($E8*'Allocators Calc'!#REF!,0)</f>
        <v>#REF!</v>
      </c>
      <c r="BK38" s="13" t="e">
        <f>ROUND($E8*'Allocators Calc'!#REF!,0)</f>
        <v>#REF!</v>
      </c>
      <c r="BL38">
        <f>ROUND($E8*'Allocators Calc'!AY38,0)</f>
        <v>2386607</v>
      </c>
      <c r="BM38">
        <f>ROUND($E8*'Allocators Calc'!AZ38,0)</f>
        <v>4712004</v>
      </c>
      <c r="BN38">
        <f>ROUND($E8*'Allocators Calc'!BA38,0)</f>
        <v>7147878</v>
      </c>
      <c r="BO38">
        <f>ROUND($E8*'Allocators Calc'!BB38,0)</f>
        <v>45066394</v>
      </c>
      <c r="BP38">
        <f>ROUND($E8*'Allocators Calc'!BC38,0)</f>
        <v>24849763</v>
      </c>
      <c r="BQ38" s="13">
        <f>ROUND($E8*'Allocators Calc'!BD38,0)</f>
        <v>18209245</v>
      </c>
      <c r="BR38" t="e">
        <f>ROUND($E8*'Allocators Calc'!#REF!,0)</f>
        <v>#REF!</v>
      </c>
      <c r="BS38" t="e">
        <f>ROUND($E8*'Allocators Calc'!#REF!,0)</f>
        <v>#REF!</v>
      </c>
      <c r="BT38" t="e">
        <f>ROUND($E8*'Allocators Calc'!#REF!,0)</f>
        <v>#REF!</v>
      </c>
      <c r="BU38" t="e">
        <f>ROUND($E8*'Allocators Calc'!#REF!,0)</f>
        <v>#REF!</v>
      </c>
      <c r="BV38" t="e">
        <f>ROUND($E8*'Allocators Calc'!#REF!,0)</f>
        <v>#REF!</v>
      </c>
      <c r="BW38" s="13" t="e">
        <f>ROUND($E8*'Allocators Calc'!#REF!,0)</f>
        <v>#REF!</v>
      </c>
      <c r="BX38" t="e">
        <f>ROUND($E8*'Allocators Calc'!#REF!,0)</f>
        <v>#REF!</v>
      </c>
      <c r="BY38" t="e">
        <f>ROUND($E8*'Allocators Calc'!#REF!,0)</f>
        <v>#REF!</v>
      </c>
      <c r="BZ38" t="e">
        <f>ROUND($E8*'Allocators Calc'!#REF!,0)</f>
        <v>#REF!</v>
      </c>
      <c r="CA38" t="e">
        <f>ROUND($E8*'Allocators Calc'!#REF!,0)</f>
        <v>#REF!</v>
      </c>
      <c r="CB38" t="e">
        <f>ROUND($E8*'Allocators Calc'!#REF!,0)</f>
        <v>#REF!</v>
      </c>
      <c r="CC38" s="13" t="e">
        <f>ROUND($E8*'Allocators Calc'!#REF!,0)</f>
        <v>#REF!</v>
      </c>
      <c r="CD38">
        <f>ROUND($E8*'Allocators Calc'!BE38,0)</f>
        <v>0</v>
      </c>
      <c r="CE38">
        <f>ROUND($E8*'Allocators Calc'!BF38,0)</f>
        <v>0</v>
      </c>
      <c r="CF38">
        <f>ROUND($E8*'Allocators Calc'!BG38,0)</f>
        <v>0</v>
      </c>
      <c r="CG38">
        <f>ROUND($E8*'Allocators Calc'!BH38,0)</f>
        <v>0</v>
      </c>
      <c r="CH38">
        <f>ROUND($E8*'Allocators Calc'!BI38,0)</f>
        <v>0</v>
      </c>
      <c r="CI38" s="13">
        <f>ROUND($E8*'Allocators Calc'!BJ38,0)</f>
        <v>0</v>
      </c>
      <c r="CJ38">
        <f>ROUND($E8*'Allocators Calc'!BK38,0)</f>
        <v>0</v>
      </c>
      <c r="CK38">
        <f>ROUND($E8*'Allocators Calc'!BL38,0)</f>
        <v>0</v>
      </c>
      <c r="CL38">
        <f>ROUND($E8*'Allocators Calc'!BM38,0)</f>
        <v>0</v>
      </c>
      <c r="CM38">
        <f>ROUND($E8*'Allocators Calc'!BN38,0)</f>
        <v>0</v>
      </c>
      <c r="CN38">
        <f>ROUND($E8*'Allocators Calc'!BO38,0)</f>
        <v>0</v>
      </c>
      <c r="CO38" s="13">
        <f>ROUND($E8*'Allocators Calc'!BP38,0)</f>
        <v>0</v>
      </c>
      <c r="CP38" t="e">
        <f>ROUND($E8*'Allocators Calc'!#REF!,0)</f>
        <v>#REF!</v>
      </c>
      <c r="CQ38" t="e">
        <f>ROUND($E8*'Allocators Calc'!#REF!,0)</f>
        <v>#REF!</v>
      </c>
      <c r="CR38" t="e">
        <f>ROUND($E8*'Allocators Calc'!#REF!,0)</f>
        <v>#REF!</v>
      </c>
      <c r="CS38" t="e">
        <f>ROUND($E8*'Allocators Calc'!#REF!,0)</f>
        <v>#REF!</v>
      </c>
      <c r="CT38" t="e">
        <f>ROUND($E8*'Allocators Calc'!#REF!,0)</f>
        <v>#REF!</v>
      </c>
      <c r="CU38" t="e">
        <f>ROUND($E8*'Allocators Calc'!#REF!,0)</f>
        <v>#REF!</v>
      </c>
    </row>
    <row r="39" spans="16:99" x14ac:dyDescent="0.2">
      <c r="P39" t="e">
        <f>ROUND($E9*'Allocators Calc'!#REF!,0)</f>
        <v>#REF!</v>
      </c>
      <c r="Q39" t="e">
        <f>ROUND($E9*'Allocators Calc'!#REF!,0)</f>
        <v>#REF!</v>
      </c>
      <c r="R39" t="e">
        <f>ROUND($E9*'Allocators Calc'!#REF!,0)</f>
        <v>#REF!</v>
      </c>
      <c r="S39" t="e">
        <f>ROUND($E9*'Allocators Calc'!#REF!,0)</f>
        <v>#REF!</v>
      </c>
      <c r="T39" t="e">
        <f>ROUND($E9*'Allocators Calc'!#REF!,0)</f>
        <v>#REF!</v>
      </c>
      <c r="U39" s="13" t="e">
        <f>ROUND($E9*'Allocators Calc'!#REF!,0)</f>
        <v>#REF!</v>
      </c>
      <c r="V39" t="e">
        <f>ROUND($E9*'Allocators Calc'!#REF!,0)</f>
        <v>#REF!</v>
      </c>
      <c r="W39" t="e">
        <f>ROUND($E9*'Allocators Calc'!#REF!,0)</f>
        <v>#REF!</v>
      </c>
      <c r="X39" t="e">
        <f>ROUND($E9*'Allocators Calc'!#REF!,0)</f>
        <v>#REF!</v>
      </c>
      <c r="Y39" t="e">
        <f>ROUND($E9*'Allocators Calc'!#REF!,0)</f>
        <v>#REF!</v>
      </c>
      <c r="Z39" t="e">
        <f>ROUND($E9*'Allocators Calc'!#REF!,0)</f>
        <v>#REF!</v>
      </c>
      <c r="AA39" s="13" t="e">
        <f>ROUND($E9*'Allocators Calc'!#REF!,0)</f>
        <v>#REF!</v>
      </c>
      <c r="AB39">
        <f>ROUND($E9*'Allocators Calc'!AG39,0)</f>
        <v>4844</v>
      </c>
      <c r="AC39">
        <f>ROUND($E9*'Allocators Calc'!AH39,0)</f>
        <v>11302</v>
      </c>
      <c r="AD39">
        <f>ROUND($E9*'Allocators Calc'!AI39,0)</f>
        <v>24219</v>
      </c>
      <c r="AE39">
        <f>ROUND($E9*'Allocators Calc'!AJ39,0)</f>
        <v>8255610</v>
      </c>
      <c r="AF39">
        <f>ROUND($E9*'Allocators Calc'!AK39,0)</f>
        <v>3355234</v>
      </c>
      <c r="AG39" s="13">
        <f>ROUND($E9*'Allocators Calc'!AL39,0)</f>
        <v>3416902</v>
      </c>
      <c r="AH39" t="e">
        <f>ROUND($E9*'Allocators Calc'!#REF!,0)</f>
        <v>#REF!</v>
      </c>
      <c r="AI39" t="e">
        <f>ROUND($E9*'Allocators Calc'!#REF!,0)</f>
        <v>#REF!</v>
      </c>
      <c r="AJ39" t="e">
        <f>ROUND($E9*'Allocators Calc'!#REF!,0)</f>
        <v>#REF!</v>
      </c>
      <c r="AK39" t="e">
        <f>ROUND($E9*'Allocators Calc'!#REF!,0)</f>
        <v>#REF!</v>
      </c>
      <c r="AL39" t="e">
        <f>ROUND($E9*'Allocators Calc'!#REF!,0)</f>
        <v>#REF!</v>
      </c>
      <c r="AM39" s="13" t="e">
        <f>ROUND($E9*'Allocators Calc'!#REF!,0)</f>
        <v>#REF!</v>
      </c>
      <c r="AN39" t="e">
        <f>ROUND($E9*'Allocators Calc'!#REF!,0)</f>
        <v>#REF!</v>
      </c>
      <c r="AO39" t="e">
        <f>ROUND($E9*'Allocators Calc'!#REF!,0)</f>
        <v>#REF!</v>
      </c>
      <c r="AP39" t="e">
        <f>ROUND($E9*'Allocators Calc'!#REF!,0)</f>
        <v>#REF!</v>
      </c>
      <c r="AQ39" t="e">
        <f>ROUND($E9*'Allocators Calc'!#REF!,0)</f>
        <v>#REF!</v>
      </c>
      <c r="AR39" t="e">
        <f>ROUND($E9*'Allocators Calc'!#REF!,0)</f>
        <v>#REF!</v>
      </c>
      <c r="AS39" s="13" t="e">
        <f>ROUND($E9*'Allocators Calc'!#REF!,0)</f>
        <v>#REF!</v>
      </c>
      <c r="AT39">
        <f>ROUND($E9*'Allocators Calc'!AM39,0)</f>
        <v>8569</v>
      </c>
      <c r="AU39">
        <f>ROUND($E9*'Allocators Calc'!AN39,0)</f>
        <v>19995</v>
      </c>
      <c r="AV39">
        <f>ROUND($E9*'Allocators Calc'!AO39,0)</f>
        <v>42846</v>
      </c>
      <c r="AW39">
        <f>ROUND($E9*'Allocators Calc'!AP39,0)</f>
        <v>20611712</v>
      </c>
      <c r="AX39">
        <f>ROUND($E9*'Allocators Calc'!AQ39,0)</f>
        <v>3345025</v>
      </c>
      <c r="AY39" s="13">
        <f>ROUND($E9*'Allocators Calc'!AR39,0)</f>
        <v>1574411</v>
      </c>
      <c r="AZ39">
        <f>ROUND($E9*'Allocators Calc'!AS39,0)</f>
        <v>57519</v>
      </c>
      <c r="BA39">
        <f>ROUND($E9*'Allocators Calc'!AT39,0)</f>
        <v>131505</v>
      </c>
      <c r="BB39">
        <f>ROUND($E9*'Allocators Calc'!AU39,0)</f>
        <v>263309</v>
      </c>
      <c r="BC39">
        <f>ROUND($E9*'Allocators Calc'!AV39,0)</f>
        <v>29605143</v>
      </c>
      <c r="BD39">
        <f>ROUND($E9*'Allocators Calc'!AW39,0)</f>
        <v>27134525</v>
      </c>
      <c r="BE39" s="13">
        <f>ROUND($E9*'Allocators Calc'!AX39,0)</f>
        <v>2381041</v>
      </c>
      <c r="BF39" t="e">
        <f>ROUND($E9*'Allocators Calc'!#REF!,0)</f>
        <v>#REF!</v>
      </c>
      <c r="BG39" t="e">
        <f>ROUND($E9*'Allocators Calc'!#REF!,0)</f>
        <v>#REF!</v>
      </c>
      <c r="BH39" t="e">
        <f>ROUND($E9*'Allocators Calc'!#REF!,0)</f>
        <v>#REF!</v>
      </c>
      <c r="BI39" t="e">
        <f>ROUND($E9*'Allocators Calc'!#REF!,0)</f>
        <v>#REF!</v>
      </c>
      <c r="BJ39" t="e">
        <f>ROUND($E9*'Allocators Calc'!#REF!,0)</f>
        <v>#REF!</v>
      </c>
      <c r="BK39" s="13" t="e">
        <f>ROUND($E9*'Allocators Calc'!#REF!,0)</f>
        <v>#REF!</v>
      </c>
      <c r="BL39">
        <f>ROUND($E9*'Allocators Calc'!AY39,0)</f>
        <v>2507683</v>
      </c>
      <c r="BM39">
        <f>ROUND($E9*'Allocators Calc'!AZ39,0)</f>
        <v>4951050</v>
      </c>
      <c r="BN39">
        <f>ROUND($E9*'Allocators Calc'!BA39,0)</f>
        <v>7510500</v>
      </c>
      <c r="BO39">
        <f>ROUND($E9*'Allocators Calc'!BB39,0)</f>
        <v>47352674</v>
      </c>
      <c r="BP39">
        <f>ROUND($E9*'Allocators Calc'!BC39,0)</f>
        <v>26110426</v>
      </c>
      <c r="BQ39" s="13">
        <f>ROUND($E9*'Allocators Calc'!BD39,0)</f>
        <v>19133025</v>
      </c>
      <c r="BR39" t="e">
        <f>ROUND($E9*'Allocators Calc'!#REF!,0)</f>
        <v>#REF!</v>
      </c>
      <c r="BS39" t="e">
        <f>ROUND($E9*'Allocators Calc'!#REF!,0)</f>
        <v>#REF!</v>
      </c>
      <c r="BT39" t="e">
        <f>ROUND($E9*'Allocators Calc'!#REF!,0)</f>
        <v>#REF!</v>
      </c>
      <c r="BU39" t="e">
        <f>ROUND($E9*'Allocators Calc'!#REF!,0)</f>
        <v>#REF!</v>
      </c>
      <c r="BV39" t="e">
        <f>ROUND($E9*'Allocators Calc'!#REF!,0)</f>
        <v>#REF!</v>
      </c>
      <c r="BW39" s="13" t="e">
        <f>ROUND($E9*'Allocators Calc'!#REF!,0)</f>
        <v>#REF!</v>
      </c>
      <c r="BX39" t="e">
        <f>ROUND($E9*'Allocators Calc'!#REF!,0)</f>
        <v>#REF!</v>
      </c>
      <c r="BY39" t="e">
        <f>ROUND($E9*'Allocators Calc'!#REF!,0)</f>
        <v>#REF!</v>
      </c>
      <c r="BZ39" t="e">
        <f>ROUND($E9*'Allocators Calc'!#REF!,0)</f>
        <v>#REF!</v>
      </c>
      <c r="CA39" t="e">
        <f>ROUND($E9*'Allocators Calc'!#REF!,0)</f>
        <v>#REF!</v>
      </c>
      <c r="CB39" t="e">
        <f>ROUND($E9*'Allocators Calc'!#REF!,0)</f>
        <v>#REF!</v>
      </c>
      <c r="CC39" s="13" t="e">
        <f>ROUND($E9*'Allocators Calc'!#REF!,0)</f>
        <v>#REF!</v>
      </c>
      <c r="CD39">
        <f>ROUND($E9*'Allocators Calc'!BE39,0)</f>
        <v>0</v>
      </c>
      <c r="CE39">
        <f>ROUND($E9*'Allocators Calc'!BF39,0)</f>
        <v>0</v>
      </c>
      <c r="CF39">
        <f>ROUND($E9*'Allocators Calc'!BG39,0)</f>
        <v>0</v>
      </c>
      <c r="CG39">
        <f>ROUND($E9*'Allocators Calc'!BH39,0)</f>
        <v>0</v>
      </c>
      <c r="CH39">
        <f>ROUND($E9*'Allocators Calc'!BI39,0)</f>
        <v>0</v>
      </c>
      <c r="CI39" s="13">
        <f>ROUND($E9*'Allocators Calc'!BJ39,0)</f>
        <v>0</v>
      </c>
      <c r="CJ39">
        <f>ROUND($E9*'Allocators Calc'!BK39,0)</f>
        <v>0</v>
      </c>
      <c r="CK39">
        <f>ROUND($E9*'Allocators Calc'!BL39,0)</f>
        <v>0</v>
      </c>
      <c r="CL39">
        <f>ROUND($E9*'Allocators Calc'!BM39,0)</f>
        <v>0</v>
      </c>
      <c r="CM39">
        <f>ROUND($E9*'Allocators Calc'!BN39,0)</f>
        <v>0</v>
      </c>
      <c r="CN39">
        <f>ROUND($E9*'Allocators Calc'!BO39,0)</f>
        <v>0</v>
      </c>
      <c r="CO39" s="13">
        <f>ROUND($E9*'Allocators Calc'!BP39,0)</f>
        <v>0</v>
      </c>
      <c r="CP39" t="e">
        <f>ROUND($E9*'Allocators Calc'!#REF!,0)</f>
        <v>#REF!</v>
      </c>
      <c r="CQ39" t="e">
        <f>ROUND($E9*'Allocators Calc'!#REF!,0)</f>
        <v>#REF!</v>
      </c>
      <c r="CR39" t="e">
        <f>ROUND($E9*'Allocators Calc'!#REF!,0)</f>
        <v>#REF!</v>
      </c>
      <c r="CS39" t="e">
        <f>ROUND($E9*'Allocators Calc'!#REF!,0)</f>
        <v>#REF!</v>
      </c>
      <c r="CT39" t="e">
        <f>ROUND($E9*'Allocators Calc'!#REF!,0)</f>
        <v>#REF!</v>
      </c>
      <c r="CU39" t="e">
        <f>ROUND($E9*'Allocators Calc'!#REF!,0)</f>
        <v>#REF!</v>
      </c>
    </row>
    <row r="40" spans="16:99" x14ac:dyDescent="0.2">
      <c r="P40" t="e">
        <f>ROUND($E10*'Allocators Calc'!#REF!,0)</f>
        <v>#REF!</v>
      </c>
      <c r="Q40" t="e">
        <f>ROUND($E10*'Allocators Calc'!#REF!,0)</f>
        <v>#REF!</v>
      </c>
      <c r="R40" t="e">
        <f>ROUND($E10*'Allocators Calc'!#REF!,0)</f>
        <v>#REF!</v>
      </c>
      <c r="S40" t="e">
        <f>ROUND($E10*'Allocators Calc'!#REF!,0)</f>
        <v>#REF!</v>
      </c>
      <c r="T40" t="e">
        <f>ROUND($E10*'Allocators Calc'!#REF!,0)</f>
        <v>#REF!</v>
      </c>
      <c r="U40" s="13" t="e">
        <f>ROUND($E10*'Allocators Calc'!#REF!,0)</f>
        <v>#REF!</v>
      </c>
      <c r="V40" t="e">
        <f>ROUND($E10*'Allocators Calc'!#REF!,0)</f>
        <v>#REF!</v>
      </c>
      <c r="W40" t="e">
        <f>ROUND($E10*'Allocators Calc'!#REF!,0)</f>
        <v>#REF!</v>
      </c>
      <c r="X40" t="e">
        <f>ROUND($E10*'Allocators Calc'!#REF!,0)</f>
        <v>#REF!</v>
      </c>
      <c r="Y40" t="e">
        <f>ROUND($E10*'Allocators Calc'!#REF!,0)</f>
        <v>#REF!</v>
      </c>
      <c r="Z40" t="e">
        <f>ROUND($E10*'Allocators Calc'!#REF!,0)</f>
        <v>#REF!</v>
      </c>
      <c r="AA40" s="13" t="e">
        <f>ROUND($E10*'Allocators Calc'!#REF!,0)</f>
        <v>#REF!</v>
      </c>
      <c r="AB40">
        <f>ROUND($E10*'Allocators Calc'!AG40,0)</f>
        <v>758</v>
      </c>
      <c r="AC40">
        <f>ROUND($E10*'Allocators Calc'!AH40,0)</f>
        <v>1581</v>
      </c>
      <c r="AD40">
        <f>ROUND($E10*'Allocators Calc'!AI40,0)</f>
        <v>3167</v>
      </c>
      <c r="AE40">
        <f>ROUND($E10*'Allocators Calc'!AJ40,0)</f>
        <v>864771</v>
      </c>
      <c r="AF40">
        <f>ROUND($E10*'Allocators Calc'!AK40,0)</f>
        <v>351459</v>
      </c>
      <c r="AG40" s="13">
        <f>ROUND($E10*'Allocators Calc'!AL40,0)</f>
        <v>356641</v>
      </c>
      <c r="AH40" t="e">
        <f>ROUND($E10*'Allocators Calc'!#REF!,0)</f>
        <v>#REF!</v>
      </c>
      <c r="AI40" t="e">
        <f>ROUND($E10*'Allocators Calc'!#REF!,0)</f>
        <v>#REF!</v>
      </c>
      <c r="AJ40" t="e">
        <f>ROUND($E10*'Allocators Calc'!#REF!,0)</f>
        <v>#REF!</v>
      </c>
      <c r="AK40" t="e">
        <f>ROUND($E10*'Allocators Calc'!#REF!,0)</f>
        <v>#REF!</v>
      </c>
      <c r="AL40" t="e">
        <f>ROUND($E10*'Allocators Calc'!#REF!,0)</f>
        <v>#REF!</v>
      </c>
      <c r="AM40" s="13" t="e">
        <f>ROUND($E10*'Allocators Calc'!#REF!,0)</f>
        <v>#REF!</v>
      </c>
      <c r="AN40" t="e">
        <f>ROUND($E10*'Allocators Calc'!#REF!,0)</f>
        <v>#REF!</v>
      </c>
      <c r="AO40" t="e">
        <f>ROUND($E10*'Allocators Calc'!#REF!,0)</f>
        <v>#REF!</v>
      </c>
      <c r="AP40" t="e">
        <f>ROUND($E10*'Allocators Calc'!#REF!,0)</f>
        <v>#REF!</v>
      </c>
      <c r="AQ40" t="e">
        <f>ROUND($E10*'Allocators Calc'!#REF!,0)</f>
        <v>#REF!</v>
      </c>
      <c r="AR40" t="e">
        <f>ROUND($E10*'Allocators Calc'!#REF!,0)</f>
        <v>#REF!</v>
      </c>
      <c r="AS40" s="13" t="e">
        <f>ROUND($E10*'Allocators Calc'!#REF!,0)</f>
        <v>#REF!</v>
      </c>
      <c r="AT40">
        <f>ROUND($E10*'Allocators Calc'!AM40,0)</f>
        <v>8237</v>
      </c>
      <c r="AU40">
        <f>ROUND($E10*'Allocators Calc'!AN40,0)</f>
        <v>19221</v>
      </c>
      <c r="AV40">
        <f>ROUND($E10*'Allocators Calc'!AO40,0)</f>
        <v>41187</v>
      </c>
      <c r="AW40">
        <f>ROUND($E10*'Allocators Calc'!AP40,0)</f>
        <v>19813850</v>
      </c>
      <c r="AX40">
        <f>ROUND($E10*'Allocators Calc'!AQ40,0)</f>
        <v>3215542</v>
      </c>
      <c r="AY40" s="13">
        <f>ROUND($E10*'Allocators Calc'!AR40,0)</f>
        <v>1513467</v>
      </c>
      <c r="AZ40">
        <f>ROUND($E10*'Allocators Calc'!AS40,0)</f>
        <v>60392</v>
      </c>
      <c r="BA40">
        <f>ROUND($E10*'Allocators Calc'!AT40,0)</f>
        <v>138074</v>
      </c>
      <c r="BB40">
        <f>ROUND($E10*'Allocators Calc'!AU40,0)</f>
        <v>276464</v>
      </c>
      <c r="BC40">
        <f>ROUND($E10*'Allocators Calc'!AV40,0)</f>
        <v>31084148</v>
      </c>
      <c r="BD40">
        <f>ROUND($E10*'Allocators Calc'!AW40,0)</f>
        <v>28490103</v>
      </c>
      <c r="BE40" s="13">
        <f>ROUND($E10*'Allocators Calc'!AX40,0)</f>
        <v>2499992</v>
      </c>
      <c r="BF40" t="e">
        <f>ROUND($E10*'Allocators Calc'!#REF!,0)</f>
        <v>#REF!</v>
      </c>
      <c r="BG40" t="e">
        <f>ROUND($E10*'Allocators Calc'!#REF!,0)</f>
        <v>#REF!</v>
      </c>
      <c r="BH40" t="e">
        <f>ROUND($E10*'Allocators Calc'!#REF!,0)</f>
        <v>#REF!</v>
      </c>
      <c r="BI40" t="e">
        <f>ROUND($E10*'Allocators Calc'!#REF!,0)</f>
        <v>#REF!</v>
      </c>
      <c r="BJ40" t="e">
        <f>ROUND($E10*'Allocators Calc'!#REF!,0)</f>
        <v>#REF!</v>
      </c>
      <c r="BK40" s="13" t="e">
        <f>ROUND($E10*'Allocators Calc'!#REF!,0)</f>
        <v>#REF!</v>
      </c>
      <c r="BL40">
        <f>ROUND($E10*'Allocators Calc'!AY40,0)</f>
        <v>2749523</v>
      </c>
      <c r="BM40">
        <f>ROUND($E10*'Allocators Calc'!AZ40,0)</f>
        <v>5428527</v>
      </c>
      <c r="BN40">
        <f>ROUND($E10*'Allocators Calc'!BA40,0)</f>
        <v>8234808</v>
      </c>
      <c r="BO40">
        <f>ROUND($E10*'Allocators Calc'!BB40,0)</f>
        <v>51919338</v>
      </c>
      <c r="BP40">
        <f>ROUND($E10*'Allocators Calc'!BC40,0)</f>
        <v>28628500</v>
      </c>
      <c r="BQ40" s="13">
        <f>ROUND($E10*'Allocators Calc'!BD40,0)</f>
        <v>20978203</v>
      </c>
      <c r="BR40" t="e">
        <f>ROUND($E10*'Allocators Calc'!#REF!,0)</f>
        <v>#REF!</v>
      </c>
      <c r="BS40" t="e">
        <f>ROUND($E10*'Allocators Calc'!#REF!,0)</f>
        <v>#REF!</v>
      </c>
      <c r="BT40" t="e">
        <f>ROUND($E10*'Allocators Calc'!#REF!,0)</f>
        <v>#REF!</v>
      </c>
      <c r="BU40" t="e">
        <f>ROUND($E10*'Allocators Calc'!#REF!,0)</f>
        <v>#REF!</v>
      </c>
      <c r="BV40" t="e">
        <f>ROUND($E10*'Allocators Calc'!#REF!,0)</f>
        <v>#REF!</v>
      </c>
      <c r="BW40" s="13" t="e">
        <f>ROUND($E10*'Allocators Calc'!#REF!,0)</f>
        <v>#REF!</v>
      </c>
      <c r="BX40" t="e">
        <f>ROUND($E10*'Allocators Calc'!#REF!,0)</f>
        <v>#REF!</v>
      </c>
      <c r="BY40" t="e">
        <f>ROUND($E10*'Allocators Calc'!#REF!,0)</f>
        <v>#REF!</v>
      </c>
      <c r="BZ40" t="e">
        <f>ROUND($E10*'Allocators Calc'!#REF!,0)</f>
        <v>#REF!</v>
      </c>
      <c r="CA40" t="e">
        <f>ROUND($E10*'Allocators Calc'!#REF!,0)</f>
        <v>#REF!</v>
      </c>
      <c r="CB40" t="e">
        <f>ROUND($E10*'Allocators Calc'!#REF!,0)</f>
        <v>#REF!</v>
      </c>
      <c r="CC40" s="13" t="e">
        <f>ROUND($E10*'Allocators Calc'!#REF!,0)</f>
        <v>#REF!</v>
      </c>
      <c r="CD40">
        <f>ROUND($E10*'Allocators Calc'!BE40,0)</f>
        <v>0</v>
      </c>
      <c r="CE40">
        <f>ROUND($E10*'Allocators Calc'!BF40,0)</f>
        <v>0</v>
      </c>
      <c r="CF40">
        <f>ROUND($E10*'Allocators Calc'!BG40,0)</f>
        <v>0</v>
      </c>
      <c r="CG40">
        <f>ROUND($E10*'Allocators Calc'!BH40,0)</f>
        <v>0</v>
      </c>
      <c r="CH40">
        <f>ROUND($E10*'Allocators Calc'!BI40,0)</f>
        <v>0</v>
      </c>
      <c r="CI40" s="13">
        <f>ROUND($E10*'Allocators Calc'!BJ40,0)</f>
        <v>0</v>
      </c>
      <c r="CJ40">
        <f>ROUND($E10*'Allocators Calc'!BK40,0)</f>
        <v>0</v>
      </c>
      <c r="CK40">
        <f>ROUND($E10*'Allocators Calc'!BL40,0)</f>
        <v>0</v>
      </c>
      <c r="CL40">
        <f>ROUND($E10*'Allocators Calc'!BM40,0)</f>
        <v>0</v>
      </c>
      <c r="CM40">
        <f>ROUND($E10*'Allocators Calc'!BN40,0)</f>
        <v>0</v>
      </c>
      <c r="CN40">
        <f>ROUND($E10*'Allocators Calc'!BO40,0)</f>
        <v>0</v>
      </c>
      <c r="CO40" s="13">
        <f>ROUND($E10*'Allocators Calc'!BP40,0)</f>
        <v>0</v>
      </c>
      <c r="CP40" t="e">
        <f>ROUND($E10*'Allocators Calc'!#REF!,0)</f>
        <v>#REF!</v>
      </c>
      <c r="CQ40" t="e">
        <f>ROUND($E10*'Allocators Calc'!#REF!,0)</f>
        <v>#REF!</v>
      </c>
      <c r="CR40" t="e">
        <f>ROUND($E10*'Allocators Calc'!#REF!,0)</f>
        <v>#REF!</v>
      </c>
      <c r="CS40" t="e">
        <f>ROUND($E10*'Allocators Calc'!#REF!,0)</f>
        <v>#REF!</v>
      </c>
      <c r="CT40" t="e">
        <f>ROUND($E10*'Allocators Calc'!#REF!,0)</f>
        <v>#REF!</v>
      </c>
      <c r="CU40" t="e">
        <f>ROUND($E10*'Allocators Calc'!#REF!,0)</f>
        <v>#REF!</v>
      </c>
    </row>
    <row r="41" spans="16:99" x14ac:dyDescent="0.2">
      <c r="P41" t="e">
        <f>ROUND($E11*'Allocators Calc'!#REF!,0)</f>
        <v>#REF!</v>
      </c>
      <c r="Q41" t="e">
        <f>ROUND($E11*'Allocators Calc'!#REF!,0)</f>
        <v>#REF!</v>
      </c>
      <c r="R41" t="e">
        <f>ROUND($E11*'Allocators Calc'!#REF!,0)</f>
        <v>#REF!</v>
      </c>
      <c r="S41" t="e">
        <f>ROUND($E11*'Allocators Calc'!#REF!,0)</f>
        <v>#REF!</v>
      </c>
      <c r="T41" t="e">
        <f>ROUND($E11*'Allocators Calc'!#REF!,0)</f>
        <v>#REF!</v>
      </c>
      <c r="U41" s="13" t="e">
        <f>ROUND($E11*'Allocators Calc'!#REF!,0)</f>
        <v>#REF!</v>
      </c>
      <c r="V41" t="e">
        <f>ROUND($E11*'Allocators Calc'!#REF!,0)</f>
        <v>#REF!</v>
      </c>
      <c r="W41" t="e">
        <f>ROUND($E11*'Allocators Calc'!#REF!,0)</f>
        <v>#REF!</v>
      </c>
      <c r="X41" t="e">
        <f>ROUND($E11*'Allocators Calc'!#REF!,0)</f>
        <v>#REF!</v>
      </c>
      <c r="Y41" t="e">
        <f>ROUND($E11*'Allocators Calc'!#REF!,0)</f>
        <v>#REF!</v>
      </c>
      <c r="Z41" t="e">
        <f>ROUND($E11*'Allocators Calc'!#REF!,0)</f>
        <v>#REF!</v>
      </c>
      <c r="AA41" s="13" t="e">
        <f>ROUND($E11*'Allocators Calc'!#REF!,0)</f>
        <v>#REF!</v>
      </c>
      <c r="AB41">
        <f>ROUND($E11*'Allocators Calc'!AG41,0)</f>
        <v>6403</v>
      </c>
      <c r="AC41">
        <f>ROUND($E11*'Allocators Calc'!AH41,0)</f>
        <v>13360</v>
      </c>
      <c r="AD41">
        <f>ROUND($E11*'Allocators Calc'!AI41,0)</f>
        <v>26768</v>
      </c>
      <c r="AE41">
        <f>ROUND($E11*'Allocators Calc'!AJ41,0)</f>
        <v>7308709</v>
      </c>
      <c r="AF41">
        <f>ROUND($E11*'Allocators Calc'!AK41,0)</f>
        <v>2970396</v>
      </c>
      <c r="AG41" s="13">
        <f>ROUND($E11*'Allocators Calc'!AL41,0)</f>
        <v>3014194</v>
      </c>
      <c r="AH41" t="e">
        <f>ROUND($E11*'Allocators Calc'!#REF!,0)</f>
        <v>#REF!</v>
      </c>
      <c r="AI41" t="e">
        <f>ROUND($E11*'Allocators Calc'!#REF!,0)</f>
        <v>#REF!</v>
      </c>
      <c r="AJ41" t="e">
        <f>ROUND($E11*'Allocators Calc'!#REF!,0)</f>
        <v>#REF!</v>
      </c>
      <c r="AK41" t="e">
        <f>ROUND($E11*'Allocators Calc'!#REF!,0)</f>
        <v>#REF!</v>
      </c>
      <c r="AL41" t="e">
        <f>ROUND($E11*'Allocators Calc'!#REF!,0)</f>
        <v>#REF!</v>
      </c>
      <c r="AM41" s="13" t="e">
        <f>ROUND($E11*'Allocators Calc'!#REF!,0)</f>
        <v>#REF!</v>
      </c>
      <c r="AN41" t="e">
        <f>ROUND($E11*'Allocators Calc'!#REF!,0)</f>
        <v>#REF!</v>
      </c>
      <c r="AO41" t="e">
        <f>ROUND($E11*'Allocators Calc'!#REF!,0)</f>
        <v>#REF!</v>
      </c>
      <c r="AP41" t="e">
        <f>ROUND($E11*'Allocators Calc'!#REF!,0)</f>
        <v>#REF!</v>
      </c>
      <c r="AQ41" t="e">
        <f>ROUND($E11*'Allocators Calc'!#REF!,0)</f>
        <v>#REF!</v>
      </c>
      <c r="AR41" t="e">
        <f>ROUND($E11*'Allocators Calc'!#REF!,0)</f>
        <v>#REF!</v>
      </c>
      <c r="AS41" s="13" t="e">
        <f>ROUND($E11*'Allocators Calc'!#REF!,0)</f>
        <v>#REF!</v>
      </c>
      <c r="AT41">
        <f>ROUND($E11*'Allocators Calc'!AM41,0)</f>
        <v>8138</v>
      </c>
      <c r="AU41">
        <f>ROUND($E11*'Allocators Calc'!AN41,0)</f>
        <v>18990</v>
      </c>
      <c r="AV41">
        <f>ROUND($E11*'Allocators Calc'!AO41,0)</f>
        <v>40692</v>
      </c>
      <c r="AW41">
        <f>ROUND($E11*'Allocators Calc'!AP41,0)</f>
        <v>19575724</v>
      </c>
      <c r="AX41">
        <f>ROUND($E11*'Allocators Calc'!AQ41,0)</f>
        <v>3176897</v>
      </c>
      <c r="AY41" s="13">
        <f>ROUND($E11*'Allocators Calc'!AR41,0)</f>
        <v>1495278</v>
      </c>
      <c r="AZ41">
        <f>ROUND($E11*'Allocators Calc'!AS41,0)</f>
        <v>53860</v>
      </c>
      <c r="BA41">
        <f>ROUND($E11*'Allocators Calc'!AT41,0)</f>
        <v>123139</v>
      </c>
      <c r="BB41">
        <f>ROUND($E11*'Allocators Calc'!AU41,0)</f>
        <v>246559</v>
      </c>
      <c r="BC41">
        <f>ROUND($E11*'Allocators Calc'!AV41,0)</f>
        <v>27721814</v>
      </c>
      <c r="BD41">
        <f>ROUND($E11*'Allocators Calc'!AW41,0)</f>
        <v>25408363</v>
      </c>
      <c r="BE41" s="13">
        <f>ROUND($E11*'Allocators Calc'!AX41,0)</f>
        <v>2229571</v>
      </c>
      <c r="BF41" t="e">
        <f>ROUND($E11*'Allocators Calc'!#REF!,0)</f>
        <v>#REF!</v>
      </c>
      <c r="BG41" t="e">
        <f>ROUND($E11*'Allocators Calc'!#REF!,0)</f>
        <v>#REF!</v>
      </c>
      <c r="BH41" t="e">
        <f>ROUND($E11*'Allocators Calc'!#REF!,0)</f>
        <v>#REF!</v>
      </c>
      <c r="BI41" t="e">
        <f>ROUND($E11*'Allocators Calc'!#REF!,0)</f>
        <v>#REF!</v>
      </c>
      <c r="BJ41" t="e">
        <f>ROUND($E11*'Allocators Calc'!#REF!,0)</f>
        <v>#REF!</v>
      </c>
      <c r="BK41" s="13" t="e">
        <f>ROUND($E11*'Allocators Calc'!#REF!,0)</f>
        <v>#REF!</v>
      </c>
      <c r="BL41">
        <f>ROUND($E11*'Allocators Calc'!AY41,0)</f>
        <v>2452076</v>
      </c>
      <c r="BM41">
        <f>ROUND($E11*'Allocators Calc'!AZ41,0)</f>
        <v>4841263</v>
      </c>
      <c r="BN41">
        <f>ROUND($E11*'Allocators Calc'!BA41,0)</f>
        <v>7343958</v>
      </c>
      <c r="BO41">
        <f>ROUND($E11*'Allocators Calc'!BB41,0)</f>
        <v>46302649</v>
      </c>
      <c r="BP41">
        <f>ROUND($E11*'Allocators Calc'!BC41,0)</f>
        <v>25531439</v>
      </c>
      <c r="BQ41" s="13">
        <f>ROUND($E11*'Allocators Calc'!BD41,0)</f>
        <v>18708758</v>
      </c>
      <c r="BR41" t="e">
        <f>ROUND($E11*'Allocators Calc'!#REF!,0)</f>
        <v>#REF!</v>
      </c>
      <c r="BS41" t="e">
        <f>ROUND($E11*'Allocators Calc'!#REF!,0)</f>
        <v>#REF!</v>
      </c>
      <c r="BT41" t="e">
        <f>ROUND($E11*'Allocators Calc'!#REF!,0)</f>
        <v>#REF!</v>
      </c>
      <c r="BU41" t="e">
        <f>ROUND($E11*'Allocators Calc'!#REF!,0)</f>
        <v>#REF!</v>
      </c>
      <c r="BV41" t="e">
        <f>ROUND($E11*'Allocators Calc'!#REF!,0)</f>
        <v>#REF!</v>
      </c>
      <c r="BW41" s="13" t="e">
        <f>ROUND($E11*'Allocators Calc'!#REF!,0)</f>
        <v>#REF!</v>
      </c>
      <c r="BX41" t="e">
        <f>ROUND($E11*'Allocators Calc'!#REF!,0)</f>
        <v>#REF!</v>
      </c>
      <c r="BY41" t="e">
        <f>ROUND($E11*'Allocators Calc'!#REF!,0)</f>
        <v>#REF!</v>
      </c>
      <c r="BZ41" t="e">
        <f>ROUND($E11*'Allocators Calc'!#REF!,0)</f>
        <v>#REF!</v>
      </c>
      <c r="CA41" t="e">
        <f>ROUND($E11*'Allocators Calc'!#REF!,0)</f>
        <v>#REF!</v>
      </c>
      <c r="CB41" t="e">
        <f>ROUND($E11*'Allocators Calc'!#REF!,0)</f>
        <v>#REF!</v>
      </c>
      <c r="CC41" s="13" t="e">
        <f>ROUND($E11*'Allocators Calc'!#REF!,0)</f>
        <v>#REF!</v>
      </c>
      <c r="CD41">
        <f>ROUND($E11*'Allocators Calc'!BE41,0)</f>
        <v>0</v>
      </c>
      <c r="CE41">
        <f>ROUND($E11*'Allocators Calc'!BF41,0)</f>
        <v>0</v>
      </c>
      <c r="CF41">
        <f>ROUND($E11*'Allocators Calc'!BG41,0)</f>
        <v>0</v>
      </c>
      <c r="CG41">
        <f>ROUND($E11*'Allocators Calc'!BH41,0)</f>
        <v>0</v>
      </c>
      <c r="CH41">
        <f>ROUND($E11*'Allocators Calc'!BI41,0)</f>
        <v>0</v>
      </c>
      <c r="CI41" s="13">
        <f>ROUND($E11*'Allocators Calc'!BJ41,0)</f>
        <v>0</v>
      </c>
      <c r="CJ41">
        <f>ROUND($E11*'Allocators Calc'!BK41,0)</f>
        <v>0</v>
      </c>
      <c r="CK41">
        <f>ROUND($E11*'Allocators Calc'!BL41,0)</f>
        <v>0</v>
      </c>
      <c r="CL41">
        <f>ROUND($E11*'Allocators Calc'!BM41,0)</f>
        <v>0</v>
      </c>
      <c r="CM41">
        <f>ROUND($E11*'Allocators Calc'!BN41,0)</f>
        <v>0</v>
      </c>
      <c r="CN41">
        <f>ROUND($E11*'Allocators Calc'!BO41,0)</f>
        <v>0</v>
      </c>
      <c r="CO41" s="13">
        <f>ROUND($E11*'Allocators Calc'!BP41,0)</f>
        <v>0</v>
      </c>
      <c r="CP41" t="e">
        <f>ROUND($E11*'Allocators Calc'!#REF!,0)</f>
        <v>#REF!</v>
      </c>
      <c r="CQ41" t="e">
        <f>ROUND($E11*'Allocators Calc'!#REF!,0)</f>
        <v>#REF!</v>
      </c>
      <c r="CR41" t="e">
        <f>ROUND($E11*'Allocators Calc'!#REF!,0)</f>
        <v>#REF!</v>
      </c>
      <c r="CS41" t="e">
        <f>ROUND($E11*'Allocators Calc'!#REF!,0)</f>
        <v>#REF!</v>
      </c>
      <c r="CT41" t="e">
        <f>ROUND($E11*'Allocators Calc'!#REF!,0)</f>
        <v>#REF!</v>
      </c>
      <c r="CU41" t="e">
        <f>ROUND($E11*'Allocators Calc'!#REF!,0)</f>
        <v>#REF!</v>
      </c>
    </row>
    <row r="42" spans="16:99" x14ac:dyDescent="0.2">
      <c r="P42" t="e">
        <f>ROUND($E12*'Allocators Calc'!#REF!,0)</f>
        <v>#REF!</v>
      </c>
      <c r="Q42" t="e">
        <f>ROUND($E12*'Allocators Calc'!#REF!,0)</f>
        <v>#REF!</v>
      </c>
      <c r="R42" t="e">
        <f>ROUND($E12*'Allocators Calc'!#REF!,0)</f>
        <v>#REF!</v>
      </c>
      <c r="S42" t="e">
        <f>ROUND($E12*'Allocators Calc'!#REF!,0)</f>
        <v>#REF!</v>
      </c>
      <c r="T42" t="e">
        <f>ROUND($E12*'Allocators Calc'!#REF!,0)</f>
        <v>#REF!</v>
      </c>
      <c r="U42" s="13" t="e">
        <f>ROUND($E12*'Allocators Calc'!#REF!,0)</f>
        <v>#REF!</v>
      </c>
      <c r="V42" t="e">
        <f>ROUND($E12*'Allocators Calc'!#REF!,0)</f>
        <v>#REF!</v>
      </c>
      <c r="W42" t="e">
        <f>ROUND($E12*'Allocators Calc'!#REF!,0)</f>
        <v>#REF!</v>
      </c>
      <c r="X42" t="e">
        <f>ROUND($E12*'Allocators Calc'!#REF!,0)</f>
        <v>#REF!</v>
      </c>
      <c r="Y42" t="e">
        <f>ROUND($E12*'Allocators Calc'!#REF!,0)</f>
        <v>#REF!</v>
      </c>
      <c r="Z42" t="e">
        <f>ROUND($E12*'Allocators Calc'!#REF!,0)</f>
        <v>#REF!</v>
      </c>
      <c r="AA42" s="13" t="e">
        <f>ROUND($E12*'Allocators Calc'!#REF!,0)</f>
        <v>#REF!</v>
      </c>
      <c r="AB42">
        <f>ROUND($E12*'Allocators Calc'!AG42,0)</f>
        <v>7276</v>
      </c>
      <c r="AC42">
        <f>ROUND($E12*'Allocators Calc'!AH42,0)</f>
        <v>15182</v>
      </c>
      <c r="AD42">
        <f>ROUND($E12*'Allocators Calc'!AI42,0)</f>
        <v>30418</v>
      </c>
      <c r="AE42">
        <f>ROUND($E12*'Allocators Calc'!AJ42,0)</f>
        <v>8305143</v>
      </c>
      <c r="AF42">
        <f>ROUND($E12*'Allocators Calc'!AK42,0)</f>
        <v>3375365</v>
      </c>
      <c r="AG42" s="13">
        <f>ROUND($E12*'Allocators Calc'!AL42,0)</f>
        <v>3425135</v>
      </c>
      <c r="AH42" t="e">
        <f>ROUND($E12*'Allocators Calc'!#REF!,0)</f>
        <v>#REF!</v>
      </c>
      <c r="AI42" t="e">
        <f>ROUND($E12*'Allocators Calc'!#REF!,0)</f>
        <v>#REF!</v>
      </c>
      <c r="AJ42" t="e">
        <f>ROUND($E12*'Allocators Calc'!#REF!,0)</f>
        <v>#REF!</v>
      </c>
      <c r="AK42" t="e">
        <f>ROUND($E12*'Allocators Calc'!#REF!,0)</f>
        <v>#REF!</v>
      </c>
      <c r="AL42" t="e">
        <f>ROUND($E12*'Allocators Calc'!#REF!,0)</f>
        <v>#REF!</v>
      </c>
      <c r="AM42" s="13" t="e">
        <f>ROUND($E12*'Allocators Calc'!#REF!,0)</f>
        <v>#REF!</v>
      </c>
      <c r="AN42" t="e">
        <f>ROUND($E12*'Allocators Calc'!#REF!,0)</f>
        <v>#REF!</v>
      </c>
      <c r="AO42" t="e">
        <f>ROUND($E12*'Allocators Calc'!#REF!,0)</f>
        <v>#REF!</v>
      </c>
      <c r="AP42" t="e">
        <f>ROUND($E12*'Allocators Calc'!#REF!,0)</f>
        <v>#REF!</v>
      </c>
      <c r="AQ42" t="e">
        <f>ROUND($E12*'Allocators Calc'!#REF!,0)</f>
        <v>#REF!</v>
      </c>
      <c r="AR42" t="e">
        <f>ROUND($E12*'Allocators Calc'!#REF!,0)</f>
        <v>#REF!</v>
      </c>
      <c r="AS42" s="13" t="e">
        <f>ROUND($E12*'Allocators Calc'!#REF!,0)</f>
        <v>#REF!</v>
      </c>
      <c r="AT42">
        <f>ROUND($E12*'Allocators Calc'!AM42,0)</f>
        <v>8809</v>
      </c>
      <c r="AU42">
        <f>ROUND($E12*'Allocators Calc'!AN42,0)</f>
        <v>20554</v>
      </c>
      <c r="AV42">
        <f>ROUND($E12*'Allocators Calc'!AO42,0)</f>
        <v>44044</v>
      </c>
      <c r="AW42">
        <f>ROUND($E12*'Allocators Calc'!AP42,0)</f>
        <v>21188099</v>
      </c>
      <c r="AX42">
        <f>ROUND($E12*'Allocators Calc'!AQ42,0)</f>
        <v>3438566</v>
      </c>
      <c r="AY42" s="13">
        <f>ROUND($E12*'Allocators Calc'!AR42,0)</f>
        <v>1618438</v>
      </c>
      <c r="AZ42">
        <f>ROUND($E12*'Allocators Calc'!AS42,0)</f>
        <v>53597</v>
      </c>
      <c r="BA42">
        <f>ROUND($E12*'Allocators Calc'!AT42,0)</f>
        <v>122539</v>
      </c>
      <c r="BB42">
        <f>ROUND($E12*'Allocators Calc'!AU42,0)</f>
        <v>245358</v>
      </c>
      <c r="BC42">
        <f>ROUND($E12*'Allocators Calc'!AV42,0)</f>
        <v>27586746</v>
      </c>
      <c r="BD42">
        <f>ROUND($E12*'Allocators Calc'!AW42,0)</f>
        <v>25284567</v>
      </c>
      <c r="BE42" s="13">
        <f>ROUND($E12*'Allocators Calc'!AX42,0)</f>
        <v>2218708</v>
      </c>
      <c r="BF42" t="e">
        <f>ROUND($E12*'Allocators Calc'!#REF!,0)</f>
        <v>#REF!</v>
      </c>
      <c r="BG42" t="e">
        <f>ROUND($E12*'Allocators Calc'!#REF!,0)</f>
        <v>#REF!</v>
      </c>
      <c r="BH42" t="e">
        <f>ROUND($E12*'Allocators Calc'!#REF!,0)</f>
        <v>#REF!</v>
      </c>
      <c r="BI42" t="e">
        <f>ROUND($E12*'Allocators Calc'!#REF!,0)</f>
        <v>#REF!</v>
      </c>
      <c r="BJ42" t="e">
        <f>ROUND($E12*'Allocators Calc'!#REF!,0)</f>
        <v>#REF!</v>
      </c>
      <c r="BK42" s="13" t="e">
        <f>ROUND($E12*'Allocators Calc'!#REF!,0)</f>
        <v>#REF!</v>
      </c>
      <c r="BL42">
        <f>ROUND($E12*'Allocators Calc'!AY42,0)</f>
        <v>2407737</v>
      </c>
      <c r="BM42">
        <f>ROUND($E12*'Allocators Calc'!AZ42,0)</f>
        <v>4753722</v>
      </c>
      <c r="BN42">
        <f>ROUND($E12*'Allocators Calc'!BA42,0)</f>
        <v>7211163</v>
      </c>
      <c r="BO42">
        <f>ROUND($E12*'Allocators Calc'!BB42,0)</f>
        <v>45465393</v>
      </c>
      <c r="BP42">
        <f>ROUND($E12*'Allocators Calc'!BC42,0)</f>
        <v>25069773</v>
      </c>
      <c r="BQ42" s="13">
        <f>ROUND($E12*'Allocators Calc'!BD42,0)</f>
        <v>18370462</v>
      </c>
      <c r="BR42" t="e">
        <f>ROUND($E12*'Allocators Calc'!#REF!,0)</f>
        <v>#REF!</v>
      </c>
      <c r="BS42" t="e">
        <f>ROUND($E12*'Allocators Calc'!#REF!,0)</f>
        <v>#REF!</v>
      </c>
      <c r="BT42" t="e">
        <f>ROUND($E12*'Allocators Calc'!#REF!,0)</f>
        <v>#REF!</v>
      </c>
      <c r="BU42" t="e">
        <f>ROUND($E12*'Allocators Calc'!#REF!,0)</f>
        <v>#REF!</v>
      </c>
      <c r="BV42" t="e">
        <f>ROUND($E12*'Allocators Calc'!#REF!,0)</f>
        <v>#REF!</v>
      </c>
      <c r="BW42" s="13" t="e">
        <f>ROUND($E12*'Allocators Calc'!#REF!,0)</f>
        <v>#REF!</v>
      </c>
      <c r="BX42" t="e">
        <f>ROUND($E12*'Allocators Calc'!#REF!,0)</f>
        <v>#REF!</v>
      </c>
      <c r="BY42" t="e">
        <f>ROUND($E12*'Allocators Calc'!#REF!,0)</f>
        <v>#REF!</v>
      </c>
      <c r="BZ42" t="e">
        <f>ROUND($E12*'Allocators Calc'!#REF!,0)</f>
        <v>#REF!</v>
      </c>
      <c r="CA42" t="e">
        <f>ROUND($E12*'Allocators Calc'!#REF!,0)</f>
        <v>#REF!</v>
      </c>
      <c r="CB42" t="e">
        <f>ROUND($E12*'Allocators Calc'!#REF!,0)</f>
        <v>#REF!</v>
      </c>
      <c r="CC42" s="13" t="e">
        <f>ROUND($E12*'Allocators Calc'!#REF!,0)</f>
        <v>#REF!</v>
      </c>
      <c r="CD42">
        <f>ROUND($E12*'Allocators Calc'!BE42,0)</f>
        <v>0</v>
      </c>
      <c r="CE42">
        <f>ROUND($E12*'Allocators Calc'!BF42,0)</f>
        <v>0</v>
      </c>
      <c r="CF42">
        <f>ROUND($E12*'Allocators Calc'!BG42,0)</f>
        <v>0</v>
      </c>
      <c r="CG42">
        <f>ROUND($E12*'Allocators Calc'!BH42,0)</f>
        <v>0</v>
      </c>
      <c r="CH42">
        <f>ROUND($E12*'Allocators Calc'!BI42,0)</f>
        <v>0</v>
      </c>
      <c r="CI42" s="13">
        <f>ROUND($E12*'Allocators Calc'!BJ42,0)</f>
        <v>0</v>
      </c>
      <c r="CJ42">
        <f>ROUND($E12*'Allocators Calc'!BK42,0)</f>
        <v>0</v>
      </c>
      <c r="CK42">
        <f>ROUND($E12*'Allocators Calc'!BL42,0)</f>
        <v>0</v>
      </c>
      <c r="CL42">
        <f>ROUND($E12*'Allocators Calc'!BM42,0)</f>
        <v>0</v>
      </c>
      <c r="CM42">
        <f>ROUND($E12*'Allocators Calc'!BN42,0)</f>
        <v>0</v>
      </c>
      <c r="CN42">
        <f>ROUND($E12*'Allocators Calc'!BO42,0)</f>
        <v>0</v>
      </c>
      <c r="CO42" s="13">
        <f>ROUND($E12*'Allocators Calc'!BP42,0)</f>
        <v>0</v>
      </c>
      <c r="CP42" t="e">
        <f>ROUND($E12*'Allocators Calc'!#REF!,0)</f>
        <v>#REF!</v>
      </c>
      <c r="CQ42" t="e">
        <f>ROUND($E12*'Allocators Calc'!#REF!,0)</f>
        <v>#REF!</v>
      </c>
      <c r="CR42" t="e">
        <f>ROUND($E12*'Allocators Calc'!#REF!,0)</f>
        <v>#REF!</v>
      </c>
      <c r="CS42" t="e">
        <f>ROUND($E12*'Allocators Calc'!#REF!,0)</f>
        <v>#REF!</v>
      </c>
      <c r="CT42" t="e">
        <f>ROUND($E12*'Allocators Calc'!#REF!,0)</f>
        <v>#REF!</v>
      </c>
      <c r="CU42" t="e">
        <f>ROUND($E12*'Allocators Calc'!#REF!,0)</f>
        <v>#REF!</v>
      </c>
    </row>
    <row r="43" spans="16:99" x14ac:dyDescent="0.2">
      <c r="P43" t="e">
        <f>ROUND($E13*'Allocators Calc'!#REF!,0)</f>
        <v>#REF!</v>
      </c>
      <c r="Q43" t="e">
        <f>ROUND($E13*'Allocators Calc'!#REF!,0)</f>
        <v>#REF!</v>
      </c>
      <c r="R43" t="e">
        <f>ROUND($E13*'Allocators Calc'!#REF!,0)</f>
        <v>#REF!</v>
      </c>
      <c r="S43" t="e">
        <f>ROUND($E13*'Allocators Calc'!#REF!,0)</f>
        <v>#REF!</v>
      </c>
      <c r="T43" t="e">
        <f>ROUND($E13*'Allocators Calc'!#REF!,0)</f>
        <v>#REF!</v>
      </c>
      <c r="U43" s="13" t="e">
        <f>ROUND($E13*'Allocators Calc'!#REF!,0)</f>
        <v>#REF!</v>
      </c>
      <c r="V43" t="e">
        <f>ROUND($E13*'Allocators Calc'!#REF!,0)</f>
        <v>#REF!</v>
      </c>
      <c r="W43" t="e">
        <f>ROUND($E13*'Allocators Calc'!#REF!,0)</f>
        <v>#REF!</v>
      </c>
      <c r="X43" t="e">
        <f>ROUND($E13*'Allocators Calc'!#REF!,0)</f>
        <v>#REF!</v>
      </c>
      <c r="Y43" t="e">
        <f>ROUND($E13*'Allocators Calc'!#REF!,0)</f>
        <v>#REF!</v>
      </c>
      <c r="Z43" t="e">
        <f>ROUND($E13*'Allocators Calc'!#REF!,0)</f>
        <v>#REF!</v>
      </c>
      <c r="AA43" s="13" t="e">
        <f>ROUND($E13*'Allocators Calc'!#REF!,0)</f>
        <v>#REF!</v>
      </c>
      <c r="AB43">
        <f>ROUND($E13*'Allocators Calc'!AG43,0)</f>
        <v>7354</v>
      </c>
      <c r="AC43">
        <f>ROUND($E13*'Allocators Calc'!AH43,0)</f>
        <v>15346</v>
      </c>
      <c r="AD43">
        <f>ROUND($E13*'Allocators Calc'!AI43,0)</f>
        <v>30746</v>
      </c>
      <c r="AE43">
        <f>ROUND($E13*'Allocators Calc'!AJ43,0)</f>
        <v>8394627</v>
      </c>
      <c r="AF43">
        <f>ROUND($E13*'Allocators Calc'!AK43,0)</f>
        <v>3411733</v>
      </c>
      <c r="AG43" s="13">
        <f>ROUND($E13*'Allocators Calc'!AL43,0)</f>
        <v>3462039</v>
      </c>
      <c r="AH43" t="e">
        <f>ROUND($E13*'Allocators Calc'!#REF!,0)</f>
        <v>#REF!</v>
      </c>
      <c r="AI43" t="e">
        <f>ROUND($E13*'Allocators Calc'!#REF!,0)</f>
        <v>#REF!</v>
      </c>
      <c r="AJ43" t="e">
        <f>ROUND($E13*'Allocators Calc'!#REF!,0)</f>
        <v>#REF!</v>
      </c>
      <c r="AK43" t="e">
        <f>ROUND($E13*'Allocators Calc'!#REF!,0)</f>
        <v>#REF!</v>
      </c>
      <c r="AL43" t="e">
        <f>ROUND($E13*'Allocators Calc'!#REF!,0)</f>
        <v>#REF!</v>
      </c>
      <c r="AM43" s="13" t="e">
        <f>ROUND($E13*'Allocators Calc'!#REF!,0)</f>
        <v>#REF!</v>
      </c>
      <c r="AN43" t="e">
        <f>ROUND($E13*'Allocators Calc'!#REF!,0)</f>
        <v>#REF!</v>
      </c>
      <c r="AO43" t="e">
        <f>ROUND($E13*'Allocators Calc'!#REF!,0)</f>
        <v>#REF!</v>
      </c>
      <c r="AP43" t="e">
        <f>ROUND($E13*'Allocators Calc'!#REF!,0)</f>
        <v>#REF!</v>
      </c>
      <c r="AQ43" t="e">
        <f>ROUND($E13*'Allocators Calc'!#REF!,0)</f>
        <v>#REF!</v>
      </c>
      <c r="AR43" t="e">
        <f>ROUND($E13*'Allocators Calc'!#REF!,0)</f>
        <v>#REF!</v>
      </c>
      <c r="AS43" s="13" t="e">
        <f>ROUND($E13*'Allocators Calc'!#REF!,0)</f>
        <v>#REF!</v>
      </c>
      <c r="AT43">
        <f>ROUND($E13*'Allocators Calc'!AM43,0)</f>
        <v>8414</v>
      </c>
      <c r="AU43">
        <f>ROUND($E13*'Allocators Calc'!AN43,0)</f>
        <v>19632</v>
      </c>
      <c r="AV43">
        <f>ROUND($E13*'Allocators Calc'!AO43,0)</f>
        <v>42068</v>
      </c>
      <c r="AW43">
        <f>ROUND($E13*'Allocators Calc'!AP43,0)</f>
        <v>20237455</v>
      </c>
      <c r="AX43">
        <f>ROUND($E13*'Allocators Calc'!AQ43,0)</f>
        <v>3284288</v>
      </c>
      <c r="AY43" s="13">
        <f>ROUND($E13*'Allocators Calc'!AR43,0)</f>
        <v>1545824</v>
      </c>
      <c r="AZ43">
        <f>ROUND($E13*'Allocators Calc'!AS43,0)</f>
        <v>54282</v>
      </c>
      <c r="BA43">
        <f>ROUND($E13*'Allocators Calc'!AT43,0)</f>
        <v>124104</v>
      </c>
      <c r="BB43">
        <f>ROUND($E13*'Allocators Calc'!AU43,0)</f>
        <v>248490</v>
      </c>
      <c r="BC43">
        <f>ROUND($E13*'Allocators Calc'!AV43,0)</f>
        <v>27938976</v>
      </c>
      <c r="BD43">
        <f>ROUND($E13*'Allocators Calc'!AW43,0)</f>
        <v>25607403</v>
      </c>
      <c r="BE43" s="13">
        <f>ROUND($E13*'Allocators Calc'!AX43,0)</f>
        <v>2247037</v>
      </c>
      <c r="BF43" t="e">
        <f>ROUND($E13*'Allocators Calc'!#REF!,0)</f>
        <v>#REF!</v>
      </c>
      <c r="BG43" t="e">
        <f>ROUND($E13*'Allocators Calc'!#REF!,0)</f>
        <v>#REF!</v>
      </c>
      <c r="BH43" t="e">
        <f>ROUND($E13*'Allocators Calc'!#REF!,0)</f>
        <v>#REF!</v>
      </c>
      <c r="BI43" t="e">
        <f>ROUND($E13*'Allocators Calc'!#REF!,0)</f>
        <v>#REF!</v>
      </c>
      <c r="BJ43" t="e">
        <f>ROUND($E13*'Allocators Calc'!#REF!,0)</f>
        <v>#REF!</v>
      </c>
      <c r="BK43" s="13" t="e">
        <f>ROUND($E13*'Allocators Calc'!#REF!,0)</f>
        <v>#REF!</v>
      </c>
      <c r="BL43">
        <f>ROUND($E13*'Allocators Calc'!AY43,0)</f>
        <v>2448911</v>
      </c>
      <c r="BM43">
        <f>ROUND($E13*'Allocators Calc'!AZ43,0)</f>
        <v>4835014</v>
      </c>
      <c r="BN43">
        <f>ROUND($E13*'Allocators Calc'!BA43,0)</f>
        <v>7334479</v>
      </c>
      <c r="BO43">
        <f>ROUND($E13*'Allocators Calc'!BB43,0)</f>
        <v>46242883</v>
      </c>
      <c r="BP43">
        <f>ROUND($E13*'Allocators Calc'!BC43,0)</f>
        <v>25498483</v>
      </c>
      <c r="BQ43" s="13">
        <f>ROUND($E13*'Allocators Calc'!BD43,0)</f>
        <v>18684610</v>
      </c>
      <c r="BR43" t="e">
        <f>ROUND($E13*'Allocators Calc'!#REF!,0)</f>
        <v>#REF!</v>
      </c>
      <c r="BS43" t="e">
        <f>ROUND($E13*'Allocators Calc'!#REF!,0)</f>
        <v>#REF!</v>
      </c>
      <c r="BT43" t="e">
        <f>ROUND($E13*'Allocators Calc'!#REF!,0)</f>
        <v>#REF!</v>
      </c>
      <c r="BU43" t="e">
        <f>ROUND($E13*'Allocators Calc'!#REF!,0)</f>
        <v>#REF!</v>
      </c>
      <c r="BV43" t="e">
        <f>ROUND($E13*'Allocators Calc'!#REF!,0)</f>
        <v>#REF!</v>
      </c>
      <c r="BW43" s="13" t="e">
        <f>ROUND($E13*'Allocators Calc'!#REF!,0)</f>
        <v>#REF!</v>
      </c>
      <c r="BX43" t="e">
        <f>ROUND($E13*'Allocators Calc'!#REF!,0)</f>
        <v>#REF!</v>
      </c>
      <c r="BY43" t="e">
        <f>ROUND($E13*'Allocators Calc'!#REF!,0)</f>
        <v>#REF!</v>
      </c>
      <c r="BZ43" t="e">
        <f>ROUND($E13*'Allocators Calc'!#REF!,0)</f>
        <v>#REF!</v>
      </c>
      <c r="CA43" t="e">
        <f>ROUND($E13*'Allocators Calc'!#REF!,0)</f>
        <v>#REF!</v>
      </c>
      <c r="CB43" t="e">
        <f>ROUND($E13*'Allocators Calc'!#REF!,0)</f>
        <v>#REF!</v>
      </c>
      <c r="CC43" s="13" t="e">
        <f>ROUND($E13*'Allocators Calc'!#REF!,0)</f>
        <v>#REF!</v>
      </c>
      <c r="CD43">
        <f>ROUND($E13*'Allocators Calc'!BE43,0)</f>
        <v>0</v>
      </c>
      <c r="CE43">
        <f>ROUND($E13*'Allocators Calc'!BF43,0)</f>
        <v>0</v>
      </c>
      <c r="CF43">
        <f>ROUND($E13*'Allocators Calc'!BG43,0)</f>
        <v>0</v>
      </c>
      <c r="CG43">
        <f>ROUND($E13*'Allocators Calc'!BH43,0)</f>
        <v>0</v>
      </c>
      <c r="CH43">
        <f>ROUND($E13*'Allocators Calc'!BI43,0)</f>
        <v>0</v>
      </c>
      <c r="CI43" s="13">
        <f>ROUND($E13*'Allocators Calc'!BJ43,0)</f>
        <v>0</v>
      </c>
      <c r="CJ43">
        <f>ROUND($E13*'Allocators Calc'!BK43,0)</f>
        <v>0</v>
      </c>
      <c r="CK43">
        <f>ROUND($E13*'Allocators Calc'!BL43,0)</f>
        <v>0</v>
      </c>
      <c r="CL43">
        <f>ROUND($E13*'Allocators Calc'!BM43,0)</f>
        <v>0</v>
      </c>
      <c r="CM43">
        <f>ROUND($E13*'Allocators Calc'!BN43,0)</f>
        <v>0</v>
      </c>
      <c r="CN43">
        <f>ROUND($E13*'Allocators Calc'!BO43,0)</f>
        <v>0</v>
      </c>
      <c r="CO43" s="13">
        <f>ROUND($E13*'Allocators Calc'!BP43,0)</f>
        <v>0</v>
      </c>
      <c r="CP43" t="e">
        <f>ROUND($E13*'Allocators Calc'!#REF!,0)</f>
        <v>#REF!</v>
      </c>
      <c r="CQ43" t="e">
        <f>ROUND($E13*'Allocators Calc'!#REF!,0)</f>
        <v>#REF!</v>
      </c>
      <c r="CR43" t="e">
        <f>ROUND($E13*'Allocators Calc'!#REF!,0)</f>
        <v>#REF!</v>
      </c>
      <c r="CS43" t="e">
        <f>ROUND($E13*'Allocators Calc'!#REF!,0)</f>
        <v>#REF!</v>
      </c>
      <c r="CT43" t="e">
        <f>ROUND($E13*'Allocators Calc'!#REF!,0)</f>
        <v>#REF!</v>
      </c>
      <c r="CU43" t="e">
        <f>ROUND($E13*'Allocators Calc'!#REF!,0)</f>
        <v>#REF!</v>
      </c>
    </row>
    <row r="44" spans="16:99" x14ac:dyDescent="0.2">
      <c r="P44" t="e">
        <f>ROUND($E14*'Allocators Calc'!#REF!,0)</f>
        <v>#REF!</v>
      </c>
      <c r="Q44" t="e">
        <f>ROUND($E14*'Allocators Calc'!#REF!,0)</f>
        <v>#REF!</v>
      </c>
      <c r="R44" t="e">
        <f>ROUND($E14*'Allocators Calc'!#REF!,0)</f>
        <v>#REF!</v>
      </c>
      <c r="S44" t="e">
        <f>ROUND($E14*'Allocators Calc'!#REF!,0)</f>
        <v>#REF!</v>
      </c>
      <c r="T44" t="e">
        <f>ROUND($E14*'Allocators Calc'!#REF!,0)</f>
        <v>#REF!</v>
      </c>
      <c r="U44" s="13" t="e">
        <f>ROUND($E14*'Allocators Calc'!#REF!,0)</f>
        <v>#REF!</v>
      </c>
      <c r="V44" t="e">
        <f>ROUND($E14*'Allocators Calc'!#REF!,0)</f>
        <v>#REF!</v>
      </c>
      <c r="W44" t="e">
        <f>ROUND($E14*'Allocators Calc'!#REF!,0)</f>
        <v>#REF!</v>
      </c>
      <c r="X44" t="e">
        <f>ROUND($E14*'Allocators Calc'!#REF!,0)</f>
        <v>#REF!</v>
      </c>
      <c r="Y44" t="e">
        <f>ROUND($E14*'Allocators Calc'!#REF!,0)</f>
        <v>#REF!</v>
      </c>
      <c r="Z44" t="e">
        <f>ROUND($E14*'Allocators Calc'!#REF!,0)</f>
        <v>#REF!</v>
      </c>
      <c r="AA44" s="13" t="e">
        <f>ROUND($E14*'Allocators Calc'!#REF!,0)</f>
        <v>#REF!</v>
      </c>
      <c r="AB44">
        <f>ROUND($E14*'Allocators Calc'!AG44,0)</f>
        <v>7434</v>
      </c>
      <c r="AC44">
        <f>ROUND($E14*'Allocators Calc'!AH44,0)</f>
        <v>15513</v>
      </c>
      <c r="AD44">
        <f>ROUND($E14*'Allocators Calc'!AI44,0)</f>
        <v>31080</v>
      </c>
      <c r="AE44">
        <f>ROUND($E14*'Allocators Calc'!AJ44,0)</f>
        <v>8486016</v>
      </c>
      <c r="AF44">
        <f>ROUND($E14*'Allocators Calc'!AK44,0)</f>
        <v>3448875</v>
      </c>
      <c r="AG44" s="13">
        <f>ROUND($E14*'Allocators Calc'!AL44,0)</f>
        <v>3499729</v>
      </c>
      <c r="AH44" t="e">
        <f>ROUND($E14*'Allocators Calc'!#REF!,0)</f>
        <v>#REF!</v>
      </c>
      <c r="AI44" t="e">
        <f>ROUND($E14*'Allocators Calc'!#REF!,0)</f>
        <v>#REF!</v>
      </c>
      <c r="AJ44" t="e">
        <f>ROUND($E14*'Allocators Calc'!#REF!,0)</f>
        <v>#REF!</v>
      </c>
      <c r="AK44" t="e">
        <f>ROUND($E14*'Allocators Calc'!#REF!,0)</f>
        <v>#REF!</v>
      </c>
      <c r="AL44" t="e">
        <f>ROUND($E14*'Allocators Calc'!#REF!,0)</f>
        <v>#REF!</v>
      </c>
      <c r="AM44" s="13" t="e">
        <f>ROUND($E14*'Allocators Calc'!#REF!,0)</f>
        <v>#REF!</v>
      </c>
      <c r="AN44" t="e">
        <f>ROUND($E14*'Allocators Calc'!#REF!,0)</f>
        <v>#REF!</v>
      </c>
      <c r="AO44" t="e">
        <f>ROUND($E14*'Allocators Calc'!#REF!,0)</f>
        <v>#REF!</v>
      </c>
      <c r="AP44" t="e">
        <f>ROUND($E14*'Allocators Calc'!#REF!,0)</f>
        <v>#REF!</v>
      </c>
      <c r="AQ44" t="e">
        <f>ROUND($E14*'Allocators Calc'!#REF!,0)</f>
        <v>#REF!</v>
      </c>
      <c r="AR44" t="e">
        <f>ROUND($E14*'Allocators Calc'!#REF!,0)</f>
        <v>#REF!</v>
      </c>
      <c r="AS44" s="13" t="e">
        <f>ROUND($E14*'Allocators Calc'!#REF!,0)</f>
        <v>#REF!</v>
      </c>
      <c r="AT44">
        <f>ROUND($E14*'Allocators Calc'!AM44,0)</f>
        <v>8970</v>
      </c>
      <c r="AU44">
        <f>ROUND($E14*'Allocators Calc'!AN44,0)</f>
        <v>20930</v>
      </c>
      <c r="AV44">
        <f>ROUND($E14*'Allocators Calc'!AO44,0)</f>
        <v>44850</v>
      </c>
      <c r="AW44">
        <f>ROUND($E14*'Allocators Calc'!AP44,0)</f>
        <v>21575749</v>
      </c>
      <c r="AX44">
        <f>ROUND($E14*'Allocators Calc'!AQ44,0)</f>
        <v>3501476</v>
      </c>
      <c r="AY44" s="13">
        <f>ROUND($E14*'Allocators Calc'!AR44,0)</f>
        <v>1648048</v>
      </c>
      <c r="AZ44">
        <f>ROUND($E14*'Allocators Calc'!AS44,0)</f>
        <v>54169</v>
      </c>
      <c r="BA44">
        <f>ROUND($E14*'Allocators Calc'!AT44,0)</f>
        <v>123845</v>
      </c>
      <c r="BB44">
        <f>ROUND($E14*'Allocators Calc'!AU44,0)</f>
        <v>247973</v>
      </c>
      <c r="BC44">
        <f>ROUND($E14*'Allocators Calc'!AV44,0)</f>
        <v>27880857</v>
      </c>
      <c r="BD44">
        <f>ROUND($E14*'Allocators Calc'!AW44,0)</f>
        <v>25554134</v>
      </c>
      <c r="BE44" s="13">
        <f>ROUND($E14*'Allocators Calc'!AX44,0)</f>
        <v>2242362</v>
      </c>
      <c r="BF44" t="e">
        <f>ROUND($E14*'Allocators Calc'!#REF!,0)</f>
        <v>#REF!</v>
      </c>
      <c r="BG44" t="e">
        <f>ROUND($E14*'Allocators Calc'!#REF!,0)</f>
        <v>#REF!</v>
      </c>
      <c r="BH44" t="e">
        <f>ROUND($E14*'Allocators Calc'!#REF!,0)</f>
        <v>#REF!</v>
      </c>
      <c r="BI44" t="e">
        <f>ROUND($E14*'Allocators Calc'!#REF!,0)</f>
        <v>#REF!</v>
      </c>
      <c r="BJ44" t="e">
        <f>ROUND($E14*'Allocators Calc'!#REF!,0)</f>
        <v>#REF!</v>
      </c>
      <c r="BK44" s="13" t="e">
        <f>ROUND($E14*'Allocators Calc'!#REF!,0)</f>
        <v>#REF!</v>
      </c>
      <c r="BL44">
        <f>ROUND($E14*'Allocators Calc'!AY44,0)</f>
        <v>2396501</v>
      </c>
      <c r="BM44">
        <f>ROUND($E14*'Allocators Calc'!AZ44,0)</f>
        <v>4731537</v>
      </c>
      <c r="BN44">
        <f>ROUND($E14*'Allocators Calc'!BA44,0)</f>
        <v>7177509</v>
      </c>
      <c r="BO44">
        <f>ROUND($E14*'Allocators Calc'!BB44,0)</f>
        <v>45253213</v>
      </c>
      <c r="BP44">
        <f>ROUND($E14*'Allocators Calc'!BC44,0)</f>
        <v>24952776</v>
      </c>
      <c r="BQ44" s="13">
        <f>ROUND($E14*'Allocators Calc'!BD44,0)</f>
        <v>18284730</v>
      </c>
      <c r="BR44" t="e">
        <f>ROUND($E14*'Allocators Calc'!#REF!,0)</f>
        <v>#REF!</v>
      </c>
      <c r="BS44" t="e">
        <f>ROUND($E14*'Allocators Calc'!#REF!,0)</f>
        <v>#REF!</v>
      </c>
      <c r="BT44" t="e">
        <f>ROUND($E14*'Allocators Calc'!#REF!,0)</f>
        <v>#REF!</v>
      </c>
      <c r="BU44" t="e">
        <f>ROUND($E14*'Allocators Calc'!#REF!,0)</f>
        <v>#REF!</v>
      </c>
      <c r="BV44" t="e">
        <f>ROUND($E14*'Allocators Calc'!#REF!,0)</f>
        <v>#REF!</v>
      </c>
      <c r="BW44" s="13" t="e">
        <f>ROUND($E14*'Allocators Calc'!#REF!,0)</f>
        <v>#REF!</v>
      </c>
      <c r="BX44" t="e">
        <f>ROUND($E14*'Allocators Calc'!#REF!,0)</f>
        <v>#REF!</v>
      </c>
      <c r="BY44" t="e">
        <f>ROUND($E14*'Allocators Calc'!#REF!,0)</f>
        <v>#REF!</v>
      </c>
      <c r="BZ44" t="e">
        <f>ROUND($E14*'Allocators Calc'!#REF!,0)</f>
        <v>#REF!</v>
      </c>
      <c r="CA44" t="e">
        <f>ROUND($E14*'Allocators Calc'!#REF!,0)</f>
        <v>#REF!</v>
      </c>
      <c r="CB44" t="e">
        <f>ROUND($E14*'Allocators Calc'!#REF!,0)</f>
        <v>#REF!</v>
      </c>
      <c r="CC44" s="13" t="e">
        <f>ROUND($E14*'Allocators Calc'!#REF!,0)</f>
        <v>#REF!</v>
      </c>
      <c r="CD44">
        <f>ROUND($E14*'Allocators Calc'!BE44,0)</f>
        <v>0</v>
      </c>
      <c r="CE44">
        <f>ROUND($E14*'Allocators Calc'!BF44,0)</f>
        <v>0</v>
      </c>
      <c r="CF44">
        <f>ROUND($E14*'Allocators Calc'!BG44,0)</f>
        <v>0</v>
      </c>
      <c r="CG44">
        <f>ROUND($E14*'Allocators Calc'!BH44,0)</f>
        <v>0</v>
      </c>
      <c r="CH44">
        <f>ROUND($E14*'Allocators Calc'!BI44,0)</f>
        <v>0</v>
      </c>
      <c r="CI44" s="13">
        <f>ROUND($E14*'Allocators Calc'!BJ44,0)</f>
        <v>0</v>
      </c>
      <c r="CJ44">
        <f>ROUND($E14*'Allocators Calc'!BK44,0)</f>
        <v>0</v>
      </c>
      <c r="CK44">
        <f>ROUND($E14*'Allocators Calc'!BL44,0)</f>
        <v>0</v>
      </c>
      <c r="CL44">
        <f>ROUND($E14*'Allocators Calc'!BM44,0)</f>
        <v>0</v>
      </c>
      <c r="CM44">
        <f>ROUND($E14*'Allocators Calc'!BN44,0)</f>
        <v>0</v>
      </c>
      <c r="CN44">
        <f>ROUND($E14*'Allocators Calc'!BO44,0)</f>
        <v>0</v>
      </c>
      <c r="CO44" s="13">
        <f>ROUND($E14*'Allocators Calc'!BP44,0)</f>
        <v>0</v>
      </c>
      <c r="CP44" t="e">
        <f>ROUND($E14*'Allocators Calc'!#REF!,0)</f>
        <v>#REF!</v>
      </c>
      <c r="CQ44" t="e">
        <f>ROUND($E14*'Allocators Calc'!#REF!,0)</f>
        <v>#REF!</v>
      </c>
      <c r="CR44" t="e">
        <f>ROUND($E14*'Allocators Calc'!#REF!,0)</f>
        <v>#REF!</v>
      </c>
      <c r="CS44" t="e">
        <f>ROUND($E14*'Allocators Calc'!#REF!,0)</f>
        <v>#REF!</v>
      </c>
      <c r="CT44" t="e">
        <f>ROUND($E14*'Allocators Calc'!#REF!,0)</f>
        <v>#REF!</v>
      </c>
      <c r="CU44" t="e">
        <f>ROUND($E14*'Allocators Calc'!#REF!,0)</f>
        <v>#REF!</v>
      </c>
    </row>
    <row r="45" spans="16:99" x14ac:dyDescent="0.2">
      <c r="P45" s="11"/>
      <c r="Q45" s="11"/>
      <c r="R45" s="11"/>
      <c r="S45" s="11"/>
      <c r="T45" s="11"/>
      <c r="U45" s="14"/>
      <c r="V45" s="11"/>
      <c r="W45" s="11"/>
      <c r="X45" s="11"/>
      <c r="Y45" s="11"/>
      <c r="Z45" s="11"/>
      <c r="AA45" s="14"/>
      <c r="AB45" s="11"/>
      <c r="AC45" s="11"/>
      <c r="AD45" s="11"/>
      <c r="AE45" s="11"/>
      <c r="AF45" s="11"/>
      <c r="AG45" s="14"/>
      <c r="AH45" s="11"/>
      <c r="AI45" s="11"/>
      <c r="AJ45" s="11"/>
      <c r="AK45" s="11"/>
      <c r="AL45" s="11"/>
      <c r="AM45" s="14"/>
      <c r="AN45" s="11"/>
      <c r="AO45" s="11"/>
      <c r="AP45" s="11"/>
      <c r="AQ45" s="11"/>
      <c r="AR45" s="11"/>
      <c r="AS45" s="14"/>
      <c r="AT45" s="11"/>
      <c r="AU45" s="11"/>
      <c r="AV45" s="11"/>
      <c r="AW45" s="11"/>
      <c r="AX45" s="11"/>
      <c r="AY45" s="14"/>
      <c r="AZ45" s="11"/>
      <c r="BA45" s="11"/>
      <c r="BB45" s="11"/>
      <c r="BC45" s="11"/>
      <c r="BD45" s="11"/>
      <c r="BE45" s="14"/>
      <c r="BF45" s="11"/>
      <c r="BG45" s="11"/>
      <c r="BH45" s="11"/>
      <c r="BI45" s="11"/>
      <c r="BJ45" s="11"/>
      <c r="BK45" s="14"/>
      <c r="BL45" s="11"/>
      <c r="BM45" s="11"/>
      <c r="BN45" s="11"/>
      <c r="BO45" s="11"/>
      <c r="BP45" s="11"/>
      <c r="BQ45" s="14"/>
      <c r="BR45" s="11"/>
      <c r="BS45" s="11"/>
      <c r="BT45" s="11"/>
      <c r="BU45" s="11"/>
      <c r="BV45" s="11"/>
      <c r="BW45" s="14"/>
      <c r="BX45" s="11"/>
      <c r="BY45" s="11"/>
      <c r="BZ45" s="11"/>
      <c r="CA45" s="11"/>
      <c r="CB45" s="11"/>
      <c r="CC45" s="14"/>
      <c r="CD45" s="11"/>
      <c r="CE45" s="11"/>
      <c r="CF45" s="11"/>
      <c r="CG45" s="11"/>
      <c r="CH45" s="11"/>
      <c r="CI45" s="14"/>
      <c r="CJ45" s="11"/>
      <c r="CK45" s="11"/>
      <c r="CL45" s="11"/>
      <c r="CM45" s="11"/>
      <c r="CN45" s="11"/>
      <c r="CO45" s="14"/>
      <c r="CP45" s="11"/>
      <c r="CQ45" s="11"/>
      <c r="CR45" s="11"/>
      <c r="CS45" s="11"/>
      <c r="CT45" s="11"/>
      <c r="CU45" s="11"/>
    </row>
    <row r="46" spans="16:99" x14ac:dyDescent="0.2">
      <c r="P46" s="344" t="str">
        <f t="shared" ref="P46:CO47" si="26">P31</f>
        <v>LBA0</v>
      </c>
      <c r="Q46" s="344"/>
      <c r="R46" s="344"/>
      <c r="S46" s="344"/>
      <c r="T46" s="344"/>
      <c r="U46" s="345"/>
      <c r="V46" s="343" t="str">
        <f t="shared" si="26"/>
        <v>LBAM</v>
      </c>
      <c r="W46" s="344"/>
      <c r="X46" s="344"/>
      <c r="Y46" s="344"/>
      <c r="Z46" s="344"/>
      <c r="AA46" s="345"/>
      <c r="AB46" s="343" t="str">
        <f t="shared" si="26"/>
        <v>LBN0</v>
      </c>
      <c r="AC46" s="344"/>
      <c r="AD46" s="344"/>
      <c r="AE46" s="344"/>
      <c r="AF46" s="344"/>
      <c r="AG46" s="345"/>
      <c r="AH46" s="343" t="str">
        <f t="shared" si="26"/>
        <v>LCA0</v>
      </c>
      <c r="AI46" s="344"/>
      <c r="AJ46" s="344"/>
      <c r="AK46" s="344"/>
      <c r="AL46" s="344"/>
      <c r="AM46" s="345"/>
      <c r="AN46" s="343" t="str">
        <f t="shared" si="26"/>
        <v>LCN0</v>
      </c>
      <c r="AO46" s="344"/>
      <c r="AP46" s="344"/>
      <c r="AQ46" s="344"/>
      <c r="AR46" s="344"/>
      <c r="AS46" s="345"/>
      <c r="AT46" s="343" t="str">
        <f t="shared" si="26"/>
        <v>LDN0</v>
      </c>
      <c r="AU46" s="344"/>
      <c r="AV46" s="344"/>
      <c r="AW46" s="344"/>
      <c r="AX46" s="344"/>
      <c r="AY46" s="345"/>
      <c r="AZ46" s="343" t="str">
        <f t="shared" si="26"/>
        <v>LPN0</v>
      </c>
      <c r="BA46" s="344"/>
      <c r="BB46" s="344"/>
      <c r="BC46" s="344"/>
      <c r="BD46" s="344"/>
      <c r="BE46" s="345"/>
      <c r="BF46" s="343" t="str">
        <f t="shared" si="26"/>
        <v>LPA0</v>
      </c>
      <c r="BG46" s="344"/>
      <c r="BH46" s="344"/>
      <c r="BI46" s="344"/>
      <c r="BJ46" s="344"/>
      <c r="BK46" s="345"/>
      <c r="BL46" s="343" t="str">
        <f t="shared" si="26"/>
        <v>LSN0</v>
      </c>
      <c r="BM46" s="344"/>
      <c r="BN46" s="344"/>
      <c r="BO46" s="344"/>
      <c r="BP46" s="344"/>
      <c r="BQ46" s="345"/>
      <c r="BR46" s="343" t="str">
        <f t="shared" si="26"/>
        <v>LSS0</v>
      </c>
      <c r="BS46" s="344"/>
      <c r="BT46" s="344"/>
      <c r="BU46" s="344"/>
      <c r="BV46" s="344"/>
      <c r="BW46" s="345"/>
      <c r="BX46" s="343" t="str">
        <f t="shared" si="26"/>
        <v>LSN4</v>
      </c>
      <c r="BY46" s="344"/>
      <c r="BZ46" s="344"/>
      <c r="CA46" s="344"/>
      <c r="CB46" s="344"/>
      <c r="CC46" s="345"/>
      <c r="CD46" s="343" t="str">
        <f t="shared" si="26"/>
        <v>LSN2</v>
      </c>
      <c r="CE46" s="344"/>
      <c r="CF46" s="344"/>
      <c r="CG46" s="344"/>
      <c r="CH46" s="344"/>
      <c r="CI46" s="345"/>
      <c r="CJ46" s="343" t="str">
        <f t="shared" si="26"/>
        <v>LSN3 - Peak</v>
      </c>
      <c r="CK46" s="344"/>
      <c r="CL46" s="344"/>
      <c r="CM46" s="344"/>
      <c r="CN46" s="344"/>
      <c r="CO46" s="345"/>
      <c r="CP46" s="343" t="str">
        <f>CP31</f>
        <v>LSN3 - Off Peak</v>
      </c>
      <c r="CQ46" s="344"/>
      <c r="CR46" s="344"/>
      <c r="CS46" s="344"/>
      <c r="CT46" s="344"/>
      <c r="CU46" s="344"/>
    </row>
    <row r="47" spans="16:99" x14ac:dyDescent="0.2">
      <c r="P47" t="str">
        <f t="shared" si="26"/>
        <v>First 300 kWh</v>
      </c>
      <c r="Q47" t="str">
        <f t="shared" si="26"/>
        <v>Next 700 kWh</v>
      </c>
      <c r="R47" t="str">
        <f t="shared" si="26"/>
        <v>Next 1500 kWh</v>
      </c>
      <c r="S47" t="str">
        <f t="shared" si="26"/>
        <v>Over 2500 kWh</v>
      </c>
      <c r="T47" t="str">
        <f t="shared" si="26"/>
        <v>KWH_NEXT110</v>
      </c>
      <c r="U47" s="13" t="str">
        <f t="shared" si="26"/>
        <v>KWH_300+</v>
      </c>
      <c r="V47" t="str">
        <f t="shared" si="26"/>
        <v>First 300 kWh</v>
      </c>
      <c r="W47" t="str">
        <f t="shared" si="26"/>
        <v>Next 700 kWh</v>
      </c>
      <c r="X47" t="str">
        <f t="shared" si="26"/>
        <v>Next 1500 kWh</v>
      </c>
      <c r="Y47" t="str">
        <f t="shared" si="26"/>
        <v>Over 2500 kWh</v>
      </c>
      <c r="Z47" t="str">
        <f t="shared" si="26"/>
        <v>KWH_NEXT110</v>
      </c>
      <c r="AA47" s="13" t="str">
        <f t="shared" si="26"/>
        <v>KWH_300+</v>
      </c>
      <c r="AB47" t="str">
        <f t="shared" si="26"/>
        <v>First 300 kWh</v>
      </c>
      <c r="AC47" t="str">
        <f t="shared" si="26"/>
        <v>Next 700 kWh</v>
      </c>
      <c r="AD47" t="str">
        <f t="shared" si="26"/>
        <v>Next 1500 kWh</v>
      </c>
      <c r="AE47" t="str">
        <f t="shared" si="26"/>
        <v>Over 2500 kWh</v>
      </c>
      <c r="AF47" t="str">
        <f t="shared" si="26"/>
        <v>KWH_NEXT110</v>
      </c>
      <c r="AG47" s="13" t="str">
        <f t="shared" si="26"/>
        <v>KWH_300+</v>
      </c>
      <c r="AH47" t="str">
        <f t="shared" si="26"/>
        <v>First 300 kWh</v>
      </c>
      <c r="AI47" t="str">
        <f t="shared" si="26"/>
        <v>Next 700 kWh</v>
      </c>
      <c r="AJ47" t="str">
        <f t="shared" si="26"/>
        <v>Next 1500 kWh</v>
      </c>
      <c r="AK47" t="str">
        <f t="shared" si="26"/>
        <v>Over 2500 kWh</v>
      </c>
      <c r="AL47" t="str">
        <f t="shared" si="26"/>
        <v>KWH_NEXT110</v>
      </c>
      <c r="AM47" s="13" t="str">
        <f t="shared" si="26"/>
        <v>KWH_300+</v>
      </c>
      <c r="AN47" t="str">
        <f t="shared" si="26"/>
        <v>First 300 kWh</v>
      </c>
      <c r="AO47" t="str">
        <f t="shared" si="26"/>
        <v>Next 700 kWh</v>
      </c>
      <c r="AP47" t="str">
        <f t="shared" si="26"/>
        <v>Next 1500 kWh</v>
      </c>
      <c r="AQ47" t="str">
        <f t="shared" si="26"/>
        <v>Over 2500 kWh</v>
      </c>
      <c r="AR47" t="str">
        <f t="shared" si="26"/>
        <v>KWH_NEXT110</v>
      </c>
      <c r="AS47" s="13" t="str">
        <f t="shared" si="26"/>
        <v>KWH_300+</v>
      </c>
      <c r="AT47" t="str">
        <f t="shared" si="26"/>
        <v>First 300 kWh</v>
      </c>
      <c r="AU47" t="str">
        <f t="shared" si="26"/>
        <v>Next 700 kWh</v>
      </c>
      <c r="AV47" t="str">
        <f t="shared" si="26"/>
        <v>Next 1500 kWh</v>
      </c>
      <c r="AW47" t="str">
        <f t="shared" si="26"/>
        <v>Over 2500 kWh</v>
      </c>
      <c r="AX47" t="str">
        <f t="shared" si="26"/>
        <v>KWH_NEXT110</v>
      </c>
      <c r="AY47" s="13" t="str">
        <f t="shared" si="26"/>
        <v>KWH_300+</v>
      </c>
      <c r="AZ47" t="str">
        <f t="shared" si="26"/>
        <v>First 300 kWh</v>
      </c>
      <c r="BA47" t="str">
        <f t="shared" si="26"/>
        <v>Next 700 kWh</v>
      </c>
      <c r="BB47" t="str">
        <f t="shared" si="26"/>
        <v>Next 1500 kWh</v>
      </c>
      <c r="BC47" t="str">
        <f t="shared" si="26"/>
        <v>Over 2500 kWh</v>
      </c>
      <c r="BD47" t="str">
        <f t="shared" si="26"/>
        <v>KWH_NEXT110</v>
      </c>
      <c r="BE47" s="13" t="str">
        <f t="shared" si="26"/>
        <v>KWH_300+</v>
      </c>
      <c r="BF47" t="str">
        <f t="shared" si="26"/>
        <v>First 300 kWh</v>
      </c>
      <c r="BG47" t="str">
        <f t="shared" si="26"/>
        <v>Next 700 kWh</v>
      </c>
      <c r="BH47" t="str">
        <f t="shared" si="26"/>
        <v>Next 1500 kWh</v>
      </c>
      <c r="BI47" t="str">
        <f t="shared" si="26"/>
        <v>Over 2500 kWh</v>
      </c>
      <c r="BJ47" t="str">
        <f t="shared" si="26"/>
        <v>KWH_NEXT110</v>
      </c>
      <c r="BK47" s="13" t="str">
        <f t="shared" si="26"/>
        <v>KWH_300+</v>
      </c>
      <c r="BL47" t="str">
        <f t="shared" si="26"/>
        <v>First 300 kWh</v>
      </c>
      <c r="BM47" t="str">
        <f t="shared" si="26"/>
        <v>Next 700 kWh</v>
      </c>
      <c r="BN47" t="str">
        <f t="shared" si="26"/>
        <v>Next 1500 kWh</v>
      </c>
      <c r="BO47" t="str">
        <f t="shared" si="26"/>
        <v>Over 2500 kWh</v>
      </c>
      <c r="BP47" t="str">
        <f t="shared" si="26"/>
        <v>KWH_NEXT110</v>
      </c>
      <c r="BQ47" s="13" t="str">
        <f t="shared" si="26"/>
        <v>KWH_300+</v>
      </c>
      <c r="BR47" t="str">
        <f t="shared" si="26"/>
        <v>First 300 kWh</v>
      </c>
      <c r="BS47" t="str">
        <f t="shared" si="26"/>
        <v>Next 700 kWh</v>
      </c>
      <c r="BT47" t="str">
        <f t="shared" si="26"/>
        <v>Next 1500 kWh</v>
      </c>
      <c r="BU47" t="str">
        <f t="shared" si="26"/>
        <v>Over 2500 kWh</v>
      </c>
      <c r="BV47" t="str">
        <f t="shared" si="26"/>
        <v>KWH_NEXT110</v>
      </c>
      <c r="BW47" s="13" t="str">
        <f t="shared" si="26"/>
        <v>KWH_300+</v>
      </c>
      <c r="BX47" t="str">
        <f t="shared" si="26"/>
        <v>First 300 kWh</v>
      </c>
      <c r="BY47" t="str">
        <f t="shared" si="26"/>
        <v>Next 700 kWh</v>
      </c>
      <c r="BZ47" t="str">
        <f t="shared" si="26"/>
        <v>Next 1500 kWh</v>
      </c>
      <c r="CA47" t="str">
        <f t="shared" si="26"/>
        <v>Over 2500 kWh</v>
      </c>
      <c r="CB47" t="str">
        <f t="shared" si="26"/>
        <v>KWH_NEXT110</v>
      </c>
      <c r="CC47" s="13" t="str">
        <f t="shared" si="26"/>
        <v>KWH_300+</v>
      </c>
      <c r="CD47" t="str">
        <f t="shared" si="26"/>
        <v>First 300 kWh</v>
      </c>
      <c r="CE47" t="str">
        <f t="shared" si="26"/>
        <v>Next 700 kWh</v>
      </c>
      <c r="CF47" t="str">
        <f t="shared" si="26"/>
        <v>Next 1500 kWh</v>
      </c>
      <c r="CG47" t="str">
        <f t="shared" si="26"/>
        <v>Over 2500 kWh</v>
      </c>
      <c r="CH47" t="str">
        <f t="shared" si="26"/>
        <v>KWH_NEXT110</v>
      </c>
      <c r="CI47" s="13" t="str">
        <f t="shared" si="26"/>
        <v>KWH_300+</v>
      </c>
      <c r="CJ47" t="str">
        <f t="shared" si="26"/>
        <v>First 300 kWh</v>
      </c>
      <c r="CK47" t="str">
        <f t="shared" si="26"/>
        <v>Next 700 kWh</v>
      </c>
      <c r="CL47" t="str">
        <f t="shared" si="26"/>
        <v>Next 1500 kWh</v>
      </c>
      <c r="CM47" t="str">
        <f t="shared" si="26"/>
        <v>Over 2500 kWh</v>
      </c>
      <c r="CN47" t="str">
        <f t="shared" si="26"/>
        <v>KWH_NEXT110</v>
      </c>
      <c r="CO47" s="13" t="str">
        <f t="shared" si="26"/>
        <v>KWH_300+</v>
      </c>
      <c r="CP47" t="str">
        <f t="shared" ref="CP47:CU47" si="27">CP32</f>
        <v>First 300 kWh</v>
      </c>
      <c r="CQ47" t="str">
        <f t="shared" si="27"/>
        <v>Next 700 kWh</v>
      </c>
      <c r="CR47" t="str">
        <f t="shared" si="27"/>
        <v>Next 1500 kWh</v>
      </c>
      <c r="CS47" t="str">
        <f t="shared" si="27"/>
        <v>Over 2500 kWh</v>
      </c>
      <c r="CT47" t="str">
        <f t="shared" si="27"/>
        <v>KWH_NEXT110</v>
      </c>
      <c r="CU47" t="str">
        <f t="shared" si="27"/>
        <v>KWH_300+</v>
      </c>
    </row>
    <row r="48" spans="16:99" x14ac:dyDescent="0.2">
      <c r="P48" t="e">
        <f>ROUND($F3*'Allocators Calc'!#REF!,0)</f>
        <v>#REF!</v>
      </c>
      <c r="Q48" t="e">
        <f>ROUND($F3*'Allocators Calc'!#REF!,0)</f>
        <v>#REF!</v>
      </c>
      <c r="R48" t="e">
        <f>ROUND($F3*'Allocators Calc'!#REF!,0)</f>
        <v>#REF!</v>
      </c>
      <c r="S48" t="e">
        <f>ROUND($F3*'Allocators Calc'!#REF!,0)</f>
        <v>#REF!</v>
      </c>
      <c r="T48" t="e">
        <f>ROUND($F3*'Allocators Calc'!#REF!,0)</f>
        <v>#REF!</v>
      </c>
      <c r="U48" s="13" t="e">
        <f>ROUND($F3*'Allocators Calc'!#REF!,0)</f>
        <v>#REF!</v>
      </c>
      <c r="V48" t="e">
        <f>ROUND($F3*'Allocators Calc'!#REF!,0)</f>
        <v>#REF!</v>
      </c>
      <c r="W48" t="e">
        <f>ROUND($F3*'Allocators Calc'!#REF!,0)</f>
        <v>#REF!</v>
      </c>
      <c r="X48" t="e">
        <f>ROUND($F3*'Allocators Calc'!#REF!,0)</f>
        <v>#REF!</v>
      </c>
      <c r="Y48" t="e">
        <f>ROUND($F3*'Allocators Calc'!#REF!,0)</f>
        <v>#REF!</v>
      </c>
      <c r="Z48" t="e">
        <f>ROUND($F3*'Allocators Calc'!#REF!,0)</f>
        <v>#REF!</v>
      </c>
      <c r="AA48" s="13" t="e">
        <f>ROUND($F3*'Allocators Calc'!#REF!,0)</f>
        <v>#REF!</v>
      </c>
      <c r="AB48">
        <f>ROUND($F3*'Allocators Calc'!AG48,0)</f>
        <v>0</v>
      </c>
      <c r="AC48">
        <f>ROUND($F3*'Allocators Calc'!AH48,0)</f>
        <v>0</v>
      </c>
      <c r="AD48">
        <f>ROUND($F3*'Allocators Calc'!AI48,0)</f>
        <v>0</v>
      </c>
      <c r="AE48">
        <f>ROUND($F3*'Allocators Calc'!AJ48,0)</f>
        <v>0</v>
      </c>
      <c r="AF48">
        <f>ROUND($F3*'Allocators Calc'!AK48,0)</f>
        <v>0</v>
      </c>
      <c r="AG48" s="13">
        <f>ROUND($F3*'Allocators Calc'!AL48,0)</f>
        <v>0</v>
      </c>
      <c r="AH48" t="e">
        <f>ROUND($F3*'Allocators Calc'!#REF!,0)</f>
        <v>#REF!</v>
      </c>
      <c r="AI48" t="e">
        <f>ROUND($F3*'Allocators Calc'!#REF!,0)</f>
        <v>#REF!</v>
      </c>
      <c r="AJ48" t="e">
        <f>ROUND($F3*'Allocators Calc'!#REF!,0)</f>
        <v>#REF!</v>
      </c>
      <c r="AK48" t="e">
        <f>ROUND($F3*'Allocators Calc'!#REF!,0)</f>
        <v>#REF!</v>
      </c>
      <c r="AL48" t="e">
        <f>ROUND($F3*'Allocators Calc'!#REF!,0)</f>
        <v>#REF!</v>
      </c>
      <c r="AM48" s="13" t="e">
        <f>ROUND($F3*'Allocators Calc'!#REF!,0)</f>
        <v>#REF!</v>
      </c>
      <c r="AN48" t="e">
        <f>ROUND($F3*'Allocators Calc'!#REF!,0)</f>
        <v>#REF!</v>
      </c>
      <c r="AO48" t="e">
        <f>ROUND($F3*'Allocators Calc'!#REF!,0)</f>
        <v>#REF!</v>
      </c>
      <c r="AP48" t="e">
        <f>ROUND($F3*'Allocators Calc'!#REF!,0)</f>
        <v>#REF!</v>
      </c>
      <c r="AQ48" t="e">
        <f>ROUND($F3*'Allocators Calc'!#REF!,0)</f>
        <v>#REF!</v>
      </c>
      <c r="AR48" t="e">
        <f>ROUND($F3*'Allocators Calc'!#REF!,0)</f>
        <v>#REF!</v>
      </c>
      <c r="AS48" s="13" t="e">
        <f>ROUND($F3*'Allocators Calc'!#REF!,0)</f>
        <v>#REF!</v>
      </c>
      <c r="AT48">
        <f>ROUND($F3*'Allocators Calc'!AM48,0)</f>
        <v>0</v>
      </c>
      <c r="AU48">
        <f>ROUND($F3*'Allocators Calc'!AN48,0)</f>
        <v>0</v>
      </c>
      <c r="AV48">
        <f>ROUND($F3*'Allocators Calc'!AO48,0)</f>
        <v>0</v>
      </c>
      <c r="AW48">
        <f>ROUND($F3*'Allocators Calc'!AP48,0)</f>
        <v>0</v>
      </c>
      <c r="AX48">
        <f>ROUND($F3*'Allocators Calc'!AQ48,0)</f>
        <v>0</v>
      </c>
      <c r="AY48" s="13">
        <f>ROUND($F3*'Allocators Calc'!AR48,0)</f>
        <v>0</v>
      </c>
      <c r="AZ48">
        <f>ROUND($F3*'Allocators Calc'!AS48,0)</f>
        <v>4631</v>
      </c>
      <c r="BA48">
        <f>ROUND($F3*'Allocators Calc'!AT48,0)</f>
        <v>10587</v>
      </c>
      <c r="BB48">
        <f>ROUND($F3*'Allocators Calc'!AU48,0)</f>
        <v>21198</v>
      </c>
      <c r="BC48">
        <f>ROUND($F3*'Allocators Calc'!AV48,0)</f>
        <v>2383379</v>
      </c>
      <c r="BD48">
        <f>ROUND($F3*'Allocators Calc'!AW48,0)</f>
        <v>2184481</v>
      </c>
      <c r="BE48" s="13">
        <f>ROUND($F3*'Allocators Calc'!AX48,0)</f>
        <v>191687</v>
      </c>
      <c r="BF48" t="e">
        <f>ROUND($F3*'Allocators Calc'!#REF!,0)</f>
        <v>#REF!</v>
      </c>
      <c r="BG48" t="e">
        <f>ROUND($F3*'Allocators Calc'!#REF!,0)</f>
        <v>#REF!</v>
      </c>
      <c r="BH48" t="e">
        <f>ROUND($F3*'Allocators Calc'!#REF!,0)</f>
        <v>#REF!</v>
      </c>
      <c r="BI48" t="e">
        <f>ROUND($F3*'Allocators Calc'!#REF!,0)</f>
        <v>#REF!</v>
      </c>
      <c r="BJ48" t="e">
        <f>ROUND($F3*'Allocators Calc'!#REF!,0)</f>
        <v>#REF!</v>
      </c>
      <c r="BK48" s="13" t="e">
        <f>ROUND($F3*'Allocators Calc'!#REF!,0)</f>
        <v>#REF!</v>
      </c>
      <c r="BL48">
        <f>ROUND($F3*'Allocators Calc'!AY48,0)</f>
        <v>1627832</v>
      </c>
      <c r="BM48">
        <f>ROUND($F3*'Allocators Calc'!AZ48,0)</f>
        <v>3213915</v>
      </c>
      <c r="BN48">
        <f>ROUND($F3*'Allocators Calc'!BA48,0)</f>
        <v>4875351</v>
      </c>
      <c r="BO48">
        <f>ROUND($F3*'Allocators Calc'!BB48,0)</f>
        <v>30738421</v>
      </c>
      <c r="BP48">
        <f>ROUND($F3*'Allocators Calc'!BC48,0)</f>
        <v>16949270</v>
      </c>
      <c r="BQ48" s="13">
        <f>ROUND($F3*'Allocators Calc'!BD48,0)</f>
        <v>12419974</v>
      </c>
      <c r="BR48" t="e">
        <f>ROUND($F3*'Allocators Calc'!#REF!,0)</f>
        <v>#REF!</v>
      </c>
      <c r="BS48" t="e">
        <f>ROUND($F3*'Allocators Calc'!#REF!,0)</f>
        <v>#REF!</v>
      </c>
      <c r="BT48" t="e">
        <f>ROUND($F3*'Allocators Calc'!#REF!,0)</f>
        <v>#REF!</v>
      </c>
      <c r="BU48" t="e">
        <f>ROUND($F3*'Allocators Calc'!#REF!,0)</f>
        <v>#REF!</v>
      </c>
      <c r="BV48" t="e">
        <f>ROUND($F3*'Allocators Calc'!#REF!,0)</f>
        <v>#REF!</v>
      </c>
      <c r="BW48" s="13" t="e">
        <f>ROUND($F3*'Allocators Calc'!#REF!,0)</f>
        <v>#REF!</v>
      </c>
      <c r="BX48" t="e">
        <f>ROUND($F3*'Allocators Calc'!#REF!,0)</f>
        <v>#REF!</v>
      </c>
      <c r="BY48" t="e">
        <f>ROUND($F3*'Allocators Calc'!#REF!,0)</f>
        <v>#REF!</v>
      </c>
      <c r="BZ48" t="e">
        <f>ROUND($F3*'Allocators Calc'!#REF!,0)</f>
        <v>#REF!</v>
      </c>
      <c r="CA48" t="e">
        <f>ROUND($F3*'Allocators Calc'!#REF!,0)</f>
        <v>#REF!</v>
      </c>
      <c r="CB48" t="e">
        <f>ROUND($F3*'Allocators Calc'!#REF!,0)</f>
        <v>#REF!</v>
      </c>
      <c r="CC48" s="13" t="e">
        <f>ROUND($F3*'Allocators Calc'!#REF!,0)</f>
        <v>#REF!</v>
      </c>
      <c r="CD48">
        <f>ROUND($F3*'Allocators Calc'!BE48,0)</f>
        <v>5609</v>
      </c>
      <c r="CE48">
        <f>ROUND($F3*'Allocators Calc'!BF48,0)</f>
        <v>12840</v>
      </c>
      <c r="CF48">
        <f>ROUND($F3*'Allocators Calc'!BG48,0)</f>
        <v>26852</v>
      </c>
      <c r="CG48">
        <f>ROUND($F3*'Allocators Calc'!BH48,0)</f>
        <v>549460</v>
      </c>
      <c r="CH48">
        <f>ROUND($F3*'Allocators Calc'!BI48,0)</f>
        <v>311202</v>
      </c>
      <c r="CI48" s="13">
        <f>ROUND($F3*'Allocators Calc'!BJ48,0)</f>
        <v>331813</v>
      </c>
      <c r="CJ48">
        <f>ROUND($F3*'Allocators Calc'!BK48,0)</f>
        <v>0</v>
      </c>
      <c r="CK48">
        <f>ROUND($F3*'Allocators Calc'!BL48,0)</f>
        <v>0</v>
      </c>
      <c r="CL48">
        <f>ROUND($F3*'Allocators Calc'!BM48,0)</f>
        <v>0</v>
      </c>
      <c r="CM48">
        <f>ROUND($F3*'Allocators Calc'!BN48,0)</f>
        <v>0</v>
      </c>
      <c r="CN48">
        <f>ROUND($F3*'Allocators Calc'!BO48,0)</f>
        <v>0</v>
      </c>
      <c r="CO48" s="13">
        <f>ROUND($F3*'Allocators Calc'!BP48,0)</f>
        <v>0</v>
      </c>
      <c r="CP48" t="e">
        <f>ROUND($F3*'Allocators Calc'!#REF!,0)</f>
        <v>#REF!</v>
      </c>
      <c r="CQ48" t="e">
        <f>ROUND($F3*'Allocators Calc'!#REF!,0)</f>
        <v>#REF!</v>
      </c>
      <c r="CR48" t="e">
        <f>ROUND($F3*'Allocators Calc'!#REF!,0)</f>
        <v>#REF!</v>
      </c>
      <c r="CS48" t="e">
        <f>ROUND($F3*'Allocators Calc'!#REF!,0)</f>
        <v>#REF!</v>
      </c>
      <c r="CT48" t="e">
        <f>ROUND($F3*'Allocators Calc'!#REF!,0)</f>
        <v>#REF!</v>
      </c>
      <c r="CU48" t="e">
        <f>ROUND($F3*'Allocators Calc'!#REF!,0)</f>
        <v>#REF!</v>
      </c>
    </row>
    <row r="49" spans="16:99" x14ac:dyDescent="0.2">
      <c r="P49" t="e">
        <f>ROUND($F4*'Allocators Calc'!#REF!,0)</f>
        <v>#REF!</v>
      </c>
      <c r="Q49" t="e">
        <f>ROUND($F4*'Allocators Calc'!#REF!,0)</f>
        <v>#REF!</v>
      </c>
      <c r="R49" t="e">
        <f>ROUND($F4*'Allocators Calc'!#REF!,0)</f>
        <v>#REF!</v>
      </c>
      <c r="S49" t="e">
        <f>ROUND($F4*'Allocators Calc'!#REF!,0)</f>
        <v>#REF!</v>
      </c>
      <c r="T49" t="e">
        <f>ROUND($F4*'Allocators Calc'!#REF!,0)</f>
        <v>#REF!</v>
      </c>
      <c r="U49" s="13" t="e">
        <f>ROUND($F4*'Allocators Calc'!#REF!,0)</f>
        <v>#REF!</v>
      </c>
      <c r="V49" t="e">
        <f>ROUND($F4*'Allocators Calc'!#REF!,0)</f>
        <v>#REF!</v>
      </c>
      <c r="W49" t="e">
        <f>ROUND($F4*'Allocators Calc'!#REF!,0)</f>
        <v>#REF!</v>
      </c>
      <c r="X49" t="e">
        <f>ROUND($F4*'Allocators Calc'!#REF!,0)</f>
        <v>#REF!</v>
      </c>
      <c r="Y49" t="e">
        <f>ROUND($F4*'Allocators Calc'!#REF!,0)</f>
        <v>#REF!</v>
      </c>
      <c r="Z49" t="e">
        <f>ROUND($F4*'Allocators Calc'!#REF!,0)</f>
        <v>#REF!</v>
      </c>
      <c r="AA49" s="13" t="e">
        <f>ROUND($F4*'Allocators Calc'!#REF!,0)</f>
        <v>#REF!</v>
      </c>
      <c r="AB49">
        <f>ROUND($F4*'Allocators Calc'!AG49,0)</f>
        <v>0</v>
      </c>
      <c r="AC49">
        <f>ROUND($F4*'Allocators Calc'!AH49,0)</f>
        <v>0</v>
      </c>
      <c r="AD49">
        <f>ROUND($F4*'Allocators Calc'!AI49,0)</f>
        <v>0</v>
      </c>
      <c r="AE49">
        <f>ROUND($F4*'Allocators Calc'!AJ49,0)</f>
        <v>0</v>
      </c>
      <c r="AF49">
        <f>ROUND($F4*'Allocators Calc'!AK49,0)</f>
        <v>0</v>
      </c>
      <c r="AG49" s="13">
        <f>ROUND($F4*'Allocators Calc'!AL49,0)</f>
        <v>0</v>
      </c>
      <c r="AH49" t="e">
        <f>ROUND($F4*'Allocators Calc'!#REF!,0)</f>
        <v>#REF!</v>
      </c>
      <c r="AI49" t="e">
        <f>ROUND($F4*'Allocators Calc'!#REF!,0)</f>
        <v>#REF!</v>
      </c>
      <c r="AJ49" t="e">
        <f>ROUND($F4*'Allocators Calc'!#REF!,0)</f>
        <v>#REF!</v>
      </c>
      <c r="AK49" t="e">
        <f>ROUND($F4*'Allocators Calc'!#REF!,0)</f>
        <v>#REF!</v>
      </c>
      <c r="AL49" t="e">
        <f>ROUND($F4*'Allocators Calc'!#REF!,0)</f>
        <v>#REF!</v>
      </c>
      <c r="AM49" s="13" t="e">
        <f>ROUND($F4*'Allocators Calc'!#REF!,0)</f>
        <v>#REF!</v>
      </c>
      <c r="AN49" t="e">
        <f>ROUND($F4*'Allocators Calc'!#REF!,0)</f>
        <v>#REF!</v>
      </c>
      <c r="AO49" t="e">
        <f>ROUND($F4*'Allocators Calc'!#REF!,0)</f>
        <v>#REF!</v>
      </c>
      <c r="AP49" t="e">
        <f>ROUND($F4*'Allocators Calc'!#REF!,0)</f>
        <v>#REF!</v>
      </c>
      <c r="AQ49" t="e">
        <f>ROUND($F4*'Allocators Calc'!#REF!,0)</f>
        <v>#REF!</v>
      </c>
      <c r="AR49" t="e">
        <f>ROUND($F4*'Allocators Calc'!#REF!,0)</f>
        <v>#REF!</v>
      </c>
      <c r="AS49" s="13" t="e">
        <f>ROUND($F4*'Allocators Calc'!#REF!,0)</f>
        <v>#REF!</v>
      </c>
      <c r="AT49">
        <f>ROUND($F4*'Allocators Calc'!AM49,0)</f>
        <v>0</v>
      </c>
      <c r="AU49">
        <f>ROUND($F4*'Allocators Calc'!AN49,0)</f>
        <v>0</v>
      </c>
      <c r="AV49">
        <f>ROUND($F4*'Allocators Calc'!AO49,0)</f>
        <v>0</v>
      </c>
      <c r="AW49">
        <f>ROUND($F4*'Allocators Calc'!AP49,0)</f>
        <v>0</v>
      </c>
      <c r="AX49">
        <f>ROUND($F4*'Allocators Calc'!AQ49,0)</f>
        <v>0</v>
      </c>
      <c r="AY49" s="13">
        <f>ROUND($F4*'Allocators Calc'!AR49,0)</f>
        <v>0</v>
      </c>
      <c r="AZ49">
        <f>ROUND($F4*'Allocators Calc'!AS49,0)</f>
        <v>4617</v>
      </c>
      <c r="BA49">
        <f>ROUND($F4*'Allocators Calc'!AT49,0)</f>
        <v>10557</v>
      </c>
      <c r="BB49">
        <f>ROUND($F4*'Allocators Calc'!AU49,0)</f>
        <v>21138</v>
      </c>
      <c r="BC49">
        <f>ROUND($F4*'Allocators Calc'!AV49,0)</f>
        <v>2376613</v>
      </c>
      <c r="BD49">
        <f>ROUND($F4*'Allocators Calc'!AW49,0)</f>
        <v>2178279</v>
      </c>
      <c r="BE49" s="13">
        <f>ROUND($F4*'Allocators Calc'!AX49,0)</f>
        <v>191143</v>
      </c>
      <c r="BF49" t="e">
        <f>ROUND($F4*'Allocators Calc'!#REF!,0)</f>
        <v>#REF!</v>
      </c>
      <c r="BG49" t="e">
        <f>ROUND($F4*'Allocators Calc'!#REF!,0)</f>
        <v>#REF!</v>
      </c>
      <c r="BH49" t="e">
        <f>ROUND($F4*'Allocators Calc'!#REF!,0)</f>
        <v>#REF!</v>
      </c>
      <c r="BI49" t="e">
        <f>ROUND($F4*'Allocators Calc'!#REF!,0)</f>
        <v>#REF!</v>
      </c>
      <c r="BJ49" t="e">
        <f>ROUND($F4*'Allocators Calc'!#REF!,0)</f>
        <v>#REF!</v>
      </c>
      <c r="BK49" s="13" t="e">
        <f>ROUND($F4*'Allocators Calc'!#REF!,0)</f>
        <v>#REF!</v>
      </c>
      <c r="BL49">
        <f>ROUND($F4*'Allocators Calc'!AY49,0)</f>
        <v>1544498</v>
      </c>
      <c r="BM49">
        <f>ROUND($F4*'Allocators Calc'!AZ49,0)</f>
        <v>3049384</v>
      </c>
      <c r="BN49">
        <f>ROUND($F4*'Allocators Calc'!BA49,0)</f>
        <v>4625766</v>
      </c>
      <c r="BO49">
        <f>ROUND($F4*'Allocators Calc'!BB49,0)</f>
        <v>29164822</v>
      </c>
      <c r="BP49">
        <f>ROUND($F4*'Allocators Calc'!BC49,0)</f>
        <v>16081582</v>
      </c>
      <c r="BQ49" s="13">
        <f>ROUND($F4*'Allocators Calc'!BD49,0)</f>
        <v>11784155</v>
      </c>
      <c r="BR49" t="e">
        <f>ROUND($F4*'Allocators Calc'!#REF!,0)</f>
        <v>#REF!</v>
      </c>
      <c r="BS49" t="e">
        <f>ROUND($F4*'Allocators Calc'!#REF!,0)</f>
        <v>#REF!</v>
      </c>
      <c r="BT49" t="e">
        <f>ROUND($F4*'Allocators Calc'!#REF!,0)</f>
        <v>#REF!</v>
      </c>
      <c r="BU49" t="e">
        <f>ROUND($F4*'Allocators Calc'!#REF!,0)</f>
        <v>#REF!</v>
      </c>
      <c r="BV49" t="e">
        <f>ROUND($F4*'Allocators Calc'!#REF!,0)</f>
        <v>#REF!</v>
      </c>
      <c r="BW49" s="13" t="e">
        <f>ROUND($F4*'Allocators Calc'!#REF!,0)</f>
        <v>#REF!</v>
      </c>
      <c r="BX49" t="e">
        <f>ROUND($F4*'Allocators Calc'!#REF!,0)</f>
        <v>#REF!</v>
      </c>
      <c r="BY49" t="e">
        <f>ROUND($F4*'Allocators Calc'!#REF!,0)</f>
        <v>#REF!</v>
      </c>
      <c r="BZ49" t="e">
        <f>ROUND($F4*'Allocators Calc'!#REF!,0)</f>
        <v>#REF!</v>
      </c>
      <c r="CA49" t="e">
        <f>ROUND($F4*'Allocators Calc'!#REF!,0)</f>
        <v>#REF!</v>
      </c>
      <c r="CB49" t="e">
        <f>ROUND($F4*'Allocators Calc'!#REF!,0)</f>
        <v>#REF!</v>
      </c>
      <c r="CC49" s="13" t="e">
        <f>ROUND($F4*'Allocators Calc'!#REF!,0)</f>
        <v>#REF!</v>
      </c>
      <c r="CD49">
        <f>ROUND($F4*'Allocators Calc'!BE49,0)</f>
        <v>5089</v>
      </c>
      <c r="CE49">
        <f>ROUND($F4*'Allocators Calc'!BF49,0)</f>
        <v>11650</v>
      </c>
      <c r="CF49">
        <f>ROUND($F4*'Allocators Calc'!BG49,0)</f>
        <v>24362</v>
      </c>
      <c r="CG49">
        <f>ROUND($F4*'Allocators Calc'!BH49,0)</f>
        <v>498508</v>
      </c>
      <c r="CH49">
        <f>ROUND($F4*'Allocators Calc'!BI49,0)</f>
        <v>282344</v>
      </c>
      <c r="CI49" s="13">
        <f>ROUND($F4*'Allocators Calc'!BJ49,0)</f>
        <v>301043</v>
      </c>
      <c r="CJ49">
        <f>ROUND($F4*'Allocators Calc'!BK49,0)</f>
        <v>0</v>
      </c>
      <c r="CK49">
        <f>ROUND($F4*'Allocators Calc'!BL49,0)</f>
        <v>0</v>
      </c>
      <c r="CL49">
        <f>ROUND($F4*'Allocators Calc'!BM49,0)</f>
        <v>0</v>
      </c>
      <c r="CM49">
        <f>ROUND($F4*'Allocators Calc'!BN49,0)</f>
        <v>0</v>
      </c>
      <c r="CN49">
        <f>ROUND($F4*'Allocators Calc'!BO49,0)</f>
        <v>0</v>
      </c>
      <c r="CO49" s="13">
        <f>ROUND($F4*'Allocators Calc'!BP49,0)</f>
        <v>0</v>
      </c>
      <c r="CP49" t="e">
        <f>ROUND($F4*'Allocators Calc'!#REF!,0)</f>
        <v>#REF!</v>
      </c>
      <c r="CQ49" t="e">
        <f>ROUND($F4*'Allocators Calc'!#REF!,0)</f>
        <v>#REF!</v>
      </c>
      <c r="CR49" t="e">
        <f>ROUND($F4*'Allocators Calc'!#REF!,0)</f>
        <v>#REF!</v>
      </c>
      <c r="CS49" t="e">
        <f>ROUND($F4*'Allocators Calc'!#REF!,0)</f>
        <v>#REF!</v>
      </c>
      <c r="CT49" t="e">
        <f>ROUND($F4*'Allocators Calc'!#REF!,0)</f>
        <v>#REF!</v>
      </c>
      <c r="CU49" t="e">
        <f>ROUND($F4*'Allocators Calc'!#REF!,0)</f>
        <v>#REF!</v>
      </c>
    </row>
    <row r="50" spans="16:99" x14ac:dyDescent="0.2">
      <c r="P50" t="e">
        <f>ROUND($F5*'Allocators Calc'!#REF!,0)</f>
        <v>#REF!</v>
      </c>
      <c r="Q50" t="e">
        <f>ROUND($F5*'Allocators Calc'!#REF!,0)</f>
        <v>#REF!</v>
      </c>
      <c r="R50" t="e">
        <f>ROUND($F5*'Allocators Calc'!#REF!,0)</f>
        <v>#REF!</v>
      </c>
      <c r="S50" t="e">
        <f>ROUND($F5*'Allocators Calc'!#REF!,0)</f>
        <v>#REF!</v>
      </c>
      <c r="T50" t="e">
        <f>ROUND($F5*'Allocators Calc'!#REF!,0)</f>
        <v>#REF!</v>
      </c>
      <c r="U50" s="13" t="e">
        <f>ROUND($F5*'Allocators Calc'!#REF!,0)</f>
        <v>#REF!</v>
      </c>
      <c r="V50" t="e">
        <f>ROUND($F5*'Allocators Calc'!#REF!,0)</f>
        <v>#REF!</v>
      </c>
      <c r="W50" t="e">
        <f>ROUND($F5*'Allocators Calc'!#REF!,0)</f>
        <v>#REF!</v>
      </c>
      <c r="X50" t="e">
        <f>ROUND($F5*'Allocators Calc'!#REF!,0)</f>
        <v>#REF!</v>
      </c>
      <c r="Y50" t="e">
        <f>ROUND($F5*'Allocators Calc'!#REF!,0)</f>
        <v>#REF!</v>
      </c>
      <c r="Z50" t="e">
        <f>ROUND($F5*'Allocators Calc'!#REF!,0)</f>
        <v>#REF!</v>
      </c>
      <c r="AA50" s="13" t="e">
        <f>ROUND($F5*'Allocators Calc'!#REF!,0)</f>
        <v>#REF!</v>
      </c>
      <c r="AB50">
        <f>ROUND($F5*'Allocators Calc'!AG50,0)</f>
        <v>0</v>
      </c>
      <c r="AC50">
        <f>ROUND($F5*'Allocators Calc'!AH50,0)</f>
        <v>0</v>
      </c>
      <c r="AD50">
        <f>ROUND($F5*'Allocators Calc'!AI50,0)</f>
        <v>0</v>
      </c>
      <c r="AE50">
        <f>ROUND($F5*'Allocators Calc'!AJ50,0)</f>
        <v>0</v>
      </c>
      <c r="AF50">
        <f>ROUND($F5*'Allocators Calc'!AK50,0)</f>
        <v>0</v>
      </c>
      <c r="AG50" s="13">
        <f>ROUND($F5*'Allocators Calc'!AL50,0)</f>
        <v>0</v>
      </c>
      <c r="AH50" t="e">
        <f>ROUND($F5*'Allocators Calc'!#REF!,0)</f>
        <v>#REF!</v>
      </c>
      <c r="AI50" t="e">
        <f>ROUND($F5*'Allocators Calc'!#REF!,0)</f>
        <v>#REF!</v>
      </c>
      <c r="AJ50" t="e">
        <f>ROUND($F5*'Allocators Calc'!#REF!,0)</f>
        <v>#REF!</v>
      </c>
      <c r="AK50" t="e">
        <f>ROUND($F5*'Allocators Calc'!#REF!,0)</f>
        <v>#REF!</v>
      </c>
      <c r="AL50" t="e">
        <f>ROUND($F5*'Allocators Calc'!#REF!,0)</f>
        <v>#REF!</v>
      </c>
      <c r="AM50" s="13" t="e">
        <f>ROUND($F5*'Allocators Calc'!#REF!,0)</f>
        <v>#REF!</v>
      </c>
      <c r="AN50" t="e">
        <f>ROUND($F5*'Allocators Calc'!#REF!,0)</f>
        <v>#REF!</v>
      </c>
      <c r="AO50" t="e">
        <f>ROUND($F5*'Allocators Calc'!#REF!,0)</f>
        <v>#REF!</v>
      </c>
      <c r="AP50" t="e">
        <f>ROUND($F5*'Allocators Calc'!#REF!,0)</f>
        <v>#REF!</v>
      </c>
      <c r="AQ50" t="e">
        <f>ROUND($F5*'Allocators Calc'!#REF!,0)</f>
        <v>#REF!</v>
      </c>
      <c r="AR50" t="e">
        <f>ROUND($F5*'Allocators Calc'!#REF!,0)</f>
        <v>#REF!</v>
      </c>
      <c r="AS50" s="13" t="e">
        <f>ROUND($F5*'Allocators Calc'!#REF!,0)</f>
        <v>#REF!</v>
      </c>
      <c r="AT50">
        <f>ROUND($F5*'Allocators Calc'!AM50,0)</f>
        <v>0</v>
      </c>
      <c r="AU50">
        <f>ROUND($F5*'Allocators Calc'!AN50,0)</f>
        <v>0</v>
      </c>
      <c r="AV50">
        <f>ROUND($F5*'Allocators Calc'!AO50,0)</f>
        <v>0</v>
      </c>
      <c r="AW50">
        <f>ROUND($F5*'Allocators Calc'!AP50,0)</f>
        <v>0</v>
      </c>
      <c r="AX50">
        <f>ROUND($F5*'Allocators Calc'!AQ50,0)</f>
        <v>0</v>
      </c>
      <c r="AY50" s="13">
        <f>ROUND($F5*'Allocators Calc'!AR50,0)</f>
        <v>0</v>
      </c>
      <c r="AZ50">
        <f>ROUND($F5*'Allocators Calc'!AS50,0)</f>
        <v>4515</v>
      </c>
      <c r="BA50">
        <f>ROUND($F5*'Allocators Calc'!AT50,0)</f>
        <v>10322</v>
      </c>
      <c r="BB50">
        <f>ROUND($F5*'Allocators Calc'!AU50,0)</f>
        <v>20667</v>
      </c>
      <c r="BC50">
        <f>ROUND($F5*'Allocators Calc'!AV50,0)</f>
        <v>2323670</v>
      </c>
      <c r="BD50">
        <f>ROUND($F5*'Allocators Calc'!AW50,0)</f>
        <v>2129754</v>
      </c>
      <c r="BE50" s="13">
        <f>ROUND($F5*'Allocators Calc'!AX50,0)</f>
        <v>186885</v>
      </c>
      <c r="BF50" t="e">
        <f>ROUND($F5*'Allocators Calc'!#REF!,0)</f>
        <v>#REF!</v>
      </c>
      <c r="BG50" t="e">
        <f>ROUND($F5*'Allocators Calc'!#REF!,0)</f>
        <v>#REF!</v>
      </c>
      <c r="BH50" t="e">
        <f>ROUND($F5*'Allocators Calc'!#REF!,0)</f>
        <v>#REF!</v>
      </c>
      <c r="BI50" t="e">
        <f>ROUND($F5*'Allocators Calc'!#REF!,0)</f>
        <v>#REF!</v>
      </c>
      <c r="BJ50" t="e">
        <f>ROUND($F5*'Allocators Calc'!#REF!,0)</f>
        <v>#REF!</v>
      </c>
      <c r="BK50" s="13" t="e">
        <f>ROUND($F5*'Allocators Calc'!#REF!,0)</f>
        <v>#REF!</v>
      </c>
      <c r="BL50">
        <f>ROUND($F5*'Allocators Calc'!AY50,0)</f>
        <v>1472862</v>
      </c>
      <c r="BM50">
        <f>ROUND($F5*'Allocators Calc'!AZ50,0)</f>
        <v>2907948</v>
      </c>
      <c r="BN50">
        <f>ROUND($F5*'Allocators Calc'!BA50,0)</f>
        <v>4411215</v>
      </c>
      <c r="BO50">
        <f>ROUND($F5*'Allocators Calc'!BB50,0)</f>
        <v>27812104</v>
      </c>
      <c r="BP50">
        <f>ROUND($F5*'Allocators Calc'!BC50,0)</f>
        <v>15335689</v>
      </c>
      <c r="BQ50" s="13">
        <f>ROUND($F5*'Allocators Calc'!BD50,0)</f>
        <v>11237584</v>
      </c>
      <c r="BR50" t="e">
        <f>ROUND($F5*'Allocators Calc'!#REF!,0)</f>
        <v>#REF!</v>
      </c>
      <c r="BS50" t="e">
        <f>ROUND($F5*'Allocators Calc'!#REF!,0)</f>
        <v>#REF!</v>
      </c>
      <c r="BT50" t="e">
        <f>ROUND($F5*'Allocators Calc'!#REF!,0)</f>
        <v>#REF!</v>
      </c>
      <c r="BU50" t="e">
        <f>ROUND($F5*'Allocators Calc'!#REF!,0)</f>
        <v>#REF!</v>
      </c>
      <c r="BV50" t="e">
        <f>ROUND($F5*'Allocators Calc'!#REF!,0)</f>
        <v>#REF!</v>
      </c>
      <c r="BW50" s="13" t="e">
        <f>ROUND($F5*'Allocators Calc'!#REF!,0)</f>
        <v>#REF!</v>
      </c>
      <c r="BX50" t="e">
        <f>ROUND($F5*'Allocators Calc'!#REF!,0)</f>
        <v>#REF!</v>
      </c>
      <c r="BY50" t="e">
        <f>ROUND($F5*'Allocators Calc'!#REF!,0)</f>
        <v>#REF!</v>
      </c>
      <c r="BZ50" t="e">
        <f>ROUND($F5*'Allocators Calc'!#REF!,0)</f>
        <v>#REF!</v>
      </c>
      <c r="CA50" t="e">
        <f>ROUND($F5*'Allocators Calc'!#REF!,0)</f>
        <v>#REF!</v>
      </c>
      <c r="CB50" t="e">
        <f>ROUND($F5*'Allocators Calc'!#REF!,0)</f>
        <v>#REF!</v>
      </c>
      <c r="CC50" s="13" t="e">
        <f>ROUND($F5*'Allocators Calc'!#REF!,0)</f>
        <v>#REF!</v>
      </c>
      <c r="CD50">
        <f>ROUND($F5*'Allocators Calc'!BE50,0)</f>
        <v>4717</v>
      </c>
      <c r="CE50">
        <f>ROUND($F5*'Allocators Calc'!BF50,0)</f>
        <v>10800</v>
      </c>
      <c r="CF50">
        <f>ROUND($F5*'Allocators Calc'!BG50,0)</f>
        <v>22585</v>
      </c>
      <c r="CG50">
        <f>ROUND($F5*'Allocators Calc'!BH50,0)</f>
        <v>462146</v>
      </c>
      <c r="CH50">
        <f>ROUND($F5*'Allocators Calc'!BI50,0)</f>
        <v>261749</v>
      </c>
      <c r="CI50" s="13">
        <f>ROUND($F5*'Allocators Calc'!BJ50,0)</f>
        <v>279085</v>
      </c>
      <c r="CJ50">
        <f>ROUND($F5*'Allocators Calc'!BK50,0)</f>
        <v>0</v>
      </c>
      <c r="CK50">
        <f>ROUND($F5*'Allocators Calc'!BL50,0)</f>
        <v>0</v>
      </c>
      <c r="CL50">
        <f>ROUND($F5*'Allocators Calc'!BM50,0)</f>
        <v>0</v>
      </c>
      <c r="CM50">
        <f>ROUND($F5*'Allocators Calc'!BN50,0)</f>
        <v>0</v>
      </c>
      <c r="CN50">
        <f>ROUND($F5*'Allocators Calc'!BO50,0)</f>
        <v>0</v>
      </c>
      <c r="CO50" s="13">
        <f>ROUND($F5*'Allocators Calc'!BP50,0)</f>
        <v>0</v>
      </c>
      <c r="CP50" t="e">
        <f>ROUND($F5*'Allocators Calc'!#REF!,0)</f>
        <v>#REF!</v>
      </c>
      <c r="CQ50" t="e">
        <f>ROUND($F5*'Allocators Calc'!#REF!,0)</f>
        <v>#REF!</v>
      </c>
      <c r="CR50" t="e">
        <f>ROUND($F5*'Allocators Calc'!#REF!,0)</f>
        <v>#REF!</v>
      </c>
      <c r="CS50" t="e">
        <f>ROUND($F5*'Allocators Calc'!#REF!,0)</f>
        <v>#REF!</v>
      </c>
      <c r="CT50" t="e">
        <f>ROUND($F5*'Allocators Calc'!#REF!,0)</f>
        <v>#REF!</v>
      </c>
      <c r="CU50" t="e">
        <f>ROUND($F5*'Allocators Calc'!#REF!,0)</f>
        <v>#REF!</v>
      </c>
    </row>
    <row r="51" spans="16:99" x14ac:dyDescent="0.2">
      <c r="P51" t="e">
        <f>ROUND($F6*'Allocators Calc'!#REF!,0)</f>
        <v>#REF!</v>
      </c>
      <c r="Q51" t="e">
        <f>ROUND($F6*'Allocators Calc'!#REF!,0)</f>
        <v>#REF!</v>
      </c>
      <c r="R51" t="e">
        <f>ROUND($F6*'Allocators Calc'!#REF!,0)</f>
        <v>#REF!</v>
      </c>
      <c r="S51" t="e">
        <f>ROUND($F6*'Allocators Calc'!#REF!,0)</f>
        <v>#REF!</v>
      </c>
      <c r="T51" t="e">
        <f>ROUND($F6*'Allocators Calc'!#REF!,0)</f>
        <v>#REF!</v>
      </c>
      <c r="U51" s="13" t="e">
        <f>ROUND($F6*'Allocators Calc'!#REF!,0)</f>
        <v>#REF!</v>
      </c>
      <c r="V51" t="e">
        <f>ROUND($F6*'Allocators Calc'!#REF!,0)</f>
        <v>#REF!</v>
      </c>
      <c r="W51" t="e">
        <f>ROUND($F6*'Allocators Calc'!#REF!,0)</f>
        <v>#REF!</v>
      </c>
      <c r="X51" t="e">
        <f>ROUND($F6*'Allocators Calc'!#REF!,0)</f>
        <v>#REF!</v>
      </c>
      <c r="Y51" t="e">
        <f>ROUND($F6*'Allocators Calc'!#REF!,0)</f>
        <v>#REF!</v>
      </c>
      <c r="Z51" t="e">
        <f>ROUND($F6*'Allocators Calc'!#REF!,0)</f>
        <v>#REF!</v>
      </c>
      <c r="AA51" s="13" t="e">
        <f>ROUND($F6*'Allocators Calc'!#REF!,0)</f>
        <v>#REF!</v>
      </c>
      <c r="AB51">
        <f>ROUND($F6*'Allocators Calc'!AG51,0)</f>
        <v>0</v>
      </c>
      <c r="AC51">
        <f>ROUND($F6*'Allocators Calc'!AH51,0)</f>
        <v>0</v>
      </c>
      <c r="AD51">
        <f>ROUND($F6*'Allocators Calc'!AI51,0)</f>
        <v>0</v>
      </c>
      <c r="AE51">
        <f>ROUND($F6*'Allocators Calc'!AJ51,0)</f>
        <v>0</v>
      </c>
      <c r="AF51">
        <f>ROUND($F6*'Allocators Calc'!AK51,0)</f>
        <v>0</v>
      </c>
      <c r="AG51" s="13">
        <f>ROUND($F6*'Allocators Calc'!AL51,0)</f>
        <v>0</v>
      </c>
      <c r="AH51" t="e">
        <f>ROUND($F6*'Allocators Calc'!#REF!,0)</f>
        <v>#REF!</v>
      </c>
      <c r="AI51" t="e">
        <f>ROUND($F6*'Allocators Calc'!#REF!,0)</f>
        <v>#REF!</v>
      </c>
      <c r="AJ51" t="e">
        <f>ROUND($F6*'Allocators Calc'!#REF!,0)</f>
        <v>#REF!</v>
      </c>
      <c r="AK51" t="e">
        <f>ROUND($F6*'Allocators Calc'!#REF!,0)</f>
        <v>#REF!</v>
      </c>
      <c r="AL51" t="e">
        <f>ROUND($F6*'Allocators Calc'!#REF!,0)</f>
        <v>#REF!</v>
      </c>
      <c r="AM51" s="13" t="e">
        <f>ROUND($F6*'Allocators Calc'!#REF!,0)</f>
        <v>#REF!</v>
      </c>
      <c r="AN51" t="e">
        <f>ROUND($F6*'Allocators Calc'!#REF!,0)</f>
        <v>#REF!</v>
      </c>
      <c r="AO51" t="e">
        <f>ROUND($F6*'Allocators Calc'!#REF!,0)</f>
        <v>#REF!</v>
      </c>
      <c r="AP51" t="e">
        <f>ROUND($F6*'Allocators Calc'!#REF!,0)</f>
        <v>#REF!</v>
      </c>
      <c r="AQ51" t="e">
        <f>ROUND($F6*'Allocators Calc'!#REF!,0)</f>
        <v>#REF!</v>
      </c>
      <c r="AR51" t="e">
        <f>ROUND($F6*'Allocators Calc'!#REF!,0)</f>
        <v>#REF!</v>
      </c>
      <c r="AS51" s="13" t="e">
        <f>ROUND($F6*'Allocators Calc'!#REF!,0)</f>
        <v>#REF!</v>
      </c>
      <c r="AT51">
        <f>ROUND($F6*'Allocators Calc'!AM51,0)</f>
        <v>0</v>
      </c>
      <c r="AU51">
        <f>ROUND($F6*'Allocators Calc'!AN51,0)</f>
        <v>0</v>
      </c>
      <c r="AV51">
        <f>ROUND($F6*'Allocators Calc'!AO51,0)</f>
        <v>0</v>
      </c>
      <c r="AW51">
        <f>ROUND($F6*'Allocators Calc'!AP51,0)</f>
        <v>0</v>
      </c>
      <c r="AX51">
        <f>ROUND($F6*'Allocators Calc'!AQ51,0)</f>
        <v>0</v>
      </c>
      <c r="AY51" s="13">
        <f>ROUND($F6*'Allocators Calc'!AR51,0)</f>
        <v>0</v>
      </c>
      <c r="AZ51">
        <f>ROUND($F6*'Allocators Calc'!AS51,0)</f>
        <v>4464</v>
      </c>
      <c r="BA51">
        <f>ROUND($F6*'Allocators Calc'!AT51,0)</f>
        <v>10206</v>
      </c>
      <c r="BB51">
        <f>ROUND($F6*'Allocators Calc'!AU51,0)</f>
        <v>20436</v>
      </c>
      <c r="BC51">
        <f>ROUND($F6*'Allocators Calc'!AV51,0)</f>
        <v>2297680</v>
      </c>
      <c r="BD51">
        <f>ROUND($F6*'Allocators Calc'!AW51,0)</f>
        <v>2105933</v>
      </c>
      <c r="BE51" s="13">
        <f>ROUND($F6*'Allocators Calc'!AX51,0)</f>
        <v>184795</v>
      </c>
      <c r="BF51" t="e">
        <f>ROUND($F6*'Allocators Calc'!#REF!,0)</f>
        <v>#REF!</v>
      </c>
      <c r="BG51" t="e">
        <f>ROUND($F6*'Allocators Calc'!#REF!,0)</f>
        <v>#REF!</v>
      </c>
      <c r="BH51" t="e">
        <f>ROUND($F6*'Allocators Calc'!#REF!,0)</f>
        <v>#REF!</v>
      </c>
      <c r="BI51" t="e">
        <f>ROUND($F6*'Allocators Calc'!#REF!,0)</f>
        <v>#REF!</v>
      </c>
      <c r="BJ51" t="e">
        <f>ROUND($F6*'Allocators Calc'!#REF!,0)</f>
        <v>#REF!</v>
      </c>
      <c r="BK51" s="13" t="e">
        <f>ROUND($F6*'Allocators Calc'!#REF!,0)</f>
        <v>#REF!</v>
      </c>
      <c r="BL51">
        <f>ROUND($F6*'Allocators Calc'!AY51,0)</f>
        <v>1507956</v>
      </c>
      <c r="BM51">
        <f>ROUND($F6*'Allocators Calc'!AZ51,0)</f>
        <v>2977237</v>
      </c>
      <c r="BN51">
        <f>ROUND($F6*'Allocators Calc'!BA51,0)</f>
        <v>4516322</v>
      </c>
      <c r="BO51">
        <f>ROUND($F6*'Allocators Calc'!BB51,0)</f>
        <v>28474795</v>
      </c>
      <c r="BP51">
        <f>ROUND($F6*'Allocators Calc'!BC51,0)</f>
        <v>15701099</v>
      </c>
      <c r="BQ51" s="13">
        <f>ROUND($F6*'Allocators Calc'!BD51,0)</f>
        <v>11505347</v>
      </c>
      <c r="BR51" t="e">
        <f>ROUND($F6*'Allocators Calc'!#REF!,0)</f>
        <v>#REF!</v>
      </c>
      <c r="BS51" t="e">
        <f>ROUND($F6*'Allocators Calc'!#REF!,0)</f>
        <v>#REF!</v>
      </c>
      <c r="BT51" t="e">
        <f>ROUND($F6*'Allocators Calc'!#REF!,0)</f>
        <v>#REF!</v>
      </c>
      <c r="BU51" t="e">
        <f>ROUND($F6*'Allocators Calc'!#REF!,0)</f>
        <v>#REF!</v>
      </c>
      <c r="BV51" t="e">
        <f>ROUND($F6*'Allocators Calc'!#REF!,0)</f>
        <v>#REF!</v>
      </c>
      <c r="BW51" s="13" t="e">
        <f>ROUND($F6*'Allocators Calc'!#REF!,0)</f>
        <v>#REF!</v>
      </c>
      <c r="BX51" t="e">
        <f>ROUND($F6*'Allocators Calc'!#REF!,0)</f>
        <v>#REF!</v>
      </c>
      <c r="BY51" t="e">
        <f>ROUND($F6*'Allocators Calc'!#REF!,0)</f>
        <v>#REF!</v>
      </c>
      <c r="BZ51" t="e">
        <f>ROUND($F6*'Allocators Calc'!#REF!,0)</f>
        <v>#REF!</v>
      </c>
      <c r="CA51" t="e">
        <f>ROUND($F6*'Allocators Calc'!#REF!,0)</f>
        <v>#REF!</v>
      </c>
      <c r="CB51" t="e">
        <f>ROUND($F6*'Allocators Calc'!#REF!,0)</f>
        <v>#REF!</v>
      </c>
      <c r="CC51" s="13" t="e">
        <f>ROUND($F6*'Allocators Calc'!#REF!,0)</f>
        <v>#REF!</v>
      </c>
      <c r="CD51">
        <f>ROUND($F6*'Allocators Calc'!BE51,0)</f>
        <v>4194</v>
      </c>
      <c r="CE51">
        <f>ROUND($F6*'Allocators Calc'!BF51,0)</f>
        <v>9601</v>
      </c>
      <c r="CF51">
        <f>ROUND($F6*'Allocators Calc'!BG51,0)</f>
        <v>20077</v>
      </c>
      <c r="CG51">
        <f>ROUND($F6*'Allocators Calc'!BH51,0)</f>
        <v>410836</v>
      </c>
      <c r="CH51">
        <f>ROUND($F6*'Allocators Calc'!BI51,0)</f>
        <v>232688</v>
      </c>
      <c r="CI51" s="13">
        <f>ROUND($F6*'Allocators Calc'!BJ51,0)</f>
        <v>248099</v>
      </c>
      <c r="CJ51">
        <f>ROUND($F6*'Allocators Calc'!BK51,0)</f>
        <v>0</v>
      </c>
      <c r="CK51">
        <f>ROUND($F6*'Allocators Calc'!BL51,0)</f>
        <v>0</v>
      </c>
      <c r="CL51">
        <f>ROUND($F6*'Allocators Calc'!BM51,0)</f>
        <v>0</v>
      </c>
      <c r="CM51">
        <f>ROUND($F6*'Allocators Calc'!BN51,0)</f>
        <v>0</v>
      </c>
      <c r="CN51">
        <f>ROUND($F6*'Allocators Calc'!BO51,0)</f>
        <v>0</v>
      </c>
      <c r="CO51" s="13">
        <f>ROUND($F6*'Allocators Calc'!BP51,0)</f>
        <v>0</v>
      </c>
      <c r="CP51" t="e">
        <f>ROUND($F6*'Allocators Calc'!#REF!,0)</f>
        <v>#REF!</v>
      </c>
      <c r="CQ51" t="e">
        <f>ROUND($F6*'Allocators Calc'!#REF!,0)</f>
        <v>#REF!</v>
      </c>
      <c r="CR51" t="e">
        <f>ROUND($F6*'Allocators Calc'!#REF!,0)</f>
        <v>#REF!</v>
      </c>
      <c r="CS51" t="e">
        <f>ROUND($F6*'Allocators Calc'!#REF!,0)</f>
        <v>#REF!</v>
      </c>
      <c r="CT51" t="e">
        <f>ROUND($F6*'Allocators Calc'!#REF!,0)</f>
        <v>#REF!</v>
      </c>
      <c r="CU51" t="e">
        <f>ROUND($F6*'Allocators Calc'!#REF!,0)</f>
        <v>#REF!</v>
      </c>
    </row>
    <row r="52" spans="16:99" x14ac:dyDescent="0.2">
      <c r="P52" t="e">
        <f>ROUND($F7*'Allocators Calc'!#REF!,0)</f>
        <v>#REF!</v>
      </c>
      <c r="Q52" t="e">
        <f>ROUND($F7*'Allocators Calc'!#REF!,0)</f>
        <v>#REF!</v>
      </c>
      <c r="R52" t="e">
        <f>ROUND($F7*'Allocators Calc'!#REF!,0)</f>
        <v>#REF!</v>
      </c>
      <c r="S52" t="e">
        <f>ROUND($F7*'Allocators Calc'!#REF!,0)</f>
        <v>#REF!</v>
      </c>
      <c r="T52" t="e">
        <f>ROUND($F7*'Allocators Calc'!#REF!,0)</f>
        <v>#REF!</v>
      </c>
      <c r="U52" s="13" t="e">
        <f>ROUND($F7*'Allocators Calc'!#REF!,0)</f>
        <v>#REF!</v>
      </c>
      <c r="V52" t="e">
        <f>ROUND($F7*'Allocators Calc'!#REF!,0)</f>
        <v>#REF!</v>
      </c>
      <c r="W52" t="e">
        <f>ROUND($F7*'Allocators Calc'!#REF!,0)</f>
        <v>#REF!</v>
      </c>
      <c r="X52" t="e">
        <f>ROUND($F7*'Allocators Calc'!#REF!,0)</f>
        <v>#REF!</v>
      </c>
      <c r="Y52" t="e">
        <f>ROUND($F7*'Allocators Calc'!#REF!,0)</f>
        <v>#REF!</v>
      </c>
      <c r="Z52" t="e">
        <f>ROUND($F7*'Allocators Calc'!#REF!,0)</f>
        <v>#REF!</v>
      </c>
      <c r="AA52" s="13" t="e">
        <f>ROUND($F7*'Allocators Calc'!#REF!,0)</f>
        <v>#REF!</v>
      </c>
      <c r="AB52">
        <f>ROUND($F7*'Allocators Calc'!AG52,0)</f>
        <v>0</v>
      </c>
      <c r="AC52">
        <f>ROUND($F7*'Allocators Calc'!AH52,0)</f>
        <v>0</v>
      </c>
      <c r="AD52">
        <f>ROUND($F7*'Allocators Calc'!AI52,0)</f>
        <v>0</v>
      </c>
      <c r="AE52">
        <f>ROUND($F7*'Allocators Calc'!AJ52,0)</f>
        <v>0</v>
      </c>
      <c r="AF52">
        <f>ROUND($F7*'Allocators Calc'!AK52,0)</f>
        <v>0</v>
      </c>
      <c r="AG52" s="13">
        <f>ROUND($F7*'Allocators Calc'!AL52,0)</f>
        <v>0</v>
      </c>
      <c r="AH52" t="e">
        <f>ROUND($F7*'Allocators Calc'!#REF!,0)</f>
        <v>#REF!</v>
      </c>
      <c r="AI52" t="e">
        <f>ROUND($F7*'Allocators Calc'!#REF!,0)</f>
        <v>#REF!</v>
      </c>
      <c r="AJ52" t="e">
        <f>ROUND($F7*'Allocators Calc'!#REF!,0)</f>
        <v>#REF!</v>
      </c>
      <c r="AK52" t="e">
        <f>ROUND($F7*'Allocators Calc'!#REF!,0)</f>
        <v>#REF!</v>
      </c>
      <c r="AL52" t="e">
        <f>ROUND($F7*'Allocators Calc'!#REF!,0)</f>
        <v>#REF!</v>
      </c>
      <c r="AM52" s="13" t="e">
        <f>ROUND($F7*'Allocators Calc'!#REF!,0)</f>
        <v>#REF!</v>
      </c>
      <c r="AN52" t="e">
        <f>ROUND($F7*'Allocators Calc'!#REF!,0)</f>
        <v>#REF!</v>
      </c>
      <c r="AO52" t="e">
        <f>ROUND($F7*'Allocators Calc'!#REF!,0)</f>
        <v>#REF!</v>
      </c>
      <c r="AP52" t="e">
        <f>ROUND($F7*'Allocators Calc'!#REF!,0)</f>
        <v>#REF!</v>
      </c>
      <c r="AQ52" t="e">
        <f>ROUND($F7*'Allocators Calc'!#REF!,0)</f>
        <v>#REF!</v>
      </c>
      <c r="AR52" t="e">
        <f>ROUND($F7*'Allocators Calc'!#REF!,0)</f>
        <v>#REF!</v>
      </c>
      <c r="AS52" s="13" t="e">
        <f>ROUND($F7*'Allocators Calc'!#REF!,0)</f>
        <v>#REF!</v>
      </c>
      <c r="AT52">
        <f>ROUND($F7*'Allocators Calc'!AM52,0)</f>
        <v>0</v>
      </c>
      <c r="AU52">
        <f>ROUND($F7*'Allocators Calc'!AN52,0)</f>
        <v>0</v>
      </c>
      <c r="AV52">
        <f>ROUND($F7*'Allocators Calc'!AO52,0)</f>
        <v>0</v>
      </c>
      <c r="AW52">
        <f>ROUND($F7*'Allocators Calc'!AP52,0)</f>
        <v>0</v>
      </c>
      <c r="AX52">
        <f>ROUND($F7*'Allocators Calc'!AQ52,0)</f>
        <v>0</v>
      </c>
      <c r="AY52" s="13">
        <f>ROUND($F7*'Allocators Calc'!AR52,0)</f>
        <v>0</v>
      </c>
      <c r="AZ52">
        <f>ROUND($F7*'Allocators Calc'!AS52,0)</f>
        <v>4822</v>
      </c>
      <c r="BA52">
        <f>ROUND($F7*'Allocators Calc'!AT52,0)</f>
        <v>11024</v>
      </c>
      <c r="BB52">
        <f>ROUND($F7*'Allocators Calc'!AU52,0)</f>
        <v>22073</v>
      </c>
      <c r="BC52">
        <f>ROUND($F7*'Allocators Calc'!AV52,0)</f>
        <v>2481813</v>
      </c>
      <c r="BD52">
        <f>ROUND($F7*'Allocators Calc'!AW52,0)</f>
        <v>2274700</v>
      </c>
      <c r="BE52" s="13">
        <f>ROUND($F7*'Allocators Calc'!AX52,0)</f>
        <v>199604</v>
      </c>
      <c r="BF52" t="e">
        <f>ROUND($F7*'Allocators Calc'!#REF!,0)</f>
        <v>#REF!</v>
      </c>
      <c r="BG52" t="e">
        <f>ROUND($F7*'Allocators Calc'!#REF!,0)</f>
        <v>#REF!</v>
      </c>
      <c r="BH52" t="e">
        <f>ROUND($F7*'Allocators Calc'!#REF!,0)</f>
        <v>#REF!</v>
      </c>
      <c r="BI52" t="e">
        <f>ROUND($F7*'Allocators Calc'!#REF!,0)</f>
        <v>#REF!</v>
      </c>
      <c r="BJ52" t="e">
        <f>ROUND($F7*'Allocators Calc'!#REF!,0)</f>
        <v>#REF!</v>
      </c>
      <c r="BK52" s="13" t="e">
        <f>ROUND($F7*'Allocators Calc'!#REF!,0)</f>
        <v>#REF!</v>
      </c>
      <c r="BL52">
        <f>ROUND($F7*'Allocators Calc'!AY52,0)</f>
        <v>1606991</v>
      </c>
      <c r="BM52">
        <f>ROUND($F7*'Allocators Calc'!AZ52,0)</f>
        <v>3172767</v>
      </c>
      <c r="BN52">
        <f>ROUND($F7*'Allocators Calc'!BA52,0)</f>
        <v>4812932</v>
      </c>
      <c r="BO52">
        <f>ROUND($F7*'Allocators Calc'!BB52,0)</f>
        <v>30344876</v>
      </c>
      <c r="BP52">
        <f>ROUND($F7*'Allocators Calc'!BC52,0)</f>
        <v>16732268</v>
      </c>
      <c r="BQ52" s="13">
        <f>ROUND($F7*'Allocators Calc'!BD52,0)</f>
        <v>12260961</v>
      </c>
      <c r="BR52" t="e">
        <f>ROUND($F7*'Allocators Calc'!#REF!,0)</f>
        <v>#REF!</v>
      </c>
      <c r="BS52" t="e">
        <f>ROUND($F7*'Allocators Calc'!#REF!,0)</f>
        <v>#REF!</v>
      </c>
      <c r="BT52" t="e">
        <f>ROUND($F7*'Allocators Calc'!#REF!,0)</f>
        <v>#REF!</v>
      </c>
      <c r="BU52" t="e">
        <f>ROUND($F7*'Allocators Calc'!#REF!,0)</f>
        <v>#REF!</v>
      </c>
      <c r="BV52" t="e">
        <f>ROUND($F7*'Allocators Calc'!#REF!,0)</f>
        <v>#REF!</v>
      </c>
      <c r="BW52" s="13" t="e">
        <f>ROUND($F7*'Allocators Calc'!#REF!,0)</f>
        <v>#REF!</v>
      </c>
      <c r="BX52" t="e">
        <f>ROUND($F7*'Allocators Calc'!#REF!,0)</f>
        <v>#REF!</v>
      </c>
      <c r="BY52" t="e">
        <f>ROUND($F7*'Allocators Calc'!#REF!,0)</f>
        <v>#REF!</v>
      </c>
      <c r="BZ52" t="e">
        <f>ROUND($F7*'Allocators Calc'!#REF!,0)</f>
        <v>#REF!</v>
      </c>
      <c r="CA52" t="e">
        <f>ROUND($F7*'Allocators Calc'!#REF!,0)</f>
        <v>#REF!</v>
      </c>
      <c r="CB52" t="e">
        <f>ROUND($F7*'Allocators Calc'!#REF!,0)</f>
        <v>#REF!</v>
      </c>
      <c r="CC52" s="13" t="e">
        <f>ROUND($F7*'Allocators Calc'!#REF!,0)</f>
        <v>#REF!</v>
      </c>
      <c r="CD52">
        <f>ROUND($F7*'Allocators Calc'!BE52,0)</f>
        <v>4024</v>
      </c>
      <c r="CE52">
        <f>ROUND($F7*'Allocators Calc'!BF52,0)</f>
        <v>9213</v>
      </c>
      <c r="CF52">
        <f>ROUND($F7*'Allocators Calc'!BG52,0)</f>
        <v>19266</v>
      </c>
      <c r="CG52">
        <f>ROUND($F7*'Allocators Calc'!BH52,0)</f>
        <v>394239</v>
      </c>
      <c r="CH52">
        <f>ROUND($F7*'Allocators Calc'!BI52,0)</f>
        <v>223288</v>
      </c>
      <c r="CI52" s="13">
        <f>ROUND($F7*'Allocators Calc'!BJ52,0)</f>
        <v>238076</v>
      </c>
      <c r="CJ52">
        <f>ROUND($F7*'Allocators Calc'!BK52,0)</f>
        <v>0</v>
      </c>
      <c r="CK52">
        <f>ROUND($F7*'Allocators Calc'!BL52,0)</f>
        <v>0</v>
      </c>
      <c r="CL52">
        <f>ROUND($F7*'Allocators Calc'!BM52,0)</f>
        <v>0</v>
      </c>
      <c r="CM52">
        <f>ROUND($F7*'Allocators Calc'!BN52,0)</f>
        <v>0</v>
      </c>
      <c r="CN52">
        <f>ROUND($F7*'Allocators Calc'!BO52,0)</f>
        <v>0</v>
      </c>
      <c r="CO52" s="13">
        <f>ROUND($F7*'Allocators Calc'!BP52,0)</f>
        <v>0</v>
      </c>
      <c r="CP52" t="e">
        <f>ROUND($F7*'Allocators Calc'!#REF!,0)</f>
        <v>#REF!</v>
      </c>
      <c r="CQ52" t="e">
        <f>ROUND($F7*'Allocators Calc'!#REF!,0)</f>
        <v>#REF!</v>
      </c>
      <c r="CR52" t="e">
        <f>ROUND($F7*'Allocators Calc'!#REF!,0)</f>
        <v>#REF!</v>
      </c>
      <c r="CS52" t="e">
        <f>ROUND($F7*'Allocators Calc'!#REF!,0)</f>
        <v>#REF!</v>
      </c>
      <c r="CT52" t="e">
        <f>ROUND($F7*'Allocators Calc'!#REF!,0)</f>
        <v>#REF!</v>
      </c>
      <c r="CU52" t="e">
        <f>ROUND($F7*'Allocators Calc'!#REF!,0)</f>
        <v>#REF!</v>
      </c>
    </row>
    <row r="53" spans="16:99" x14ac:dyDescent="0.2">
      <c r="P53" t="e">
        <f>ROUND($F8*'Allocators Calc'!#REF!,0)</f>
        <v>#REF!</v>
      </c>
      <c r="Q53" t="e">
        <f>ROUND($F8*'Allocators Calc'!#REF!,0)</f>
        <v>#REF!</v>
      </c>
      <c r="R53" t="e">
        <f>ROUND($F8*'Allocators Calc'!#REF!,0)</f>
        <v>#REF!</v>
      </c>
      <c r="S53" t="e">
        <f>ROUND($F8*'Allocators Calc'!#REF!,0)</f>
        <v>#REF!</v>
      </c>
      <c r="T53" t="e">
        <f>ROUND($F8*'Allocators Calc'!#REF!,0)</f>
        <v>#REF!</v>
      </c>
      <c r="U53" s="13" t="e">
        <f>ROUND($F8*'Allocators Calc'!#REF!,0)</f>
        <v>#REF!</v>
      </c>
      <c r="V53" t="e">
        <f>ROUND($F8*'Allocators Calc'!#REF!,0)</f>
        <v>#REF!</v>
      </c>
      <c r="W53" t="e">
        <f>ROUND($F8*'Allocators Calc'!#REF!,0)</f>
        <v>#REF!</v>
      </c>
      <c r="X53" t="e">
        <f>ROUND($F8*'Allocators Calc'!#REF!,0)</f>
        <v>#REF!</v>
      </c>
      <c r="Y53" t="e">
        <f>ROUND($F8*'Allocators Calc'!#REF!,0)</f>
        <v>#REF!</v>
      </c>
      <c r="Z53" t="e">
        <f>ROUND($F8*'Allocators Calc'!#REF!,0)</f>
        <v>#REF!</v>
      </c>
      <c r="AA53" s="13" t="e">
        <f>ROUND($F8*'Allocators Calc'!#REF!,0)</f>
        <v>#REF!</v>
      </c>
      <c r="AB53">
        <f>ROUND($F8*'Allocators Calc'!AG53,0)</f>
        <v>0</v>
      </c>
      <c r="AC53">
        <f>ROUND($F8*'Allocators Calc'!AH53,0)</f>
        <v>0</v>
      </c>
      <c r="AD53">
        <f>ROUND($F8*'Allocators Calc'!AI53,0)</f>
        <v>0</v>
      </c>
      <c r="AE53">
        <f>ROUND($F8*'Allocators Calc'!AJ53,0)</f>
        <v>0</v>
      </c>
      <c r="AF53">
        <f>ROUND($F8*'Allocators Calc'!AK53,0)</f>
        <v>0</v>
      </c>
      <c r="AG53" s="13">
        <f>ROUND($F8*'Allocators Calc'!AL53,0)</f>
        <v>0</v>
      </c>
      <c r="AH53" t="e">
        <f>ROUND($F8*'Allocators Calc'!#REF!,0)</f>
        <v>#REF!</v>
      </c>
      <c r="AI53" t="e">
        <f>ROUND($F8*'Allocators Calc'!#REF!,0)</f>
        <v>#REF!</v>
      </c>
      <c r="AJ53" t="e">
        <f>ROUND($F8*'Allocators Calc'!#REF!,0)</f>
        <v>#REF!</v>
      </c>
      <c r="AK53" t="e">
        <f>ROUND($F8*'Allocators Calc'!#REF!,0)</f>
        <v>#REF!</v>
      </c>
      <c r="AL53" t="e">
        <f>ROUND($F8*'Allocators Calc'!#REF!,0)</f>
        <v>#REF!</v>
      </c>
      <c r="AM53" s="13" t="e">
        <f>ROUND($F8*'Allocators Calc'!#REF!,0)</f>
        <v>#REF!</v>
      </c>
      <c r="AN53" t="e">
        <f>ROUND($F8*'Allocators Calc'!#REF!,0)</f>
        <v>#REF!</v>
      </c>
      <c r="AO53" t="e">
        <f>ROUND($F8*'Allocators Calc'!#REF!,0)</f>
        <v>#REF!</v>
      </c>
      <c r="AP53" t="e">
        <f>ROUND($F8*'Allocators Calc'!#REF!,0)</f>
        <v>#REF!</v>
      </c>
      <c r="AQ53" t="e">
        <f>ROUND($F8*'Allocators Calc'!#REF!,0)</f>
        <v>#REF!</v>
      </c>
      <c r="AR53" t="e">
        <f>ROUND($F8*'Allocators Calc'!#REF!,0)</f>
        <v>#REF!</v>
      </c>
      <c r="AS53" s="13" t="e">
        <f>ROUND($F8*'Allocators Calc'!#REF!,0)</f>
        <v>#REF!</v>
      </c>
      <c r="AT53">
        <f>ROUND($F8*'Allocators Calc'!AM53,0)</f>
        <v>0</v>
      </c>
      <c r="AU53">
        <f>ROUND($F8*'Allocators Calc'!AN53,0)</f>
        <v>0</v>
      </c>
      <c r="AV53">
        <f>ROUND($F8*'Allocators Calc'!AO53,0)</f>
        <v>0</v>
      </c>
      <c r="AW53">
        <f>ROUND($F8*'Allocators Calc'!AP53,0)</f>
        <v>0</v>
      </c>
      <c r="AX53">
        <f>ROUND($F8*'Allocators Calc'!AQ53,0)</f>
        <v>0</v>
      </c>
      <c r="AY53" s="13">
        <f>ROUND($F8*'Allocators Calc'!AR53,0)</f>
        <v>0</v>
      </c>
      <c r="AZ53">
        <f>ROUND($F8*'Allocators Calc'!AS53,0)</f>
        <v>4961</v>
      </c>
      <c r="BA53">
        <f>ROUND($F8*'Allocators Calc'!AT53,0)</f>
        <v>11343</v>
      </c>
      <c r="BB53">
        <f>ROUND($F8*'Allocators Calc'!AU53,0)</f>
        <v>22712</v>
      </c>
      <c r="BC53">
        <f>ROUND($F8*'Allocators Calc'!AV53,0)</f>
        <v>2553607</v>
      </c>
      <c r="BD53">
        <f>ROUND($F8*'Allocators Calc'!AW53,0)</f>
        <v>2340503</v>
      </c>
      <c r="BE53" s="13">
        <f>ROUND($F8*'Allocators Calc'!AX53,0)</f>
        <v>205378</v>
      </c>
      <c r="BF53" t="e">
        <f>ROUND($F8*'Allocators Calc'!#REF!,0)</f>
        <v>#REF!</v>
      </c>
      <c r="BG53" t="e">
        <f>ROUND($F8*'Allocators Calc'!#REF!,0)</f>
        <v>#REF!</v>
      </c>
      <c r="BH53" t="e">
        <f>ROUND($F8*'Allocators Calc'!#REF!,0)</f>
        <v>#REF!</v>
      </c>
      <c r="BI53" t="e">
        <f>ROUND($F8*'Allocators Calc'!#REF!,0)</f>
        <v>#REF!</v>
      </c>
      <c r="BJ53" t="e">
        <f>ROUND($F8*'Allocators Calc'!#REF!,0)</f>
        <v>#REF!</v>
      </c>
      <c r="BK53" s="13" t="e">
        <f>ROUND($F8*'Allocators Calc'!#REF!,0)</f>
        <v>#REF!</v>
      </c>
      <c r="BL53">
        <f>ROUND($F8*'Allocators Calc'!AY53,0)</f>
        <v>1642815</v>
      </c>
      <c r="BM53">
        <f>ROUND($F8*'Allocators Calc'!AZ53,0)</f>
        <v>3243496</v>
      </c>
      <c r="BN53">
        <f>ROUND($F8*'Allocators Calc'!BA53,0)</f>
        <v>4920225</v>
      </c>
      <c r="BO53">
        <f>ROUND($F8*'Allocators Calc'!BB53,0)</f>
        <v>31021343</v>
      </c>
      <c r="BP53">
        <f>ROUND($F8*'Allocators Calc'!BC53,0)</f>
        <v>17105274</v>
      </c>
      <c r="BQ53" s="13">
        <f>ROUND($F8*'Allocators Calc'!BD53,0)</f>
        <v>12534290</v>
      </c>
      <c r="BR53" t="e">
        <f>ROUND($F8*'Allocators Calc'!#REF!,0)</f>
        <v>#REF!</v>
      </c>
      <c r="BS53" t="e">
        <f>ROUND($F8*'Allocators Calc'!#REF!,0)</f>
        <v>#REF!</v>
      </c>
      <c r="BT53" t="e">
        <f>ROUND($F8*'Allocators Calc'!#REF!,0)</f>
        <v>#REF!</v>
      </c>
      <c r="BU53" t="e">
        <f>ROUND($F8*'Allocators Calc'!#REF!,0)</f>
        <v>#REF!</v>
      </c>
      <c r="BV53" t="e">
        <f>ROUND($F8*'Allocators Calc'!#REF!,0)</f>
        <v>#REF!</v>
      </c>
      <c r="BW53" s="13" t="e">
        <f>ROUND($F8*'Allocators Calc'!#REF!,0)</f>
        <v>#REF!</v>
      </c>
      <c r="BX53" t="e">
        <f>ROUND($F8*'Allocators Calc'!#REF!,0)</f>
        <v>#REF!</v>
      </c>
      <c r="BY53" t="e">
        <f>ROUND($F8*'Allocators Calc'!#REF!,0)</f>
        <v>#REF!</v>
      </c>
      <c r="BZ53" t="e">
        <f>ROUND($F8*'Allocators Calc'!#REF!,0)</f>
        <v>#REF!</v>
      </c>
      <c r="CA53" t="e">
        <f>ROUND($F8*'Allocators Calc'!#REF!,0)</f>
        <v>#REF!</v>
      </c>
      <c r="CB53" t="e">
        <f>ROUND($F8*'Allocators Calc'!#REF!,0)</f>
        <v>#REF!</v>
      </c>
      <c r="CC53" s="13" t="e">
        <f>ROUND($F8*'Allocators Calc'!#REF!,0)</f>
        <v>#REF!</v>
      </c>
      <c r="CD53">
        <f>ROUND($F8*'Allocators Calc'!BE53,0)</f>
        <v>4376</v>
      </c>
      <c r="CE53">
        <f>ROUND($F8*'Allocators Calc'!BF53,0)</f>
        <v>10018</v>
      </c>
      <c r="CF53">
        <f>ROUND($F8*'Allocators Calc'!BG53,0)</f>
        <v>20949</v>
      </c>
      <c r="CG53">
        <f>ROUND($F8*'Allocators Calc'!BH53,0)</f>
        <v>428666</v>
      </c>
      <c r="CH53">
        <f>ROUND($F8*'Allocators Calc'!BI53,0)</f>
        <v>242786</v>
      </c>
      <c r="CI53" s="13">
        <f>ROUND($F8*'Allocators Calc'!BJ53,0)</f>
        <v>258866</v>
      </c>
      <c r="CJ53">
        <f>ROUND($F8*'Allocators Calc'!BK53,0)</f>
        <v>0</v>
      </c>
      <c r="CK53">
        <f>ROUND($F8*'Allocators Calc'!BL53,0)</f>
        <v>0</v>
      </c>
      <c r="CL53">
        <f>ROUND($F8*'Allocators Calc'!BM53,0)</f>
        <v>0</v>
      </c>
      <c r="CM53">
        <f>ROUND($F8*'Allocators Calc'!BN53,0)</f>
        <v>0</v>
      </c>
      <c r="CN53">
        <f>ROUND($F8*'Allocators Calc'!BO53,0)</f>
        <v>0</v>
      </c>
      <c r="CO53" s="13">
        <f>ROUND($F8*'Allocators Calc'!BP53,0)</f>
        <v>0</v>
      </c>
      <c r="CP53" t="e">
        <f>ROUND($F8*'Allocators Calc'!#REF!,0)</f>
        <v>#REF!</v>
      </c>
      <c r="CQ53" t="e">
        <f>ROUND($F8*'Allocators Calc'!#REF!,0)</f>
        <v>#REF!</v>
      </c>
      <c r="CR53" t="e">
        <f>ROUND($F8*'Allocators Calc'!#REF!,0)</f>
        <v>#REF!</v>
      </c>
      <c r="CS53" t="e">
        <f>ROUND($F8*'Allocators Calc'!#REF!,0)</f>
        <v>#REF!</v>
      </c>
      <c r="CT53" t="e">
        <f>ROUND($F8*'Allocators Calc'!#REF!,0)</f>
        <v>#REF!</v>
      </c>
      <c r="CU53" t="e">
        <f>ROUND($F8*'Allocators Calc'!#REF!,0)</f>
        <v>#REF!</v>
      </c>
    </row>
    <row r="54" spans="16:99" x14ac:dyDescent="0.2">
      <c r="P54" t="e">
        <f>ROUND($F9*'Allocators Calc'!#REF!,0)</f>
        <v>#REF!</v>
      </c>
      <c r="Q54" t="e">
        <f>ROUND($F9*'Allocators Calc'!#REF!,0)</f>
        <v>#REF!</v>
      </c>
      <c r="R54" t="e">
        <f>ROUND($F9*'Allocators Calc'!#REF!,0)</f>
        <v>#REF!</v>
      </c>
      <c r="S54" t="e">
        <f>ROUND($F9*'Allocators Calc'!#REF!,0)</f>
        <v>#REF!</v>
      </c>
      <c r="T54" t="e">
        <f>ROUND($F9*'Allocators Calc'!#REF!,0)</f>
        <v>#REF!</v>
      </c>
      <c r="U54" s="13" t="e">
        <f>ROUND($F9*'Allocators Calc'!#REF!,0)</f>
        <v>#REF!</v>
      </c>
      <c r="V54" t="e">
        <f>ROUND($F9*'Allocators Calc'!#REF!,0)</f>
        <v>#REF!</v>
      </c>
      <c r="W54" t="e">
        <f>ROUND($F9*'Allocators Calc'!#REF!,0)</f>
        <v>#REF!</v>
      </c>
      <c r="X54" t="e">
        <f>ROUND($F9*'Allocators Calc'!#REF!,0)</f>
        <v>#REF!</v>
      </c>
      <c r="Y54" t="e">
        <f>ROUND($F9*'Allocators Calc'!#REF!,0)</f>
        <v>#REF!</v>
      </c>
      <c r="Z54" t="e">
        <f>ROUND($F9*'Allocators Calc'!#REF!,0)</f>
        <v>#REF!</v>
      </c>
      <c r="AA54" s="13" t="e">
        <f>ROUND($F9*'Allocators Calc'!#REF!,0)</f>
        <v>#REF!</v>
      </c>
      <c r="AB54">
        <f>ROUND($F9*'Allocators Calc'!AG54,0)</f>
        <v>0</v>
      </c>
      <c r="AC54">
        <f>ROUND($F9*'Allocators Calc'!AH54,0)</f>
        <v>0</v>
      </c>
      <c r="AD54">
        <f>ROUND($F9*'Allocators Calc'!AI54,0)</f>
        <v>0</v>
      </c>
      <c r="AE54">
        <f>ROUND($F9*'Allocators Calc'!AJ54,0)</f>
        <v>0</v>
      </c>
      <c r="AF54">
        <f>ROUND($F9*'Allocators Calc'!AK54,0)</f>
        <v>0</v>
      </c>
      <c r="AG54" s="13">
        <f>ROUND($F9*'Allocators Calc'!AL54,0)</f>
        <v>0</v>
      </c>
      <c r="AH54" t="e">
        <f>ROUND($F9*'Allocators Calc'!#REF!,0)</f>
        <v>#REF!</v>
      </c>
      <c r="AI54" t="e">
        <f>ROUND($F9*'Allocators Calc'!#REF!,0)</f>
        <v>#REF!</v>
      </c>
      <c r="AJ54" t="e">
        <f>ROUND($F9*'Allocators Calc'!#REF!,0)</f>
        <v>#REF!</v>
      </c>
      <c r="AK54" t="e">
        <f>ROUND($F9*'Allocators Calc'!#REF!,0)</f>
        <v>#REF!</v>
      </c>
      <c r="AL54" t="e">
        <f>ROUND($F9*'Allocators Calc'!#REF!,0)</f>
        <v>#REF!</v>
      </c>
      <c r="AM54" s="13" t="e">
        <f>ROUND($F9*'Allocators Calc'!#REF!,0)</f>
        <v>#REF!</v>
      </c>
      <c r="AN54" t="e">
        <f>ROUND($F9*'Allocators Calc'!#REF!,0)</f>
        <v>#REF!</v>
      </c>
      <c r="AO54" t="e">
        <f>ROUND($F9*'Allocators Calc'!#REF!,0)</f>
        <v>#REF!</v>
      </c>
      <c r="AP54" t="e">
        <f>ROUND($F9*'Allocators Calc'!#REF!,0)</f>
        <v>#REF!</v>
      </c>
      <c r="AQ54" t="e">
        <f>ROUND($F9*'Allocators Calc'!#REF!,0)</f>
        <v>#REF!</v>
      </c>
      <c r="AR54" t="e">
        <f>ROUND($F9*'Allocators Calc'!#REF!,0)</f>
        <v>#REF!</v>
      </c>
      <c r="AS54" s="13" t="e">
        <f>ROUND($F9*'Allocators Calc'!#REF!,0)</f>
        <v>#REF!</v>
      </c>
      <c r="AT54">
        <f>ROUND($F9*'Allocators Calc'!AM54,0)</f>
        <v>0</v>
      </c>
      <c r="AU54">
        <f>ROUND($F9*'Allocators Calc'!AN54,0)</f>
        <v>0</v>
      </c>
      <c r="AV54">
        <f>ROUND($F9*'Allocators Calc'!AO54,0)</f>
        <v>0</v>
      </c>
      <c r="AW54">
        <f>ROUND($F9*'Allocators Calc'!AP54,0)</f>
        <v>0</v>
      </c>
      <c r="AX54">
        <f>ROUND($F9*'Allocators Calc'!AQ54,0)</f>
        <v>0</v>
      </c>
      <c r="AY54" s="13">
        <f>ROUND($F9*'Allocators Calc'!AR54,0)</f>
        <v>0</v>
      </c>
      <c r="AZ54">
        <f>ROUND($F9*'Allocators Calc'!AS54,0)</f>
        <v>8972</v>
      </c>
      <c r="BA54">
        <f>ROUND($F9*'Allocators Calc'!AT54,0)</f>
        <v>20514</v>
      </c>
      <c r="BB54">
        <f>ROUND($F9*'Allocators Calc'!AU54,0)</f>
        <v>41074</v>
      </c>
      <c r="BC54">
        <f>ROUND($F9*'Allocators Calc'!AV54,0)</f>
        <v>4618145</v>
      </c>
      <c r="BD54">
        <f>ROUND($F9*'Allocators Calc'!AW54,0)</f>
        <v>4232750</v>
      </c>
      <c r="BE54" s="13">
        <f>ROUND($F9*'Allocators Calc'!AX54,0)</f>
        <v>371422</v>
      </c>
      <c r="BF54" t="e">
        <f>ROUND($F9*'Allocators Calc'!#REF!,0)</f>
        <v>#REF!</v>
      </c>
      <c r="BG54" t="e">
        <f>ROUND($F9*'Allocators Calc'!#REF!,0)</f>
        <v>#REF!</v>
      </c>
      <c r="BH54" t="e">
        <f>ROUND($F9*'Allocators Calc'!#REF!,0)</f>
        <v>#REF!</v>
      </c>
      <c r="BI54" t="e">
        <f>ROUND($F9*'Allocators Calc'!#REF!,0)</f>
        <v>#REF!</v>
      </c>
      <c r="BJ54" t="e">
        <f>ROUND($F9*'Allocators Calc'!#REF!,0)</f>
        <v>#REF!</v>
      </c>
      <c r="BK54" s="13" t="e">
        <f>ROUND($F9*'Allocators Calc'!#REF!,0)</f>
        <v>#REF!</v>
      </c>
      <c r="BL54">
        <f>ROUND($F9*'Allocators Calc'!AY54,0)</f>
        <v>3084927</v>
      </c>
      <c r="BM54">
        <f>ROUND($F9*'Allocators Calc'!AZ54,0)</f>
        <v>6090734</v>
      </c>
      <c r="BN54">
        <f>ROUND($F9*'Allocators Calc'!BA54,0)</f>
        <v>9239344</v>
      </c>
      <c r="BO54">
        <f>ROUND($F9*'Allocators Calc'!BB54,0)</f>
        <v>58252798</v>
      </c>
      <c r="BP54">
        <f>ROUND($F9*'Allocators Calc'!BC54,0)</f>
        <v>32120791</v>
      </c>
      <c r="BQ54" s="13">
        <f>ROUND($F9*'Allocators Calc'!BD54,0)</f>
        <v>23537261</v>
      </c>
      <c r="BR54" t="e">
        <f>ROUND($F9*'Allocators Calc'!#REF!,0)</f>
        <v>#REF!</v>
      </c>
      <c r="BS54" t="e">
        <f>ROUND($F9*'Allocators Calc'!#REF!,0)</f>
        <v>#REF!</v>
      </c>
      <c r="BT54" t="e">
        <f>ROUND($F9*'Allocators Calc'!#REF!,0)</f>
        <v>#REF!</v>
      </c>
      <c r="BU54" t="e">
        <f>ROUND($F9*'Allocators Calc'!#REF!,0)</f>
        <v>#REF!</v>
      </c>
      <c r="BV54" t="e">
        <f>ROUND($F9*'Allocators Calc'!#REF!,0)</f>
        <v>#REF!</v>
      </c>
      <c r="BW54" s="13" t="e">
        <f>ROUND($F9*'Allocators Calc'!#REF!,0)</f>
        <v>#REF!</v>
      </c>
      <c r="BX54" t="e">
        <f>ROUND($F9*'Allocators Calc'!#REF!,0)</f>
        <v>#REF!</v>
      </c>
      <c r="BY54" t="e">
        <f>ROUND($F9*'Allocators Calc'!#REF!,0)</f>
        <v>#REF!</v>
      </c>
      <c r="BZ54" t="e">
        <f>ROUND($F9*'Allocators Calc'!#REF!,0)</f>
        <v>#REF!</v>
      </c>
      <c r="CA54" t="e">
        <f>ROUND($F9*'Allocators Calc'!#REF!,0)</f>
        <v>#REF!</v>
      </c>
      <c r="CB54" t="e">
        <f>ROUND($F9*'Allocators Calc'!#REF!,0)</f>
        <v>#REF!</v>
      </c>
      <c r="CC54" s="13" t="e">
        <f>ROUND($F9*'Allocators Calc'!#REF!,0)</f>
        <v>#REF!</v>
      </c>
      <c r="CD54">
        <f>ROUND($F9*'Allocators Calc'!BE54,0)</f>
        <v>8174</v>
      </c>
      <c r="CE54">
        <f>ROUND($F9*'Allocators Calc'!BF54,0)</f>
        <v>18715</v>
      </c>
      <c r="CF54">
        <f>ROUND($F9*'Allocators Calc'!BG54,0)</f>
        <v>39136</v>
      </c>
      <c r="CG54">
        <f>ROUND($F9*'Allocators Calc'!BH54,0)</f>
        <v>800828</v>
      </c>
      <c r="CH54">
        <f>ROUND($F9*'Allocators Calc'!BI54,0)</f>
        <v>453571</v>
      </c>
      <c r="CI54" s="13">
        <f>ROUND($F9*'Allocators Calc'!BJ54,0)</f>
        <v>483611</v>
      </c>
      <c r="CJ54">
        <f>ROUND($F9*'Allocators Calc'!BK54,0)</f>
        <v>0</v>
      </c>
      <c r="CK54">
        <f>ROUND($F9*'Allocators Calc'!BL54,0)</f>
        <v>0</v>
      </c>
      <c r="CL54">
        <f>ROUND($F9*'Allocators Calc'!BM54,0)</f>
        <v>0</v>
      </c>
      <c r="CM54">
        <f>ROUND($F9*'Allocators Calc'!BN54,0)</f>
        <v>0</v>
      </c>
      <c r="CN54">
        <f>ROUND($F9*'Allocators Calc'!BO54,0)</f>
        <v>0</v>
      </c>
      <c r="CO54" s="13">
        <f>ROUND($F9*'Allocators Calc'!BP54,0)</f>
        <v>0</v>
      </c>
      <c r="CP54" t="e">
        <f>ROUND($F9*'Allocators Calc'!#REF!,0)</f>
        <v>#REF!</v>
      </c>
      <c r="CQ54" t="e">
        <f>ROUND($F9*'Allocators Calc'!#REF!,0)</f>
        <v>#REF!</v>
      </c>
      <c r="CR54" t="e">
        <f>ROUND($F9*'Allocators Calc'!#REF!,0)</f>
        <v>#REF!</v>
      </c>
      <c r="CS54" t="e">
        <f>ROUND($F9*'Allocators Calc'!#REF!,0)</f>
        <v>#REF!</v>
      </c>
      <c r="CT54" t="e">
        <f>ROUND($F9*'Allocators Calc'!#REF!,0)</f>
        <v>#REF!</v>
      </c>
      <c r="CU54" t="e">
        <f>ROUND($F9*'Allocators Calc'!#REF!,0)</f>
        <v>#REF!</v>
      </c>
    </row>
    <row r="55" spans="16:99" x14ac:dyDescent="0.2">
      <c r="P55" t="e">
        <f>ROUND($F10*'Allocators Calc'!#REF!,0)</f>
        <v>#REF!</v>
      </c>
      <c r="Q55" t="e">
        <f>ROUND($F10*'Allocators Calc'!#REF!,0)</f>
        <v>#REF!</v>
      </c>
      <c r="R55" t="e">
        <f>ROUND($F10*'Allocators Calc'!#REF!,0)</f>
        <v>#REF!</v>
      </c>
      <c r="S55" t="e">
        <f>ROUND($F10*'Allocators Calc'!#REF!,0)</f>
        <v>#REF!</v>
      </c>
      <c r="T55" t="e">
        <f>ROUND($F10*'Allocators Calc'!#REF!,0)</f>
        <v>#REF!</v>
      </c>
      <c r="U55" s="13" t="e">
        <f>ROUND($F10*'Allocators Calc'!#REF!,0)</f>
        <v>#REF!</v>
      </c>
      <c r="V55" t="e">
        <f>ROUND($F10*'Allocators Calc'!#REF!,0)</f>
        <v>#REF!</v>
      </c>
      <c r="W55" t="e">
        <f>ROUND($F10*'Allocators Calc'!#REF!,0)</f>
        <v>#REF!</v>
      </c>
      <c r="X55" t="e">
        <f>ROUND($F10*'Allocators Calc'!#REF!,0)</f>
        <v>#REF!</v>
      </c>
      <c r="Y55" t="e">
        <f>ROUND($F10*'Allocators Calc'!#REF!,0)</f>
        <v>#REF!</v>
      </c>
      <c r="Z55" t="e">
        <f>ROUND($F10*'Allocators Calc'!#REF!,0)</f>
        <v>#REF!</v>
      </c>
      <c r="AA55" s="13" t="e">
        <f>ROUND($F10*'Allocators Calc'!#REF!,0)</f>
        <v>#REF!</v>
      </c>
      <c r="AB55">
        <f>ROUND($F10*'Allocators Calc'!AG55,0)</f>
        <v>0</v>
      </c>
      <c r="AC55">
        <f>ROUND($F10*'Allocators Calc'!AH55,0)</f>
        <v>0</v>
      </c>
      <c r="AD55">
        <f>ROUND($F10*'Allocators Calc'!AI55,0)</f>
        <v>0</v>
      </c>
      <c r="AE55">
        <f>ROUND($F10*'Allocators Calc'!AJ55,0)</f>
        <v>0</v>
      </c>
      <c r="AF55">
        <f>ROUND($F10*'Allocators Calc'!AK55,0)</f>
        <v>0</v>
      </c>
      <c r="AG55" s="13">
        <f>ROUND($F10*'Allocators Calc'!AL55,0)</f>
        <v>0</v>
      </c>
      <c r="AH55" t="e">
        <f>ROUND($F10*'Allocators Calc'!#REF!,0)</f>
        <v>#REF!</v>
      </c>
      <c r="AI55" t="e">
        <f>ROUND($F10*'Allocators Calc'!#REF!,0)</f>
        <v>#REF!</v>
      </c>
      <c r="AJ55" t="e">
        <f>ROUND($F10*'Allocators Calc'!#REF!,0)</f>
        <v>#REF!</v>
      </c>
      <c r="AK55" t="e">
        <f>ROUND($F10*'Allocators Calc'!#REF!,0)</f>
        <v>#REF!</v>
      </c>
      <c r="AL55" t="e">
        <f>ROUND($F10*'Allocators Calc'!#REF!,0)</f>
        <v>#REF!</v>
      </c>
      <c r="AM55" s="13" t="e">
        <f>ROUND($F10*'Allocators Calc'!#REF!,0)</f>
        <v>#REF!</v>
      </c>
      <c r="AN55" t="e">
        <f>ROUND($F10*'Allocators Calc'!#REF!,0)</f>
        <v>#REF!</v>
      </c>
      <c r="AO55" t="e">
        <f>ROUND($F10*'Allocators Calc'!#REF!,0)</f>
        <v>#REF!</v>
      </c>
      <c r="AP55" t="e">
        <f>ROUND($F10*'Allocators Calc'!#REF!,0)</f>
        <v>#REF!</v>
      </c>
      <c r="AQ55" t="e">
        <f>ROUND($F10*'Allocators Calc'!#REF!,0)</f>
        <v>#REF!</v>
      </c>
      <c r="AR55" t="e">
        <f>ROUND($F10*'Allocators Calc'!#REF!,0)</f>
        <v>#REF!</v>
      </c>
      <c r="AS55" s="13" t="e">
        <f>ROUND($F10*'Allocators Calc'!#REF!,0)</f>
        <v>#REF!</v>
      </c>
      <c r="AT55">
        <f>ROUND($F10*'Allocators Calc'!AM55,0)</f>
        <v>0</v>
      </c>
      <c r="AU55">
        <f>ROUND($F10*'Allocators Calc'!AN55,0)</f>
        <v>0</v>
      </c>
      <c r="AV55">
        <f>ROUND($F10*'Allocators Calc'!AO55,0)</f>
        <v>0</v>
      </c>
      <c r="AW55">
        <f>ROUND($F10*'Allocators Calc'!AP55,0)</f>
        <v>0</v>
      </c>
      <c r="AX55">
        <f>ROUND($F10*'Allocators Calc'!AQ55,0)</f>
        <v>0</v>
      </c>
      <c r="AY55" s="13">
        <f>ROUND($F10*'Allocators Calc'!AR55,0)</f>
        <v>0</v>
      </c>
      <c r="AZ55">
        <f>ROUND($F10*'Allocators Calc'!AS55,0)</f>
        <v>6043</v>
      </c>
      <c r="BA55">
        <f>ROUND($F10*'Allocators Calc'!AT55,0)</f>
        <v>13815</v>
      </c>
      <c r="BB55">
        <f>ROUND($F10*'Allocators Calc'!AU55,0)</f>
        <v>27662</v>
      </c>
      <c r="BC55">
        <f>ROUND($F10*'Allocators Calc'!AV55,0)</f>
        <v>3110158</v>
      </c>
      <c r="BD55">
        <f>ROUND($F10*'Allocators Calc'!AW55,0)</f>
        <v>2850608</v>
      </c>
      <c r="BE55" s="13">
        <f>ROUND($F10*'Allocators Calc'!AX55,0)</f>
        <v>250139</v>
      </c>
      <c r="BF55" t="e">
        <f>ROUND($F10*'Allocators Calc'!#REF!,0)</f>
        <v>#REF!</v>
      </c>
      <c r="BG55" t="e">
        <f>ROUND($F10*'Allocators Calc'!#REF!,0)</f>
        <v>#REF!</v>
      </c>
      <c r="BH55" t="e">
        <f>ROUND($F10*'Allocators Calc'!#REF!,0)</f>
        <v>#REF!</v>
      </c>
      <c r="BI55" t="e">
        <f>ROUND($F10*'Allocators Calc'!#REF!,0)</f>
        <v>#REF!</v>
      </c>
      <c r="BJ55" t="e">
        <f>ROUND($F10*'Allocators Calc'!#REF!,0)</f>
        <v>#REF!</v>
      </c>
      <c r="BK55" s="13" t="e">
        <f>ROUND($F10*'Allocators Calc'!#REF!,0)</f>
        <v>#REF!</v>
      </c>
      <c r="BL55">
        <f>ROUND($F10*'Allocators Calc'!AY55,0)</f>
        <v>1918109</v>
      </c>
      <c r="BM55">
        <f>ROUND($F10*'Allocators Calc'!AZ55,0)</f>
        <v>3787022</v>
      </c>
      <c r="BN55">
        <f>ROUND($F10*'Allocators Calc'!BA55,0)</f>
        <v>5744727</v>
      </c>
      <c r="BO55">
        <f>ROUND($F10*'Allocators Calc'!BB55,0)</f>
        <v>36219716</v>
      </c>
      <c r="BP55">
        <f>ROUND($F10*'Allocators Calc'!BC55,0)</f>
        <v>19971675</v>
      </c>
      <c r="BQ55" s="13">
        <f>ROUND($F10*'Allocators Calc'!BD55,0)</f>
        <v>14634711</v>
      </c>
      <c r="BR55" t="e">
        <f>ROUND($F10*'Allocators Calc'!#REF!,0)</f>
        <v>#REF!</v>
      </c>
      <c r="BS55" t="e">
        <f>ROUND($F10*'Allocators Calc'!#REF!,0)</f>
        <v>#REF!</v>
      </c>
      <c r="BT55" t="e">
        <f>ROUND($F10*'Allocators Calc'!#REF!,0)</f>
        <v>#REF!</v>
      </c>
      <c r="BU55" t="e">
        <f>ROUND($F10*'Allocators Calc'!#REF!,0)</f>
        <v>#REF!</v>
      </c>
      <c r="BV55" t="e">
        <f>ROUND($F10*'Allocators Calc'!#REF!,0)</f>
        <v>#REF!</v>
      </c>
      <c r="BW55" s="13" t="e">
        <f>ROUND($F10*'Allocators Calc'!#REF!,0)</f>
        <v>#REF!</v>
      </c>
      <c r="BX55" t="e">
        <f>ROUND($F10*'Allocators Calc'!#REF!,0)</f>
        <v>#REF!</v>
      </c>
      <c r="BY55" t="e">
        <f>ROUND($F10*'Allocators Calc'!#REF!,0)</f>
        <v>#REF!</v>
      </c>
      <c r="BZ55" t="e">
        <f>ROUND($F10*'Allocators Calc'!#REF!,0)</f>
        <v>#REF!</v>
      </c>
      <c r="CA55" t="e">
        <f>ROUND($F10*'Allocators Calc'!#REF!,0)</f>
        <v>#REF!</v>
      </c>
      <c r="CB55" t="e">
        <f>ROUND($F10*'Allocators Calc'!#REF!,0)</f>
        <v>#REF!</v>
      </c>
      <c r="CC55" s="13" t="e">
        <f>ROUND($F10*'Allocators Calc'!#REF!,0)</f>
        <v>#REF!</v>
      </c>
      <c r="CD55">
        <f>ROUND($F10*'Allocators Calc'!BE55,0)</f>
        <v>4570</v>
      </c>
      <c r="CE55">
        <f>ROUND($F10*'Allocators Calc'!BF55,0)</f>
        <v>10462</v>
      </c>
      <c r="CF55">
        <f>ROUND($F10*'Allocators Calc'!BG55,0)</f>
        <v>21877</v>
      </c>
      <c r="CG55">
        <f>ROUND($F10*'Allocators Calc'!BH55,0)</f>
        <v>447670</v>
      </c>
      <c r="CH55">
        <f>ROUND($F10*'Allocators Calc'!BI55,0)</f>
        <v>253550</v>
      </c>
      <c r="CI55" s="13">
        <f>ROUND($F10*'Allocators Calc'!BJ55,0)</f>
        <v>270343</v>
      </c>
      <c r="CJ55">
        <f>ROUND($F10*'Allocators Calc'!BK55,0)</f>
        <v>0</v>
      </c>
      <c r="CK55">
        <f>ROUND($F10*'Allocators Calc'!BL55,0)</f>
        <v>0</v>
      </c>
      <c r="CL55">
        <f>ROUND($F10*'Allocators Calc'!BM55,0)</f>
        <v>0</v>
      </c>
      <c r="CM55">
        <f>ROUND($F10*'Allocators Calc'!BN55,0)</f>
        <v>0</v>
      </c>
      <c r="CN55">
        <f>ROUND($F10*'Allocators Calc'!BO55,0)</f>
        <v>0</v>
      </c>
      <c r="CO55" s="13">
        <f>ROUND($F10*'Allocators Calc'!BP55,0)</f>
        <v>0</v>
      </c>
      <c r="CP55" t="e">
        <f>ROUND($F10*'Allocators Calc'!#REF!,0)</f>
        <v>#REF!</v>
      </c>
      <c r="CQ55" t="e">
        <f>ROUND($F10*'Allocators Calc'!#REF!,0)</f>
        <v>#REF!</v>
      </c>
      <c r="CR55" t="e">
        <f>ROUND($F10*'Allocators Calc'!#REF!,0)</f>
        <v>#REF!</v>
      </c>
      <c r="CS55" t="e">
        <f>ROUND($F10*'Allocators Calc'!#REF!,0)</f>
        <v>#REF!</v>
      </c>
      <c r="CT55" t="e">
        <f>ROUND($F10*'Allocators Calc'!#REF!,0)</f>
        <v>#REF!</v>
      </c>
      <c r="CU55" t="e">
        <f>ROUND($F10*'Allocators Calc'!#REF!,0)</f>
        <v>#REF!</v>
      </c>
    </row>
    <row r="56" spans="16:99" x14ac:dyDescent="0.2">
      <c r="P56" t="e">
        <f>ROUND($F11*'Allocators Calc'!#REF!,0)</f>
        <v>#REF!</v>
      </c>
      <c r="Q56" t="e">
        <f>ROUND($F11*'Allocators Calc'!#REF!,0)</f>
        <v>#REF!</v>
      </c>
      <c r="R56" t="e">
        <f>ROUND($F11*'Allocators Calc'!#REF!,0)</f>
        <v>#REF!</v>
      </c>
      <c r="S56" t="e">
        <f>ROUND($F11*'Allocators Calc'!#REF!,0)</f>
        <v>#REF!</v>
      </c>
      <c r="T56" t="e">
        <f>ROUND($F11*'Allocators Calc'!#REF!,0)</f>
        <v>#REF!</v>
      </c>
      <c r="U56" s="13" t="e">
        <f>ROUND($F11*'Allocators Calc'!#REF!,0)</f>
        <v>#REF!</v>
      </c>
      <c r="V56" t="e">
        <f>ROUND($F11*'Allocators Calc'!#REF!,0)</f>
        <v>#REF!</v>
      </c>
      <c r="W56" t="e">
        <f>ROUND($F11*'Allocators Calc'!#REF!,0)</f>
        <v>#REF!</v>
      </c>
      <c r="X56" t="e">
        <f>ROUND($F11*'Allocators Calc'!#REF!,0)</f>
        <v>#REF!</v>
      </c>
      <c r="Y56" t="e">
        <f>ROUND($F11*'Allocators Calc'!#REF!,0)</f>
        <v>#REF!</v>
      </c>
      <c r="Z56" t="e">
        <f>ROUND($F11*'Allocators Calc'!#REF!,0)</f>
        <v>#REF!</v>
      </c>
      <c r="AA56" s="13" t="e">
        <f>ROUND($F11*'Allocators Calc'!#REF!,0)</f>
        <v>#REF!</v>
      </c>
      <c r="AB56">
        <f>ROUND($F11*'Allocators Calc'!AG56,0)</f>
        <v>0</v>
      </c>
      <c r="AC56">
        <f>ROUND($F11*'Allocators Calc'!AH56,0)</f>
        <v>0</v>
      </c>
      <c r="AD56">
        <f>ROUND($F11*'Allocators Calc'!AI56,0)</f>
        <v>0</v>
      </c>
      <c r="AE56">
        <f>ROUND($F11*'Allocators Calc'!AJ56,0)</f>
        <v>0</v>
      </c>
      <c r="AF56">
        <f>ROUND($F11*'Allocators Calc'!AK56,0)</f>
        <v>0</v>
      </c>
      <c r="AG56" s="13">
        <f>ROUND($F11*'Allocators Calc'!AL56,0)</f>
        <v>0</v>
      </c>
      <c r="AH56" t="e">
        <f>ROUND($F11*'Allocators Calc'!#REF!,0)</f>
        <v>#REF!</v>
      </c>
      <c r="AI56" t="e">
        <f>ROUND($F11*'Allocators Calc'!#REF!,0)</f>
        <v>#REF!</v>
      </c>
      <c r="AJ56" t="e">
        <f>ROUND($F11*'Allocators Calc'!#REF!,0)</f>
        <v>#REF!</v>
      </c>
      <c r="AK56" t="e">
        <f>ROUND($F11*'Allocators Calc'!#REF!,0)</f>
        <v>#REF!</v>
      </c>
      <c r="AL56" t="e">
        <f>ROUND($F11*'Allocators Calc'!#REF!,0)</f>
        <v>#REF!</v>
      </c>
      <c r="AM56" s="13" t="e">
        <f>ROUND($F11*'Allocators Calc'!#REF!,0)</f>
        <v>#REF!</v>
      </c>
      <c r="AN56" t="e">
        <f>ROUND($F11*'Allocators Calc'!#REF!,0)</f>
        <v>#REF!</v>
      </c>
      <c r="AO56" t="e">
        <f>ROUND($F11*'Allocators Calc'!#REF!,0)</f>
        <v>#REF!</v>
      </c>
      <c r="AP56" t="e">
        <f>ROUND($F11*'Allocators Calc'!#REF!,0)</f>
        <v>#REF!</v>
      </c>
      <c r="AQ56" t="e">
        <f>ROUND($F11*'Allocators Calc'!#REF!,0)</f>
        <v>#REF!</v>
      </c>
      <c r="AR56" t="e">
        <f>ROUND($F11*'Allocators Calc'!#REF!,0)</f>
        <v>#REF!</v>
      </c>
      <c r="AS56" s="13" t="e">
        <f>ROUND($F11*'Allocators Calc'!#REF!,0)</f>
        <v>#REF!</v>
      </c>
      <c r="AT56">
        <f>ROUND($F11*'Allocators Calc'!AM56,0)</f>
        <v>0</v>
      </c>
      <c r="AU56">
        <f>ROUND($F11*'Allocators Calc'!AN56,0)</f>
        <v>0</v>
      </c>
      <c r="AV56">
        <f>ROUND($F11*'Allocators Calc'!AO56,0)</f>
        <v>0</v>
      </c>
      <c r="AW56">
        <f>ROUND($F11*'Allocators Calc'!AP56,0)</f>
        <v>0</v>
      </c>
      <c r="AX56">
        <f>ROUND($F11*'Allocators Calc'!AQ56,0)</f>
        <v>0</v>
      </c>
      <c r="AY56" s="13">
        <f>ROUND($F11*'Allocators Calc'!AR56,0)</f>
        <v>0</v>
      </c>
      <c r="AZ56">
        <f>ROUND($F11*'Allocators Calc'!AS56,0)</f>
        <v>5721</v>
      </c>
      <c r="BA56">
        <f>ROUND($F11*'Allocators Calc'!AT56,0)</f>
        <v>13079</v>
      </c>
      <c r="BB56">
        <f>ROUND($F11*'Allocators Calc'!AU56,0)</f>
        <v>26188</v>
      </c>
      <c r="BC56">
        <f>ROUND($F11*'Allocators Calc'!AV56,0)</f>
        <v>2944429</v>
      </c>
      <c r="BD56">
        <f>ROUND($F11*'Allocators Calc'!AW56,0)</f>
        <v>2698709</v>
      </c>
      <c r="BE56" s="13">
        <f>ROUND($F11*'Allocators Calc'!AX56,0)</f>
        <v>236810</v>
      </c>
      <c r="BF56" t="e">
        <f>ROUND($F11*'Allocators Calc'!#REF!,0)</f>
        <v>#REF!</v>
      </c>
      <c r="BG56" t="e">
        <f>ROUND($F11*'Allocators Calc'!#REF!,0)</f>
        <v>#REF!</v>
      </c>
      <c r="BH56" t="e">
        <f>ROUND($F11*'Allocators Calc'!#REF!,0)</f>
        <v>#REF!</v>
      </c>
      <c r="BI56" t="e">
        <f>ROUND($F11*'Allocators Calc'!#REF!,0)</f>
        <v>#REF!</v>
      </c>
      <c r="BJ56" t="e">
        <f>ROUND($F11*'Allocators Calc'!#REF!,0)</f>
        <v>#REF!</v>
      </c>
      <c r="BK56" s="13" t="e">
        <f>ROUND($F11*'Allocators Calc'!#REF!,0)</f>
        <v>#REF!</v>
      </c>
      <c r="BL56">
        <f>ROUND($F11*'Allocators Calc'!AY56,0)</f>
        <v>2038590</v>
      </c>
      <c r="BM56">
        <f>ROUND($F11*'Allocators Calc'!AZ56,0)</f>
        <v>4024894</v>
      </c>
      <c r="BN56">
        <f>ROUND($F11*'Allocators Calc'!BA56,0)</f>
        <v>6105567</v>
      </c>
      <c r="BO56">
        <f>ROUND($F11*'Allocators Calc'!BB56,0)</f>
        <v>38494765</v>
      </c>
      <c r="BP56">
        <f>ROUND($F11*'Allocators Calc'!BC56,0)</f>
        <v>21226144</v>
      </c>
      <c r="BQ56" s="13">
        <f>ROUND($F11*'Allocators Calc'!BD56,0)</f>
        <v>15553954</v>
      </c>
      <c r="BR56" t="e">
        <f>ROUND($F11*'Allocators Calc'!#REF!,0)</f>
        <v>#REF!</v>
      </c>
      <c r="BS56" t="e">
        <f>ROUND($F11*'Allocators Calc'!#REF!,0)</f>
        <v>#REF!</v>
      </c>
      <c r="BT56" t="e">
        <f>ROUND($F11*'Allocators Calc'!#REF!,0)</f>
        <v>#REF!</v>
      </c>
      <c r="BU56" t="e">
        <f>ROUND($F11*'Allocators Calc'!#REF!,0)</f>
        <v>#REF!</v>
      </c>
      <c r="BV56" t="e">
        <f>ROUND($F11*'Allocators Calc'!#REF!,0)</f>
        <v>#REF!</v>
      </c>
      <c r="BW56" s="13" t="e">
        <f>ROUND($F11*'Allocators Calc'!#REF!,0)</f>
        <v>#REF!</v>
      </c>
      <c r="BX56" t="e">
        <f>ROUND($F11*'Allocators Calc'!#REF!,0)</f>
        <v>#REF!</v>
      </c>
      <c r="BY56" t="e">
        <f>ROUND($F11*'Allocators Calc'!#REF!,0)</f>
        <v>#REF!</v>
      </c>
      <c r="BZ56" t="e">
        <f>ROUND($F11*'Allocators Calc'!#REF!,0)</f>
        <v>#REF!</v>
      </c>
      <c r="CA56" t="e">
        <f>ROUND($F11*'Allocators Calc'!#REF!,0)</f>
        <v>#REF!</v>
      </c>
      <c r="CB56" t="e">
        <f>ROUND($F11*'Allocators Calc'!#REF!,0)</f>
        <v>#REF!</v>
      </c>
      <c r="CC56" s="13" t="e">
        <f>ROUND($F11*'Allocators Calc'!#REF!,0)</f>
        <v>#REF!</v>
      </c>
      <c r="CD56">
        <f>ROUND($F11*'Allocators Calc'!BE56,0)</f>
        <v>4450</v>
      </c>
      <c r="CE56">
        <f>ROUND($F11*'Allocators Calc'!BF56,0)</f>
        <v>10188</v>
      </c>
      <c r="CF56">
        <f>ROUND($F11*'Allocators Calc'!BG56,0)</f>
        <v>21305</v>
      </c>
      <c r="CG56">
        <f>ROUND($F11*'Allocators Calc'!BH56,0)</f>
        <v>435960</v>
      </c>
      <c r="CH56">
        <f>ROUND($F11*'Allocators Calc'!BI56,0)</f>
        <v>246918</v>
      </c>
      <c r="CI56" s="13">
        <f>ROUND($F11*'Allocators Calc'!BJ56,0)</f>
        <v>263271</v>
      </c>
      <c r="CJ56">
        <f>ROUND($F11*'Allocators Calc'!BK56,0)</f>
        <v>0</v>
      </c>
      <c r="CK56">
        <f>ROUND($F11*'Allocators Calc'!BL56,0)</f>
        <v>0</v>
      </c>
      <c r="CL56">
        <f>ROUND($F11*'Allocators Calc'!BM56,0)</f>
        <v>0</v>
      </c>
      <c r="CM56">
        <f>ROUND($F11*'Allocators Calc'!BN56,0)</f>
        <v>0</v>
      </c>
      <c r="CN56">
        <f>ROUND($F11*'Allocators Calc'!BO56,0)</f>
        <v>0</v>
      </c>
      <c r="CO56" s="13">
        <f>ROUND($F11*'Allocators Calc'!BP56,0)</f>
        <v>0</v>
      </c>
      <c r="CP56" t="e">
        <f>ROUND($F11*'Allocators Calc'!#REF!,0)</f>
        <v>#REF!</v>
      </c>
      <c r="CQ56" t="e">
        <f>ROUND($F11*'Allocators Calc'!#REF!,0)</f>
        <v>#REF!</v>
      </c>
      <c r="CR56" t="e">
        <f>ROUND($F11*'Allocators Calc'!#REF!,0)</f>
        <v>#REF!</v>
      </c>
      <c r="CS56" t="e">
        <f>ROUND($F11*'Allocators Calc'!#REF!,0)</f>
        <v>#REF!</v>
      </c>
      <c r="CT56" t="e">
        <f>ROUND($F11*'Allocators Calc'!#REF!,0)</f>
        <v>#REF!</v>
      </c>
      <c r="CU56" t="e">
        <f>ROUND($F11*'Allocators Calc'!#REF!,0)</f>
        <v>#REF!</v>
      </c>
    </row>
    <row r="57" spans="16:99" x14ac:dyDescent="0.2">
      <c r="P57" t="e">
        <f>ROUND($F12*'Allocators Calc'!#REF!,0)</f>
        <v>#REF!</v>
      </c>
      <c r="Q57" t="e">
        <f>ROUND($F12*'Allocators Calc'!#REF!,0)</f>
        <v>#REF!</v>
      </c>
      <c r="R57" t="e">
        <f>ROUND($F12*'Allocators Calc'!#REF!,0)</f>
        <v>#REF!</v>
      </c>
      <c r="S57" t="e">
        <f>ROUND($F12*'Allocators Calc'!#REF!,0)</f>
        <v>#REF!</v>
      </c>
      <c r="T57" t="e">
        <f>ROUND($F12*'Allocators Calc'!#REF!,0)</f>
        <v>#REF!</v>
      </c>
      <c r="U57" s="13" t="e">
        <f>ROUND($F12*'Allocators Calc'!#REF!,0)</f>
        <v>#REF!</v>
      </c>
      <c r="V57" t="e">
        <f>ROUND($F12*'Allocators Calc'!#REF!,0)</f>
        <v>#REF!</v>
      </c>
      <c r="W57" t="e">
        <f>ROUND($F12*'Allocators Calc'!#REF!,0)</f>
        <v>#REF!</v>
      </c>
      <c r="X57" t="e">
        <f>ROUND($F12*'Allocators Calc'!#REF!,0)</f>
        <v>#REF!</v>
      </c>
      <c r="Y57" t="e">
        <f>ROUND($F12*'Allocators Calc'!#REF!,0)</f>
        <v>#REF!</v>
      </c>
      <c r="Z57" t="e">
        <f>ROUND($F12*'Allocators Calc'!#REF!,0)</f>
        <v>#REF!</v>
      </c>
      <c r="AA57" s="13" t="e">
        <f>ROUND($F12*'Allocators Calc'!#REF!,0)</f>
        <v>#REF!</v>
      </c>
      <c r="AB57">
        <f>ROUND($F12*'Allocators Calc'!AG57,0)</f>
        <v>0</v>
      </c>
      <c r="AC57">
        <f>ROUND($F12*'Allocators Calc'!AH57,0)</f>
        <v>0</v>
      </c>
      <c r="AD57">
        <f>ROUND($F12*'Allocators Calc'!AI57,0)</f>
        <v>0</v>
      </c>
      <c r="AE57">
        <f>ROUND($F12*'Allocators Calc'!AJ57,0)</f>
        <v>0</v>
      </c>
      <c r="AF57">
        <f>ROUND($F12*'Allocators Calc'!AK57,0)</f>
        <v>0</v>
      </c>
      <c r="AG57" s="13">
        <f>ROUND($F12*'Allocators Calc'!AL57,0)</f>
        <v>0</v>
      </c>
      <c r="AH57" t="e">
        <f>ROUND($F12*'Allocators Calc'!#REF!,0)</f>
        <v>#REF!</v>
      </c>
      <c r="AI57" t="e">
        <f>ROUND($F12*'Allocators Calc'!#REF!,0)</f>
        <v>#REF!</v>
      </c>
      <c r="AJ57" t="e">
        <f>ROUND($F12*'Allocators Calc'!#REF!,0)</f>
        <v>#REF!</v>
      </c>
      <c r="AK57" t="e">
        <f>ROUND($F12*'Allocators Calc'!#REF!,0)</f>
        <v>#REF!</v>
      </c>
      <c r="AL57" t="e">
        <f>ROUND($F12*'Allocators Calc'!#REF!,0)</f>
        <v>#REF!</v>
      </c>
      <c r="AM57" s="13" t="e">
        <f>ROUND($F12*'Allocators Calc'!#REF!,0)</f>
        <v>#REF!</v>
      </c>
      <c r="AN57" t="e">
        <f>ROUND($F12*'Allocators Calc'!#REF!,0)</f>
        <v>#REF!</v>
      </c>
      <c r="AO57" t="e">
        <f>ROUND($F12*'Allocators Calc'!#REF!,0)</f>
        <v>#REF!</v>
      </c>
      <c r="AP57" t="e">
        <f>ROUND($F12*'Allocators Calc'!#REF!,0)</f>
        <v>#REF!</v>
      </c>
      <c r="AQ57" t="e">
        <f>ROUND($F12*'Allocators Calc'!#REF!,0)</f>
        <v>#REF!</v>
      </c>
      <c r="AR57" t="e">
        <f>ROUND($F12*'Allocators Calc'!#REF!,0)</f>
        <v>#REF!</v>
      </c>
      <c r="AS57" s="13" t="e">
        <f>ROUND($F12*'Allocators Calc'!#REF!,0)</f>
        <v>#REF!</v>
      </c>
      <c r="AT57">
        <f>ROUND($F12*'Allocators Calc'!AM57,0)</f>
        <v>0</v>
      </c>
      <c r="AU57">
        <f>ROUND($F12*'Allocators Calc'!AN57,0)</f>
        <v>0</v>
      </c>
      <c r="AV57">
        <f>ROUND($F12*'Allocators Calc'!AO57,0)</f>
        <v>0</v>
      </c>
      <c r="AW57">
        <f>ROUND($F12*'Allocators Calc'!AP57,0)</f>
        <v>0</v>
      </c>
      <c r="AX57">
        <f>ROUND($F12*'Allocators Calc'!AQ57,0)</f>
        <v>0</v>
      </c>
      <c r="AY57" s="13">
        <f>ROUND($F12*'Allocators Calc'!AR57,0)</f>
        <v>0</v>
      </c>
      <c r="AZ57">
        <f>ROUND($F12*'Allocators Calc'!AS57,0)</f>
        <v>5259</v>
      </c>
      <c r="BA57">
        <f>ROUND($F12*'Allocators Calc'!AT57,0)</f>
        <v>12023</v>
      </c>
      <c r="BB57">
        <f>ROUND($F12*'Allocators Calc'!AU57,0)</f>
        <v>24073</v>
      </c>
      <c r="BC57">
        <f>ROUND($F12*'Allocators Calc'!AV57,0)</f>
        <v>2706651</v>
      </c>
      <c r="BD57">
        <f>ROUND($F12*'Allocators Calc'!AW57,0)</f>
        <v>2480774</v>
      </c>
      <c r="BE57" s="13">
        <f>ROUND($F12*'Allocators Calc'!AX57,0)</f>
        <v>217687</v>
      </c>
      <c r="BF57" t="e">
        <f>ROUND($F12*'Allocators Calc'!#REF!,0)</f>
        <v>#REF!</v>
      </c>
      <c r="BG57" t="e">
        <f>ROUND($F12*'Allocators Calc'!#REF!,0)</f>
        <v>#REF!</v>
      </c>
      <c r="BH57" t="e">
        <f>ROUND($F12*'Allocators Calc'!#REF!,0)</f>
        <v>#REF!</v>
      </c>
      <c r="BI57" t="e">
        <f>ROUND($F12*'Allocators Calc'!#REF!,0)</f>
        <v>#REF!</v>
      </c>
      <c r="BJ57" t="e">
        <f>ROUND($F12*'Allocators Calc'!#REF!,0)</f>
        <v>#REF!</v>
      </c>
      <c r="BK57" s="13" t="e">
        <f>ROUND($F12*'Allocators Calc'!#REF!,0)</f>
        <v>#REF!</v>
      </c>
      <c r="BL57">
        <f>ROUND($F12*'Allocators Calc'!AY57,0)</f>
        <v>1666316</v>
      </c>
      <c r="BM57">
        <f>ROUND($F12*'Allocators Calc'!AZ57,0)</f>
        <v>3289894</v>
      </c>
      <c r="BN57">
        <f>ROUND($F12*'Allocators Calc'!BA57,0)</f>
        <v>4990608</v>
      </c>
      <c r="BO57">
        <f>ROUND($F12*'Allocators Calc'!BB57,0)</f>
        <v>31465100</v>
      </c>
      <c r="BP57">
        <f>ROUND($F12*'Allocators Calc'!BC57,0)</f>
        <v>17349964</v>
      </c>
      <c r="BQ57" s="13">
        <f>ROUND($F12*'Allocators Calc'!BD57,0)</f>
        <v>12713591</v>
      </c>
      <c r="BR57" t="e">
        <f>ROUND($F12*'Allocators Calc'!#REF!,0)</f>
        <v>#REF!</v>
      </c>
      <c r="BS57" t="e">
        <f>ROUND($F12*'Allocators Calc'!#REF!,0)</f>
        <v>#REF!</v>
      </c>
      <c r="BT57" t="e">
        <f>ROUND($F12*'Allocators Calc'!#REF!,0)</f>
        <v>#REF!</v>
      </c>
      <c r="BU57" t="e">
        <f>ROUND($F12*'Allocators Calc'!#REF!,0)</f>
        <v>#REF!</v>
      </c>
      <c r="BV57" t="e">
        <f>ROUND($F12*'Allocators Calc'!#REF!,0)</f>
        <v>#REF!</v>
      </c>
      <c r="BW57" s="13" t="e">
        <f>ROUND($F12*'Allocators Calc'!#REF!,0)</f>
        <v>#REF!</v>
      </c>
      <c r="BX57" t="e">
        <f>ROUND($F12*'Allocators Calc'!#REF!,0)</f>
        <v>#REF!</v>
      </c>
      <c r="BY57" t="e">
        <f>ROUND($F12*'Allocators Calc'!#REF!,0)</f>
        <v>#REF!</v>
      </c>
      <c r="BZ57" t="e">
        <f>ROUND($F12*'Allocators Calc'!#REF!,0)</f>
        <v>#REF!</v>
      </c>
      <c r="CA57" t="e">
        <f>ROUND($F12*'Allocators Calc'!#REF!,0)</f>
        <v>#REF!</v>
      </c>
      <c r="CB57" t="e">
        <f>ROUND($F12*'Allocators Calc'!#REF!,0)</f>
        <v>#REF!</v>
      </c>
      <c r="CC57" s="13" t="e">
        <f>ROUND($F12*'Allocators Calc'!#REF!,0)</f>
        <v>#REF!</v>
      </c>
      <c r="CD57">
        <f>ROUND($F12*'Allocators Calc'!BE57,0)</f>
        <v>4468</v>
      </c>
      <c r="CE57">
        <f>ROUND($F12*'Allocators Calc'!BF57,0)</f>
        <v>10228</v>
      </c>
      <c r="CF57">
        <f>ROUND($F12*'Allocators Calc'!BG57,0)</f>
        <v>21390</v>
      </c>
      <c r="CG57">
        <f>ROUND($F12*'Allocators Calc'!BH57,0)</f>
        <v>437691</v>
      </c>
      <c r="CH57">
        <f>ROUND($F12*'Allocators Calc'!BI57,0)</f>
        <v>247898</v>
      </c>
      <c r="CI57" s="13">
        <f>ROUND($F12*'Allocators Calc'!BJ57,0)</f>
        <v>264316</v>
      </c>
      <c r="CJ57">
        <f>ROUND($F12*'Allocators Calc'!BK57,0)</f>
        <v>0</v>
      </c>
      <c r="CK57">
        <f>ROUND($F12*'Allocators Calc'!BL57,0)</f>
        <v>0</v>
      </c>
      <c r="CL57">
        <f>ROUND($F12*'Allocators Calc'!BM57,0)</f>
        <v>0</v>
      </c>
      <c r="CM57">
        <f>ROUND($F12*'Allocators Calc'!BN57,0)</f>
        <v>0</v>
      </c>
      <c r="CN57">
        <f>ROUND($F12*'Allocators Calc'!BO57,0)</f>
        <v>0</v>
      </c>
      <c r="CO57" s="13">
        <f>ROUND($F12*'Allocators Calc'!BP57,0)</f>
        <v>0</v>
      </c>
      <c r="CP57" t="e">
        <f>ROUND($F12*'Allocators Calc'!#REF!,0)</f>
        <v>#REF!</v>
      </c>
      <c r="CQ57" t="e">
        <f>ROUND($F12*'Allocators Calc'!#REF!,0)</f>
        <v>#REF!</v>
      </c>
      <c r="CR57" t="e">
        <f>ROUND($F12*'Allocators Calc'!#REF!,0)</f>
        <v>#REF!</v>
      </c>
      <c r="CS57" t="e">
        <f>ROUND($F12*'Allocators Calc'!#REF!,0)</f>
        <v>#REF!</v>
      </c>
      <c r="CT57" t="e">
        <f>ROUND($F12*'Allocators Calc'!#REF!,0)</f>
        <v>#REF!</v>
      </c>
      <c r="CU57" t="e">
        <f>ROUND($F12*'Allocators Calc'!#REF!,0)</f>
        <v>#REF!</v>
      </c>
    </row>
    <row r="58" spans="16:99" x14ac:dyDescent="0.2">
      <c r="P58" t="e">
        <f>ROUND($F13*'Allocators Calc'!#REF!,0)</f>
        <v>#REF!</v>
      </c>
      <c r="Q58" t="e">
        <f>ROUND($F13*'Allocators Calc'!#REF!,0)</f>
        <v>#REF!</v>
      </c>
      <c r="R58" t="e">
        <f>ROUND($F13*'Allocators Calc'!#REF!,0)</f>
        <v>#REF!</v>
      </c>
      <c r="S58" t="e">
        <f>ROUND($F13*'Allocators Calc'!#REF!,0)</f>
        <v>#REF!</v>
      </c>
      <c r="T58" t="e">
        <f>ROUND($F13*'Allocators Calc'!#REF!,0)</f>
        <v>#REF!</v>
      </c>
      <c r="U58" s="13" t="e">
        <f>ROUND($F13*'Allocators Calc'!#REF!,0)</f>
        <v>#REF!</v>
      </c>
      <c r="V58" t="e">
        <f>ROUND($F13*'Allocators Calc'!#REF!,0)</f>
        <v>#REF!</v>
      </c>
      <c r="W58" t="e">
        <f>ROUND($F13*'Allocators Calc'!#REF!,0)</f>
        <v>#REF!</v>
      </c>
      <c r="X58" t="e">
        <f>ROUND($F13*'Allocators Calc'!#REF!,0)</f>
        <v>#REF!</v>
      </c>
      <c r="Y58" t="e">
        <f>ROUND($F13*'Allocators Calc'!#REF!,0)</f>
        <v>#REF!</v>
      </c>
      <c r="Z58" t="e">
        <f>ROUND($F13*'Allocators Calc'!#REF!,0)</f>
        <v>#REF!</v>
      </c>
      <c r="AA58" s="13" t="e">
        <f>ROUND($F13*'Allocators Calc'!#REF!,0)</f>
        <v>#REF!</v>
      </c>
      <c r="AB58">
        <f>ROUND($F13*'Allocators Calc'!AG58,0)</f>
        <v>0</v>
      </c>
      <c r="AC58">
        <f>ROUND($F13*'Allocators Calc'!AH58,0)</f>
        <v>0</v>
      </c>
      <c r="AD58">
        <f>ROUND($F13*'Allocators Calc'!AI58,0)</f>
        <v>0</v>
      </c>
      <c r="AE58">
        <f>ROUND($F13*'Allocators Calc'!AJ58,0)</f>
        <v>0</v>
      </c>
      <c r="AF58">
        <f>ROUND($F13*'Allocators Calc'!AK58,0)</f>
        <v>0</v>
      </c>
      <c r="AG58" s="13">
        <f>ROUND($F13*'Allocators Calc'!AL58,0)</f>
        <v>0</v>
      </c>
      <c r="AH58" t="e">
        <f>ROUND($F13*'Allocators Calc'!#REF!,0)</f>
        <v>#REF!</v>
      </c>
      <c r="AI58" t="e">
        <f>ROUND($F13*'Allocators Calc'!#REF!,0)</f>
        <v>#REF!</v>
      </c>
      <c r="AJ58" t="e">
        <f>ROUND($F13*'Allocators Calc'!#REF!,0)</f>
        <v>#REF!</v>
      </c>
      <c r="AK58" t="e">
        <f>ROUND($F13*'Allocators Calc'!#REF!,0)</f>
        <v>#REF!</v>
      </c>
      <c r="AL58" t="e">
        <f>ROUND($F13*'Allocators Calc'!#REF!,0)</f>
        <v>#REF!</v>
      </c>
      <c r="AM58" s="13" t="e">
        <f>ROUND($F13*'Allocators Calc'!#REF!,0)</f>
        <v>#REF!</v>
      </c>
      <c r="AN58" t="e">
        <f>ROUND($F13*'Allocators Calc'!#REF!,0)</f>
        <v>#REF!</v>
      </c>
      <c r="AO58" t="e">
        <f>ROUND($F13*'Allocators Calc'!#REF!,0)</f>
        <v>#REF!</v>
      </c>
      <c r="AP58" t="e">
        <f>ROUND($F13*'Allocators Calc'!#REF!,0)</f>
        <v>#REF!</v>
      </c>
      <c r="AQ58" t="e">
        <f>ROUND($F13*'Allocators Calc'!#REF!,0)</f>
        <v>#REF!</v>
      </c>
      <c r="AR58" t="e">
        <f>ROUND($F13*'Allocators Calc'!#REF!,0)</f>
        <v>#REF!</v>
      </c>
      <c r="AS58" s="13" t="e">
        <f>ROUND($F13*'Allocators Calc'!#REF!,0)</f>
        <v>#REF!</v>
      </c>
      <c r="AT58">
        <f>ROUND($F13*'Allocators Calc'!AM58,0)</f>
        <v>0</v>
      </c>
      <c r="AU58">
        <f>ROUND($F13*'Allocators Calc'!AN58,0)</f>
        <v>0</v>
      </c>
      <c r="AV58">
        <f>ROUND($F13*'Allocators Calc'!AO58,0)</f>
        <v>0</v>
      </c>
      <c r="AW58">
        <f>ROUND($F13*'Allocators Calc'!AP58,0)</f>
        <v>0</v>
      </c>
      <c r="AX58">
        <f>ROUND($F13*'Allocators Calc'!AQ58,0)</f>
        <v>0</v>
      </c>
      <c r="AY58" s="13">
        <f>ROUND($F13*'Allocators Calc'!AR58,0)</f>
        <v>0</v>
      </c>
      <c r="AZ58">
        <f>ROUND($F13*'Allocators Calc'!AS58,0)</f>
        <v>4757</v>
      </c>
      <c r="BA58">
        <f>ROUND($F13*'Allocators Calc'!AT58,0)</f>
        <v>10877</v>
      </c>
      <c r="BB58">
        <f>ROUND($F13*'Allocators Calc'!AU58,0)</f>
        <v>21778</v>
      </c>
      <c r="BC58">
        <f>ROUND($F13*'Allocators Calc'!AV58,0)</f>
        <v>2448656</v>
      </c>
      <c r="BD58">
        <f>ROUND($F13*'Allocators Calc'!AW58,0)</f>
        <v>2244310</v>
      </c>
      <c r="BE58" s="13">
        <f>ROUND($F13*'Allocators Calc'!AX58,0)</f>
        <v>196937</v>
      </c>
      <c r="BF58" t="e">
        <f>ROUND($F13*'Allocators Calc'!#REF!,0)</f>
        <v>#REF!</v>
      </c>
      <c r="BG58" t="e">
        <f>ROUND($F13*'Allocators Calc'!#REF!,0)</f>
        <v>#REF!</v>
      </c>
      <c r="BH58" t="e">
        <f>ROUND($F13*'Allocators Calc'!#REF!,0)</f>
        <v>#REF!</v>
      </c>
      <c r="BI58" t="e">
        <f>ROUND($F13*'Allocators Calc'!#REF!,0)</f>
        <v>#REF!</v>
      </c>
      <c r="BJ58" t="e">
        <f>ROUND($F13*'Allocators Calc'!#REF!,0)</f>
        <v>#REF!</v>
      </c>
      <c r="BK58" s="13" t="e">
        <f>ROUND($F13*'Allocators Calc'!#REF!,0)</f>
        <v>#REF!</v>
      </c>
      <c r="BL58">
        <f>ROUND($F13*'Allocators Calc'!AY58,0)</f>
        <v>1496753</v>
      </c>
      <c r="BM58">
        <f>ROUND($F13*'Allocators Calc'!AZ58,0)</f>
        <v>2955117</v>
      </c>
      <c r="BN58">
        <f>ROUND($F13*'Allocators Calc'!BA58,0)</f>
        <v>4482767</v>
      </c>
      <c r="BO58">
        <f>ROUND($F13*'Allocators Calc'!BB58,0)</f>
        <v>28263234</v>
      </c>
      <c r="BP58">
        <f>ROUND($F13*'Allocators Calc'!BC58,0)</f>
        <v>15584443</v>
      </c>
      <c r="BQ58" s="13">
        <f>ROUND($F13*'Allocators Calc'!BD58,0)</f>
        <v>11419865</v>
      </c>
      <c r="BR58" t="e">
        <f>ROUND($F13*'Allocators Calc'!#REF!,0)</f>
        <v>#REF!</v>
      </c>
      <c r="BS58" t="e">
        <f>ROUND($F13*'Allocators Calc'!#REF!,0)</f>
        <v>#REF!</v>
      </c>
      <c r="BT58" t="e">
        <f>ROUND($F13*'Allocators Calc'!#REF!,0)</f>
        <v>#REF!</v>
      </c>
      <c r="BU58" t="e">
        <f>ROUND($F13*'Allocators Calc'!#REF!,0)</f>
        <v>#REF!</v>
      </c>
      <c r="BV58" t="e">
        <f>ROUND($F13*'Allocators Calc'!#REF!,0)</f>
        <v>#REF!</v>
      </c>
      <c r="BW58" s="13" t="e">
        <f>ROUND($F13*'Allocators Calc'!#REF!,0)</f>
        <v>#REF!</v>
      </c>
      <c r="BX58" t="e">
        <f>ROUND($F13*'Allocators Calc'!#REF!,0)</f>
        <v>#REF!</v>
      </c>
      <c r="BY58" t="e">
        <f>ROUND($F13*'Allocators Calc'!#REF!,0)</f>
        <v>#REF!</v>
      </c>
      <c r="BZ58" t="e">
        <f>ROUND($F13*'Allocators Calc'!#REF!,0)</f>
        <v>#REF!</v>
      </c>
      <c r="CA58" t="e">
        <f>ROUND($F13*'Allocators Calc'!#REF!,0)</f>
        <v>#REF!</v>
      </c>
      <c r="CB58" t="e">
        <f>ROUND($F13*'Allocators Calc'!#REF!,0)</f>
        <v>#REF!</v>
      </c>
      <c r="CC58" s="13" t="e">
        <f>ROUND($F13*'Allocators Calc'!#REF!,0)</f>
        <v>#REF!</v>
      </c>
      <c r="CD58">
        <f>ROUND($F13*'Allocators Calc'!BE58,0)</f>
        <v>4524</v>
      </c>
      <c r="CE58">
        <f>ROUND($F13*'Allocators Calc'!BF58,0)</f>
        <v>10358</v>
      </c>
      <c r="CF58">
        <f>ROUND($F13*'Allocators Calc'!BG58,0)</f>
        <v>21661</v>
      </c>
      <c r="CG58">
        <f>ROUND($F13*'Allocators Calc'!BH58,0)</f>
        <v>443248</v>
      </c>
      <c r="CH58">
        <f>ROUND($F13*'Allocators Calc'!BI58,0)</f>
        <v>251045</v>
      </c>
      <c r="CI58" s="13">
        <f>ROUND($F13*'Allocators Calc'!BJ58,0)</f>
        <v>267672</v>
      </c>
      <c r="CJ58">
        <f>ROUND($F13*'Allocators Calc'!BK58,0)</f>
        <v>0</v>
      </c>
      <c r="CK58">
        <f>ROUND($F13*'Allocators Calc'!BL58,0)</f>
        <v>0</v>
      </c>
      <c r="CL58">
        <f>ROUND($F13*'Allocators Calc'!BM58,0)</f>
        <v>0</v>
      </c>
      <c r="CM58">
        <f>ROUND($F13*'Allocators Calc'!BN58,0)</f>
        <v>0</v>
      </c>
      <c r="CN58">
        <f>ROUND($F13*'Allocators Calc'!BO58,0)</f>
        <v>0</v>
      </c>
      <c r="CO58" s="13">
        <f>ROUND($F13*'Allocators Calc'!BP58,0)</f>
        <v>0</v>
      </c>
      <c r="CP58" t="e">
        <f>ROUND($F13*'Allocators Calc'!#REF!,0)</f>
        <v>#REF!</v>
      </c>
      <c r="CQ58" t="e">
        <f>ROUND($F13*'Allocators Calc'!#REF!,0)</f>
        <v>#REF!</v>
      </c>
      <c r="CR58" t="e">
        <f>ROUND($F13*'Allocators Calc'!#REF!,0)</f>
        <v>#REF!</v>
      </c>
      <c r="CS58" t="e">
        <f>ROUND($F13*'Allocators Calc'!#REF!,0)</f>
        <v>#REF!</v>
      </c>
      <c r="CT58" t="e">
        <f>ROUND($F13*'Allocators Calc'!#REF!,0)</f>
        <v>#REF!</v>
      </c>
      <c r="CU58" t="e">
        <f>ROUND($F13*'Allocators Calc'!#REF!,0)</f>
        <v>#REF!</v>
      </c>
    </row>
    <row r="59" spans="16:99" x14ac:dyDescent="0.2">
      <c r="P59" t="e">
        <f>ROUND($F14*'Allocators Calc'!#REF!,0)</f>
        <v>#REF!</v>
      </c>
      <c r="Q59" t="e">
        <f>ROUND($F14*'Allocators Calc'!#REF!,0)</f>
        <v>#REF!</v>
      </c>
      <c r="R59" t="e">
        <f>ROUND($F14*'Allocators Calc'!#REF!,0)</f>
        <v>#REF!</v>
      </c>
      <c r="S59" t="e">
        <f>ROUND($F14*'Allocators Calc'!#REF!,0)</f>
        <v>#REF!</v>
      </c>
      <c r="T59" t="e">
        <f>ROUND($F14*'Allocators Calc'!#REF!,0)</f>
        <v>#REF!</v>
      </c>
      <c r="U59" s="13" t="e">
        <f>ROUND($F14*'Allocators Calc'!#REF!,0)</f>
        <v>#REF!</v>
      </c>
      <c r="V59" t="e">
        <f>ROUND($F14*'Allocators Calc'!#REF!,0)</f>
        <v>#REF!</v>
      </c>
      <c r="W59" t="e">
        <f>ROUND($F14*'Allocators Calc'!#REF!,0)</f>
        <v>#REF!</v>
      </c>
      <c r="X59" t="e">
        <f>ROUND($F14*'Allocators Calc'!#REF!,0)</f>
        <v>#REF!</v>
      </c>
      <c r="Y59" t="e">
        <f>ROUND($F14*'Allocators Calc'!#REF!,0)</f>
        <v>#REF!</v>
      </c>
      <c r="Z59" t="e">
        <f>ROUND($F14*'Allocators Calc'!#REF!,0)</f>
        <v>#REF!</v>
      </c>
      <c r="AA59" s="13" t="e">
        <f>ROUND($F14*'Allocators Calc'!#REF!,0)</f>
        <v>#REF!</v>
      </c>
      <c r="AB59">
        <f>ROUND($F14*'Allocators Calc'!AG59,0)</f>
        <v>0</v>
      </c>
      <c r="AC59">
        <f>ROUND($F14*'Allocators Calc'!AH59,0)</f>
        <v>0</v>
      </c>
      <c r="AD59">
        <f>ROUND($F14*'Allocators Calc'!AI59,0)</f>
        <v>0</v>
      </c>
      <c r="AE59">
        <f>ROUND($F14*'Allocators Calc'!AJ59,0)</f>
        <v>0</v>
      </c>
      <c r="AF59">
        <f>ROUND($F14*'Allocators Calc'!AK59,0)</f>
        <v>0</v>
      </c>
      <c r="AG59" s="13">
        <f>ROUND($F14*'Allocators Calc'!AL59,0)</f>
        <v>0</v>
      </c>
      <c r="AH59" t="e">
        <f>ROUND($F14*'Allocators Calc'!#REF!,0)</f>
        <v>#REF!</v>
      </c>
      <c r="AI59" t="e">
        <f>ROUND($F14*'Allocators Calc'!#REF!,0)</f>
        <v>#REF!</v>
      </c>
      <c r="AJ59" t="e">
        <f>ROUND($F14*'Allocators Calc'!#REF!,0)</f>
        <v>#REF!</v>
      </c>
      <c r="AK59" t="e">
        <f>ROUND($F14*'Allocators Calc'!#REF!,0)</f>
        <v>#REF!</v>
      </c>
      <c r="AL59" t="e">
        <f>ROUND($F14*'Allocators Calc'!#REF!,0)</f>
        <v>#REF!</v>
      </c>
      <c r="AM59" s="13" t="e">
        <f>ROUND($F14*'Allocators Calc'!#REF!,0)</f>
        <v>#REF!</v>
      </c>
      <c r="AN59" t="e">
        <f>ROUND($F14*'Allocators Calc'!#REF!,0)</f>
        <v>#REF!</v>
      </c>
      <c r="AO59" t="e">
        <f>ROUND($F14*'Allocators Calc'!#REF!,0)</f>
        <v>#REF!</v>
      </c>
      <c r="AP59" t="e">
        <f>ROUND($F14*'Allocators Calc'!#REF!,0)</f>
        <v>#REF!</v>
      </c>
      <c r="AQ59" t="e">
        <f>ROUND($F14*'Allocators Calc'!#REF!,0)</f>
        <v>#REF!</v>
      </c>
      <c r="AR59" t="e">
        <f>ROUND($F14*'Allocators Calc'!#REF!,0)</f>
        <v>#REF!</v>
      </c>
      <c r="AS59" s="13" t="e">
        <f>ROUND($F14*'Allocators Calc'!#REF!,0)</f>
        <v>#REF!</v>
      </c>
      <c r="AT59">
        <f>ROUND($F14*'Allocators Calc'!AM59,0)</f>
        <v>0</v>
      </c>
      <c r="AU59">
        <f>ROUND($F14*'Allocators Calc'!AN59,0)</f>
        <v>0</v>
      </c>
      <c r="AV59">
        <f>ROUND($F14*'Allocators Calc'!AO59,0)</f>
        <v>0</v>
      </c>
      <c r="AW59">
        <f>ROUND($F14*'Allocators Calc'!AP59,0)</f>
        <v>0</v>
      </c>
      <c r="AX59">
        <f>ROUND($F14*'Allocators Calc'!AQ59,0)</f>
        <v>0</v>
      </c>
      <c r="AY59" s="13">
        <f>ROUND($F14*'Allocators Calc'!AR59,0)</f>
        <v>0</v>
      </c>
      <c r="AZ59">
        <f>ROUND($F14*'Allocators Calc'!AS59,0)</f>
        <v>4771</v>
      </c>
      <c r="BA59">
        <f>ROUND($F14*'Allocators Calc'!AT59,0)</f>
        <v>10908</v>
      </c>
      <c r="BB59">
        <f>ROUND($F14*'Allocators Calc'!AU59,0)</f>
        <v>21841</v>
      </c>
      <c r="BC59">
        <f>ROUND($F14*'Allocators Calc'!AV59,0)</f>
        <v>2455656</v>
      </c>
      <c r="BD59">
        <f>ROUND($F14*'Allocators Calc'!AW59,0)</f>
        <v>2250725</v>
      </c>
      <c r="BE59" s="13">
        <f>ROUND($F14*'Allocators Calc'!AX59,0)</f>
        <v>197500</v>
      </c>
      <c r="BF59" t="e">
        <f>ROUND($F14*'Allocators Calc'!#REF!,0)</f>
        <v>#REF!</v>
      </c>
      <c r="BG59" t="e">
        <f>ROUND($F14*'Allocators Calc'!#REF!,0)</f>
        <v>#REF!</v>
      </c>
      <c r="BH59" t="e">
        <f>ROUND($F14*'Allocators Calc'!#REF!,0)</f>
        <v>#REF!</v>
      </c>
      <c r="BI59" t="e">
        <f>ROUND($F14*'Allocators Calc'!#REF!,0)</f>
        <v>#REF!</v>
      </c>
      <c r="BJ59" t="e">
        <f>ROUND($F14*'Allocators Calc'!#REF!,0)</f>
        <v>#REF!</v>
      </c>
      <c r="BK59" s="13" t="e">
        <f>ROUND($F14*'Allocators Calc'!#REF!,0)</f>
        <v>#REF!</v>
      </c>
      <c r="BL59">
        <f>ROUND($F14*'Allocators Calc'!AY59,0)</f>
        <v>1592165</v>
      </c>
      <c r="BM59">
        <f>ROUND($F14*'Allocators Calc'!AZ59,0)</f>
        <v>3143496</v>
      </c>
      <c r="BN59">
        <f>ROUND($F14*'Allocators Calc'!BA59,0)</f>
        <v>4768528</v>
      </c>
      <c r="BO59">
        <f>ROUND($F14*'Allocators Calc'!BB59,0)</f>
        <v>30064919</v>
      </c>
      <c r="BP59">
        <f>ROUND($F14*'Allocators Calc'!BC59,0)</f>
        <v>16577898</v>
      </c>
      <c r="BQ59" s="13">
        <f>ROUND($F14*'Allocators Calc'!BD59,0)</f>
        <v>12147843</v>
      </c>
      <c r="BR59" t="e">
        <f>ROUND($F14*'Allocators Calc'!#REF!,0)</f>
        <v>#REF!</v>
      </c>
      <c r="BS59" t="e">
        <f>ROUND($F14*'Allocators Calc'!#REF!,0)</f>
        <v>#REF!</v>
      </c>
      <c r="BT59" t="e">
        <f>ROUND($F14*'Allocators Calc'!#REF!,0)</f>
        <v>#REF!</v>
      </c>
      <c r="BU59" t="e">
        <f>ROUND($F14*'Allocators Calc'!#REF!,0)</f>
        <v>#REF!</v>
      </c>
      <c r="BV59" t="e">
        <f>ROUND($F14*'Allocators Calc'!#REF!,0)</f>
        <v>#REF!</v>
      </c>
      <c r="BW59" s="13" t="e">
        <f>ROUND($F14*'Allocators Calc'!#REF!,0)</f>
        <v>#REF!</v>
      </c>
      <c r="BX59" t="e">
        <f>ROUND($F14*'Allocators Calc'!#REF!,0)</f>
        <v>#REF!</v>
      </c>
      <c r="BY59" t="e">
        <f>ROUND($F14*'Allocators Calc'!#REF!,0)</f>
        <v>#REF!</v>
      </c>
      <c r="BZ59" t="e">
        <f>ROUND($F14*'Allocators Calc'!#REF!,0)</f>
        <v>#REF!</v>
      </c>
      <c r="CA59" t="e">
        <f>ROUND($F14*'Allocators Calc'!#REF!,0)</f>
        <v>#REF!</v>
      </c>
      <c r="CB59" t="e">
        <f>ROUND($F14*'Allocators Calc'!#REF!,0)</f>
        <v>#REF!</v>
      </c>
      <c r="CC59" s="13" t="e">
        <f>ROUND($F14*'Allocators Calc'!#REF!,0)</f>
        <v>#REF!</v>
      </c>
      <c r="CD59">
        <f>ROUND($F14*'Allocators Calc'!BE59,0)</f>
        <v>5442</v>
      </c>
      <c r="CE59">
        <f>ROUND($F14*'Allocators Calc'!BF59,0)</f>
        <v>12458</v>
      </c>
      <c r="CF59">
        <f>ROUND($F14*'Allocators Calc'!BG59,0)</f>
        <v>26052</v>
      </c>
      <c r="CG59">
        <f>ROUND($F14*'Allocators Calc'!BH59,0)</f>
        <v>533097</v>
      </c>
      <c r="CH59">
        <f>ROUND($F14*'Allocators Calc'!BI59,0)</f>
        <v>301934</v>
      </c>
      <c r="CI59" s="13">
        <f>ROUND($F14*'Allocators Calc'!BJ59,0)</f>
        <v>321931</v>
      </c>
      <c r="CJ59">
        <f>ROUND($F14*'Allocators Calc'!BK59,0)</f>
        <v>0</v>
      </c>
      <c r="CK59">
        <f>ROUND($F14*'Allocators Calc'!BL59,0)</f>
        <v>0</v>
      </c>
      <c r="CL59">
        <f>ROUND($F14*'Allocators Calc'!BM59,0)</f>
        <v>0</v>
      </c>
      <c r="CM59">
        <f>ROUND($F14*'Allocators Calc'!BN59,0)</f>
        <v>0</v>
      </c>
      <c r="CN59">
        <f>ROUND($F14*'Allocators Calc'!BO59,0)</f>
        <v>0</v>
      </c>
      <c r="CO59" s="13">
        <f>ROUND($F14*'Allocators Calc'!BP59,0)</f>
        <v>0</v>
      </c>
      <c r="CP59" t="e">
        <f>ROUND($F14*'Allocators Calc'!#REF!,0)</f>
        <v>#REF!</v>
      </c>
      <c r="CQ59" t="e">
        <f>ROUND($F14*'Allocators Calc'!#REF!,0)</f>
        <v>#REF!</v>
      </c>
      <c r="CR59" t="e">
        <f>ROUND($F14*'Allocators Calc'!#REF!,0)</f>
        <v>#REF!</v>
      </c>
      <c r="CS59" t="e">
        <f>ROUND($F14*'Allocators Calc'!#REF!,0)</f>
        <v>#REF!</v>
      </c>
      <c r="CT59" t="e">
        <f>ROUND($F14*'Allocators Calc'!#REF!,0)</f>
        <v>#REF!</v>
      </c>
      <c r="CU59" t="e">
        <f>ROUND($F14*'Allocators Calc'!#REF!,0)</f>
        <v>#REF!</v>
      </c>
    </row>
    <row r="60" spans="16:99" x14ac:dyDescent="0.2">
      <c r="P60" s="11"/>
      <c r="Q60" s="11"/>
      <c r="R60" s="11"/>
      <c r="S60" s="11"/>
      <c r="T60" s="11"/>
      <c r="U60" s="14"/>
      <c r="V60" s="11"/>
      <c r="W60" s="11"/>
      <c r="X60" s="11"/>
      <c r="Y60" s="11"/>
      <c r="Z60" s="11"/>
      <c r="AA60" s="14"/>
      <c r="AB60" s="11"/>
      <c r="AC60" s="11"/>
      <c r="AD60" s="11"/>
      <c r="AE60" s="11"/>
      <c r="AF60" s="11"/>
      <c r="AG60" s="14"/>
      <c r="AH60" s="11"/>
      <c r="AI60" s="11"/>
      <c r="AJ60" s="11"/>
      <c r="AK60" s="11"/>
      <c r="AL60" s="11"/>
      <c r="AM60" s="14"/>
      <c r="AN60" s="11"/>
      <c r="AO60" s="11"/>
      <c r="AP60" s="11"/>
      <c r="AQ60" s="11"/>
      <c r="AR60" s="11"/>
      <c r="AS60" s="14"/>
      <c r="AT60" s="11"/>
      <c r="AU60" s="11"/>
      <c r="AV60" s="11"/>
      <c r="AW60" s="11"/>
      <c r="AX60" s="11"/>
      <c r="AY60" s="14"/>
      <c r="AZ60" s="11"/>
      <c r="BA60" s="11"/>
      <c r="BB60" s="11"/>
      <c r="BC60" s="11"/>
      <c r="BD60" s="11"/>
      <c r="BE60" s="14"/>
      <c r="BF60" s="11"/>
      <c r="BG60" s="11"/>
      <c r="BH60" s="11"/>
      <c r="BI60" s="11"/>
      <c r="BJ60" s="11"/>
      <c r="BK60" s="14"/>
      <c r="BL60" s="11"/>
      <c r="BM60" s="11"/>
      <c r="BN60" s="11"/>
      <c r="BO60" s="11"/>
      <c r="BP60" s="11"/>
      <c r="BQ60" s="14"/>
      <c r="BR60" s="11"/>
      <c r="BS60" s="11"/>
      <c r="BT60" s="11"/>
      <c r="BU60" s="11"/>
      <c r="BV60" s="11"/>
      <c r="BW60" s="14"/>
      <c r="BX60" s="11"/>
      <c r="BY60" s="11"/>
      <c r="BZ60" s="11"/>
      <c r="CA60" s="11"/>
      <c r="CB60" s="11"/>
      <c r="CC60" s="14"/>
      <c r="CD60" s="11"/>
      <c r="CE60" s="11"/>
      <c r="CF60" s="11"/>
      <c r="CG60" s="11"/>
      <c r="CH60" s="11"/>
      <c r="CI60" s="14"/>
      <c r="CJ60" s="11"/>
      <c r="CK60" s="11"/>
      <c r="CL60" s="11"/>
      <c r="CM60" s="11"/>
      <c r="CN60" s="11"/>
      <c r="CO60" s="14"/>
      <c r="CP60" s="11"/>
      <c r="CQ60" s="11"/>
      <c r="CR60" s="11"/>
      <c r="CS60" s="11"/>
      <c r="CT60" s="11"/>
      <c r="CU60" s="11"/>
    </row>
    <row r="61" spans="16:99" x14ac:dyDescent="0.2">
      <c r="P61" s="344" t="str">
        <f t="shared" ref="P61:AE62" si="28">P46</f>
        <v>LBA0</v>
      </c>
      <c r="Q61" s="344"/>
      <c r="R61" s="344"/>
      <c r="S61" s="344"/>
      <c r="T61" s="344"/>
      <c r="U61" s="345"/>
      <c r="V61" s="343" t="str">
        <f>V46</f>
        <v>LBAM</v>
      </c>
      <c r="W61" s="344"/>
      <c r="X61" s="344"/>
      <c r="Y61" s="344"/>
      <c r="Z61" s="344"/>
      <c r="AA61" s="345"/>
      <c r="AB61" s="343" t="str">
        <f>AB46</f>
        <v>LBN0</v>
      </c>
      <c r="AC61" s="344"/>
      <c r="AD61" s="344"/>
      <c r="AE61" s="344"/>
      <c r="AF61" s="344"/>
      <c r="AG61" s="345"/>
      <c r="AH61" s="343" t="str">
        <f>AH46</f>
        <v>LCA0</v>
      </c>
      <c r="AI61" s="344"/>
      <c r="AJ61" s="344"/>
      <c r="AK61" s="344"/>
      <c r="AL61" s="344"/>
      <c r="AM61" s="345"/>
      <c r="AN61" s="343" t="str">
        <f>AN46</f>
        <v>LCN0</v>
      </c>
      <c r="AO61" s="344"/>
      <c r="AP61" s="344"/>
      <c r="AQ61" s="344"/>
      <c r="AR61" s="344"/>
      <c r="AS61" s="345"/>
      <c r="AT61" s="343" t="str">
        <f>AT46</f>
        <v>LDN0</v>
      </c>
      <c r="AU61" s="344"/>
      <c r="AV61" s="344"/>
      <c r="AW61" s="344"/>
      <c r="AX61" s="344"/>
      <c r="AY61" s="345"/>
      <c r="AZ61" s="343" t="str">
        <f>AZ46</f>
        <v>LPN0</v>
      </c>
      <c r="BA61" s="344"/>
      <c r="BB61" s="344"/>
      <c r="BC61" s="344"/>
      <c r="BD61" s="344"/>
      <c r="BE61" s="345"/>
      <c r="BF61" s="343" t="str">
        <f>BF46</f>
        <v>LPA0</v>
      </c>
      <c r="BG61" s="344"/>
      <c r="BH61" s="344"/>
      <c r="BI61" s="344"/>
      <c r="BJ61" s="344"/>
      <c r="BK61" s="345"/>
      <c r="BL61" s="343" t="str">
        <f>BL46</f>
        <v>LSN0</v>
      </c>
      <c r="BM61" s="344"/>
      <c r="BN61" s="344"/>
      <c r="BO61" s="344"/>
      <c r="BP61" s="344"/>
      <c r="BQ61" s="345"/>
      <c r="BR61" s="343" t="str">
        <f>BR46</f>
        <v>LSS0</v>
      </c>
      <c r="BS61" s="344"/>
      <c r="BT61" s="344"/>
      <c r="BU61" s="344"/>
      <c r="BV61" s="344"/>
      <c r="BW61" s="345"/>
      <c r="BX61" s="343" t="str">
        <f>BX46</f>
        <v>LSN4</v>
      </c>
      <c r="BY61" s="344"/>
      <c r="BZ61" s="344"/>
      <c r="CA61" s="344"/>
      <c r="CB61" s="344"/>
      <c r="CC61" s="345"/>
      <c r="CD61" s="343" t="str">
        <f>CD46</f>
        <v>LSN2</v>
      </c>
      <c r="CE61" s="344"/>
      <c r="CF61" s="344"/>
      <c r="CG61" s="344"/>
      <c r="CH61" s="344"/>
      <c r="CI61" s="345"/>
      <c r="CJ61" s="343" t="str">
        <f>CJ46</f>
        <v>LSN3 - Peak</v>
      </c>
      <c r="CK61" s="344"/>
      <c r="CL61" s="344"/>
      <c r="CM61" s="344"/>
      <c r="CN61" s="344"/>
      <c r="CO61" s="344"/>
      <c r="CP61" s="343" t="str">
        <f>CP46</f>
        <v>LSN3 - Off Peak</v>
      </c>
      <c r="CQ61" s="344"/>
      <c r="CR61" s="344"/>
      <c r="CS61" s="344"/>
      <c r="CT61" s="344"/>
      <c r="CU61" s="344"/>
    </row>
    <row r="62" spans="16:99" x14ac:dyDescent="0.2">
      <c r="P62" t="str">
        <f t="shared" si="28"/>
        <v>First 300 kWh</v>
      </c>
      <c r="Q62" t="str">
        <f t="shared" si="28"/>
        <v>Next 700 kWh</v>
      </c>
      <c r="R62" t="str">
        <f t="shared" si="28"/>
        <v>Next 1500 kWh</v>
      </c>
      <c r="S62" t="str">
        <f t="shared" si="28"/>
        <v>Over 2500 kWh</v>
      </c>
      <c r="T62" t="str">
        <f t="shared" si="28"/>
        <v>KWH_NEXT110</v>
      </c>
      <c r="U62" s="13" t="str">
        <f t="shared" si="28"/>
        <v>KWH_300+</v>
      </c>
      <c r="V62" t="str">
        <f t="shared" si="28"/>
        <v>First 300 kWh</v>
      </c>
      <c r="W62" t="str">
        <f t="shared" si="28"/>
        <v>Next 700 kWh</v>
      </c>
      <c r="X62" t="str">
        <f t="shared" si="28"/>
        <v>Next 1500 kWh</v>
      </c>
      <c r="Y62" t="str">
        <f t="shared" si="28"/>
        <v>Over 2500 kWh</v>
      </c>
      <c r="Z62" t="str">
        <f t="shared" si="28"/>
        <v>KWH_NEXT110</v>
      </c>
      <c r="AA62" s="13" t="str">
        <f t="shared" si="28"/>
        <v>KWH_300+</v>
      </c>
      <c r="AB62" t="str">
        <f t="shared" si="28"/>
        <v>First 300 kWh</v>
      </c>
      <c r="AC62" t="str">
        <f t="shared" si="28"/>
        <v>Next 700 kWh</v>
      </c>
      <c r="AD62" t="str">
        <f t="shared" si="28"/>
        <v>Next 1500 kWh</v>
      </c>
      <c r="AE62" t="str">
        <f t="shared" si="28"/>
        <v>Over 2500 kWh</v>
      </c>
      <c r="AF62" t="str">
        <f t="shared" ref="AF62:CO62" si="29">AF47</f>
        <v>KWH_NEXT110</v>
      </c>
      <c r="AG62" s="13" t="str">
        <f t="shared" si="29"/>
        <v>KWH_300+</v>
      </c>
      <c r="AH62" t="str">
        <f t="shared" si="29"/>
        <v>First 300 kWh</v>
      </c>
      <c r="AI62" t="str">
        <f t="shared" si="29"/>
        <v>Next 700 kWh</v>
      </c>
      <c r="AJ62" t="str">
        <f t="shared" si="29"/>
        <v>Next 1500 kWh</v>
      </c>
      <c r="AK62" t="str">
        <f t="shared" si="29"/>
        <v>Over 2500 kWh</v>
      </c>
      <c r="AL62" t="str">
        <f t="shared" si="29"/>
        <v>KWH_NEXT110</v>
      </c>
      <c r="AM62" s="13" t="str">
        <f t="shared" si="29"/>
        <v>KWH_300+</v>
      </c>
      <c r="AN62" t="str">
        <f t="shared" si="29"/>
        <v>First 300 kWh</v>
      </c>
      <c r="AO62" t="str">
        <f t="shared" si="29"/>
        <v>Next 700 kWh</v>
      </c>
      <c r="AP62" t="str">
        <f t="shared" si="29"/>
        <v>Next 1500 kWh</v>
      </c>
      <c r="AQ62" t="str">
        <f t="shared" si="29"/>
        <v>Over 2500 kWh</v>
      </c>
      <c r="AR62" t="str">
        <f t="shared" si="29"/>
        <v>KWH_NEXT110</v>
      </c>
      <c r="AS62" s="13" t="str">
        <f t="shared" si="29"/>
        <v>KWH_300+</v>
      </c>
      <c r="AT62" t="str">
        <f t="shared" si="29"/>
        <v>First 300 kWh</v>
      </c>
      <c r="AU62" t="str">
        <f t="shared" si="29"/>
        <v>Next 700 kWh</v>
      </c>
      <c r="AV62" t="str">
        <f t="shared" si="29"/>
        <v>Next 1500 kWh</v>
      </c>
      <c r="AW62" t="str">
        <f t="shared" si="29"/>
        <v>Over 2500 kWh</v>
      </c>
      <c r="AX62" t="str">
        <f t="shared" si="29"/>
        <v>KWH_NEXT110</v>
      </c>
      <c r="AY62" s="13" t="str">
        <f t="shared" si="29"/>
        <v>KWH_300+</v>
      </c>
      <c r="AZ62" t="str">
        <f t="shared" si="29"/>
        <v>First 300 kWh</v>
      </c>
      <c r="BA62" t="str">
        <f t="shared" si="29"/>
        <v>Next 700 kWh</v>
      </c>
      <c r="BB62" t="str">
        <f t="shared" si="29"/>
        <v>Next 1500 kWh</v>
      </c>
      <c r="BC62" t="str">
        <f t="shared" si="29"/>
        <v>Over 2500 kWh</v>
      </c>
      <c r="BD62" t="str">
        <f t="shared" si="29"/>
        <v>KWH_NEXT110</v>
      </c>
      <c r="BE62" s="13" t="str">
        <f t="shared" si="29"/>
        <v>KWH_300+</v>
      </c>
      <c r="BF62" t="str">
        <f t="shared" si="29"/>
        <v>First 300 kWh</v>
      </c>
      <c r="BG62" t="str">
        <f t="shared" si="29"/>
        <v>Next 700 kWh</v>
      </c>
      <c r="BH62" t="str">
        <f t="shared" si="29"/>
        <v>Next 1500 kWh</v>
      </c>
      <c r="BI62" t="str">
        <f t="shared" si="29"/>
        <v>Over 2500 kWh</v>
      </c>
      <c r="BJ62" t="str">
        <f t="shared" si="29"/>
        <v>KWH_NEXT110</v>
      </c>
      <c r="BK62" s="13" t="str">
        <f t="shared" si="29"/>
        <v>KWH_300+</v>
      </c>
      <c r="BL62" t="str">
        <f t="shared" si="29"/>
        <v>First 300 kWh</v>
      </c>
      <c r="BM62" t="str">
        <f t="shared" si="29"/>
        <v>Next 700 kWh</v>
      </c>
      <c r="BN62" t="str">
        <f t="shared" si="29"/>
        <v>Next 1500 kWh</v>
      </c>
      <c r="BO62" t="str">
        <f t="shared" si="29"/>
        <v>Over 2500 kWh</v>
      </c>
      <c r="BP62" t="str">
        <f t="shared" si="29"/>
        <v>KWH_NEXT110</v>
      </c>
      <c r="BQ62" s="13" t="str">
        <f t="shared" si="29"/>
        <v>KWH_300+</v>
      </c>
      <c r="BR62" t="str">
        <f t="shared" si="29"/>
        <v>First 300 kWh</v>
      </c>
      <c r="BS62" t="str">
        <f t="shared" si="29"/>
        <v>Next 700 kWh</v>
      </c>
      <c r="BT62" t="str">
        <f t="shared" si="29"/>
        <v>Next 1500 kWh</v>
      </c>
      <c r="BU62" t="str">
        <f t="shared" si="29"/>
        <v>Over 2500 kWh</v>
      </c>
      <c r="BV62" t="str">
        <f t="shared" si="29"/>
        <v>KWH_NEXT110</v>
      </c>
      <c r="BW62" s="13" t="str">
        <f t="shared" si="29"/>
        <v>KWH_300+</v>
      </c>
      <c r="BX62" t="str">
        <f t="shared" si="29"/>
        <v>First 300 kWh</v>
      </c>
      <c r="BY62" t="str">
        <f t="shared" si="29"/>
        <v>Next 700 kWh</v>
      </c>
      <c r="BZ62" t="str">
        <f t="shared" si="29"/>
        <v>Next 1500 kWh</v>
      </c>
      <c r="CA62" t="str">
        <f t="shared" si="29"/>
        <v>Over 2500 kWh</v>
      </c>
      <c r="CB62" t="str">
        <f t="shared" si="29"/>
        <v>KWH_NEXT110</v>
      </c>
      <c r="CC62" s="13" t="str">
        <f t="shared" si="29"/>
        <v>KWH_300+</v>
      </c>
      <c r="CD62" t="str">
        <f t="shared" si="29"/>
        <v>First 300 kWh</v>
      </c>
      <c r="CE62" t="str">
        <f t="shared" si="29"/>
        <v>Next 700 kWh</v>
      </c>
      <c r="CF62" t="str">
        <f t="shared" si="29"/>
        <v>Next 1500 kWh</v>
      </c>
      <c r="CG62" t="str">
        <f t="shared" si="29"/>
        <v>Over 2500 kWh</v>
      </c>
      <c r="CH62" t="str">
        <f t="shared" si="29"/>
        <v>KWH_NEXT110</v>
      </c>
      <c r="CI62" s="13" t="str">
        <f t="shared" si="29"/>
        <v>KWH_300+</v>
      </c>
      <c r="CJ62" t="str">
        <f t="shared" si="29"/>
        <v>First 300 kWh</v>
      </c>
      <c r="CK62" t="str">
        <f t="shared" si="29"/>
        <v>Next 700 kWh</v>
      </c>
      <c r="CL62" t="str">
        <f t="shared" si="29"/>
        <v>Next 1500 kWh</v>
      </c>
      <c r="CM62" t="str">
        <f t="shared" si="29"/>
        <v>Over 2500 kWh</v>
      </c>
      <c r="CN62" t="str">
        <f t="shared" si="29"/>
        <v>KWH_NEXT110</v>
      </c>
      <c r="CO62" s="13" t="str">
        <f t="shared" si="29"/>
        <v>KWH_300+</v>
      </c>
      <c r="CP62" t="str">
        <f t="shared" ref="CP62:CU62" si="30">CP47</f>
        <v>First 300 kWh</v>
      </c>
      <c r="CQ62" t="str">
        <f t="shared" si="30"/>
        <v>Next 700 kWh</v>
      </c>
      <c r="CR62" t="str">
        <f t="shared" si="30"/>
        <v>Next 1500 kWh</v>
      </c>
      <c r="CS62" t="str">
        <f t="shared" si="30"/>
        <v>Over 2500 kWh</v>
      </c>
      <c r="CT62" t="str">
        <f t="shared" si="30"/>
        <v>KWH_NEXT110</v>
      </c>
      <c r="CU62" t="str">
        <f t="shared" si="30"/>
        <v>KWH_300+</v>
      </c>
    </row>
    <row r="63" spans="16:99" x14ac:dyDescent="0.2">
      <c r="P63" t="e">
        <f>ROUND($G3*'Allocators Calc'!#REF!,0)</f>
        <v>#REF!</v>
      </c>
      <c r="Q63" t="e">
        <f>ROUND($G3*'Allocators Calc'!#REF!,0)</f>
        <v>#REF!</v>
      </c>
      <c r="R63" t="e">
        <f>ROUND($G3*'Allocators Calc'!#REF!,0)</f>
        <v>#REF!</v>
      </c>
      <c r="S63" t="e">
        <f>ROUND($G3*'Allocators Calc'!#REF!,0)</f>
        <v>#REF!</v>
      </c>
      <c r="T63" t="e">
        <f>ROUND($G3*'Allocators Calc'!#REF!,0)</f>
        <v>#REF!</v>
      </c>
      <c r="U63" s="13" t="e">
        <f>ROUND($G3*'Allocators Calc'!#REF!,0)</f>
        <v>#REF!</v>
      </c>
      <c r="V63" t="e">
        <f>ROUND($G3*'Allocators Calc'!#REF!,0)</f>
        <v>#REF!</v>
      </c>
      <c r="W63" t="e">
        <f>ROUND($G3*'Allocators Calc'!#REF!,0)</f>
        <v>#REF!</v>
      </c>
      <c r="X63" t="e">
        <f>ROUND($G3*'Allocators Calc'!#REF!,0)</f>
        <v>#REF!</v>
      </c>
      <c r="Y63" t="e">
        <f>ROUND($G3*'Allocators Calc'!#REF!,0)</f>
        <v>#REF!</v>
      </c>
      <c r="Z63" t="e">
        <f>ROUND($G3*'Allocators Calc'!#REF!,0)</f>
        <v>#REF!</v>
      </c>
      <c r="AA63" s="13" t="e">
        <f>ROUND($G3*'Allocators Calc'!#REF!,0)</f>
        <v>#REF!</v>
      </c>
      <c r="AB63">
        <f>ROUND($G3*'Allocators Calc'!AG63,0)</f>
        <v>0</v>
      </c>
      <c r="AC63">
        <f>ROUND($G3*'Allocators Calc'!AH63,0)</f>
        <v>0</v>
      </c>
      <c r="AD63">
        <f>ROUND($G3*'Allocators Calc'!AI63,0)</f>
        <v>0</v>
      </c>
      <c r="AE63">
        <f>ROUND($G3*'Allocators Calc'!AJ63,0)</f>
        <v>0</v>
      </c>
      <c r="AF63">
        <f>ROUND($G3*'Allocators Calc'!AK63,0)</f>
        <v>0</v>
      </c>
      <c r="AG63" s="13">
        <f>ROUND($G3*'Allocators Calc'!AL63,0)</f>
        <v>0</v>
      </c>
      <c r="AH63" t="e">
        <f>ROUND($G3*'Allocators Calc'!#REF!,0)</f>
        <v>#REF!</v>
      </c>
      <c r="AI63" t="e">
        <f>ROUND($G3*'Allocators Calc'!#REF!,0)</f>
        <v>#REF!</v>
      </c>
      <c r="AJ63" t="e">
        <f>ROUND($G3*'Allocators Calc'!#REF!,0)</f>
        <v>#REF!</v>
      </c>
      <c r="AK63" t="e">
        <f>ROUND($G3*'Allocators Calc'!#REF!,0)</f>
        <v>#REF!</v>
      </c>
      <c r="AL63" t="e">
        <f>ROUND($G3*'Allocators Calc'!#REF!,0)</f>
        <v>#REF!</v>
      </c>
      <c r="AM63" s="13" t="e">
        <f>ROUND($G3*'Allocators Calc'!#REF!,0)</f>
        <v>#REF!</v>
      </c>
      <c r="AN63" t="e">
        <f>ROUND($G3*'Allocators Calc'!#REF!,0)</f>
        <v>#REF!</v>
      </c>
      <c r="AO63" t="e">
        <f>ROUND($G3*'Allocators Calc'!#REF!,0)</f>
        <v>#REF!</v>
      </c>
      <c r="AP63" t="e">
        <f>ROUND($G3*'Allocators Calc'!#REF!,0)</f>
        <v>#REF!</v>
      </c>
      <c r="AQ63" t="e">
        <f>ROUND($G3*'Allocators Calc'!#REF!,0)</f>
        <v>#REF!</v>
      </c>
      <c r="AR63" t="e">
        <f>ROUND($G3*'Allocators Calc'!#REF!,0)</f>
        <v>#REF!</v>
      </c>
      <c r="AS63" s="13" t="e">
        <f>ROUND($G3*'Allocators Calc'!#REF!,0)</f>
        <v>#REF!</v>
      </c>
      <c r="AT63">
        <f>ROUND($G3*'Allocators Calc'!AM63,0)</f>
        <v>0</v>
      </c>
      <c r="AU63">
        <f>ROUND($G3*'Allocators Calc'!AN63,0)</f>
        <v>0</v>
      </c>
      <c r="AV63">
        <f>ROUND($G3*'Allocators Calc'!AO63,0)</f>
        <v>0</v>
      </c>
      <c r="AW63">
        <f>ROUND($G3*'Allocators Calc'!AP63,0)</f>
        <v>0</v>
      </c>
      <c r="AX63">
        <f>ROUND($G3*'Allocators Calc'!AQ63,0)</f>
        <v>0</v>
      </c>
      <c r="AY63" s="13">
        <f>ROUND($G3*'Allocators Calc'!AR63,0)</f>
        <v>0</v>
      </c>
      <c r="AZ63">
        <f>ROUND($G3*'Allocators Calc'!AS63,0)</f>
        <v>0</v>
      </c>
      <c r="BA63">
        <f>ROUND($G3*'Allocators Calc'!AT63,0)</f>
        <v>0</v>
      </c>
      <c r="BB63">
        <f>ROUND($G3*'Allocators Calc'!AU63,0)</f>
        <v>0</v>
      </c>
      <c r="BC63">
        <f>ROUND($G3*'Allocators Calc'!AV63,0)</f>
        <v>0</v>
      </c>
      <c r="BD63">
        <f>ROUND($G3*'Allocators Calc'!AW63,0)</f>
        <v>0</v>
      </c>
      <c r="BE63" s="13">
        <f>ROUND($G3*'Allocators Calc'!AX63,0)</f>
        <v>0</v>
      </c>
      <c r="BF63" t="e">
        <f>ROUND($G3*'Allocators Calc'!#REF!,0)</f>
        <v>#REF!</v>
      </c>
      <c r="BG63" t="e">
        <f>ROUND($G3*'Allocators Calc'!#REF!,0)</f>
        <v>#REF!</v>
      </c>
      <c r="BH63" t="e">
        <f>ROUND($G3*'Allocators Calc'!#REF!,0)</f>
        <v>#REF!</v>
      </c>
      <c r="BI63" t="e">
        <f>ROUND($G3*'Allocators Calc'!#REF!,0)</f>
        <v>#REF!</v>
      </c>
      <c r="BJ63" t="e">
        <f>ROUND($G3*'Allocators Calc'!#REF!,0)</f>
        <v>#REF!</v>
      </c>
      <c r="BK63" s="13" t="e">
        <f>ROUND($G3*'Allocators Calc'!#REF!,0)</f>
        <v>#REF!</v>
      </c>
      <c r="BL63">
        <f>ROUND($G3*'Allocators Calc'!AY63,0)</f>
        <v>0</v>
      </c>
      <c r="BM63">
        <f>ROUND($G3*'Allocators Calc'!AZ63,0)</f>
        <v>0</v>
      </c>
      <c r="BN63">
        <f>ROUND($G3*'Allocators Calc'!BA63,0)</f>
        <v>0</v>
      </c>
      <c r="BO63">
        <f>ROUND($G3*'Allocators Calc'!BB63,0)</f>
        <v>0</v>
      </c>
      <c r="BP63">
        <f>ROUND($G3*'Allocators Calc'!BC63,0)</f>
        <v>0</v>
      </c>
      <c r="BQ63" s="13">
        <f>ROUND($G3*'Allocators Calc'!BD63,0)</f>
        <v>0</v>
      </c>
      <c r="BR63" t="e">
        <f>ROUND($G3*'Allocators Calc'!#REF!,0)</f>
        <v>#REF!</v>
      </c>
      <c r="BS63" t="e">
        <f>ROUND($G3*'Allocators Calc'!#REF!,0)</f>
        <v>#REF!</v>
      </c>
      <c r="BT63" t="e">
        <f>ROUND($G3*'Allocators Calc'!#REF!,0)</f>
        <v>#REF!</v>
      </c>
      <c r="BU63" t="e">
        <f>ROUND($G3*'Allocators Calc'!#REF!,0)</f>
        <v>#REF!</v>
      </c>
      <c r="BV63" t="e">
        <f>ROUND($G3*'Allocators Calc'!#REF!,0)</f>
        <v>#REF!</v>
      </c>
      <c r="BW63" s="13" t="e">
        <f>ROUND($G3*'Allocators Calc'!#REF!,0)</f>
        <v>#REF!</v>
      </c>
      <c r="BX63" t="e">
        <f>ROUND($G3*'Allocators Calc'!#REF!,0)</f>
        <v>#REF!</v>
      </c>
      <c r="BY63" t="e">
        <f>ROUND($G3*'Allocators Calc'!#REF!,0)</f>
        <v>#REF!</v>
      </c>
      <c r="BZ63" t="e">
        <f>ROUND($G3*'Allocators Calc'!#REF!,0)</f>
        <v>#REF!</v>
      </c>
      <c r="CA63" t="e">
        <f>ROUND($G3*'Allocators Calc'!#REF!,0)</f>
        <v>#REF!</v>
      </c>
      <c r="CB63" t="e">
        <f>ROUND($G3*'Allocators Calc'!#REF!,0)</f>
        <v>#REF!</v>
      </c>
      <c r="CC63" s="13" t="e">
        <f>ROUND($G3*'Allocators Calc'!#REF!,0)</f>
        <v>#REF!</v>
      </c>
      <c r="CD63">
        <f>ROUND($G3*'Allocators Calc'!BE63,0)</f>
        <v>0</v>
      </c>
      <c r="CE63">
        <f>ROUND($G3*'Allocators Calc'!BF63,0)</f>
        <v>0</v>
      </c>
      <c r="CF63">
        <f>ROUND($G3*'Allocators Calc'!BG63,0)</f>
        <v>0</v>
      </c>
      <c r="CG63">
        <f>ROUND($G3*'Allocators Calc'!BH63,0)</f>
        <v>0</v>
      </c>
      <c r="CH63">
        <f>ROUND($G3*'Allocators Calc'!BI63,0)</f>
        <v>0</v>
      </c>
      <c r="CI63" s="13">
        <f>ROUND($G3*'Allocators Calc'!BJ63,0)</f>
        <v>0</v>
      </c>
      <c r="CJ63">
        <f>ROUND($G3*'Allocators Calc'!BK63,0)</f>
        <v>0</v>
      </c>
      <c r="CK63">
        <f>ROUND($G3*'Allocators Calc'!BL63,0)</f>
        <v>0</v>
      </c>
      <c r="CL63">
        <f>ROUND($G3*'Allocators Calc'!BM63,0)</f>
        <v>0</v>
      </c>
      <c r="CM63">
        <f>ROUND($G3*'Allocators Calc'!BN63,0)</f>
        <v>0</v>
      </c>
      <c r="CN63">
        <f>ROUND($G3*'Allocators Calc'!BO63,0)</f>
        <v>0</v>
      </c>
      <c r="CO63" s="13">
        <f>ROUND($G3*'Allocators Calc'!BP63,0)</f>
        <v>0</v>
      </c>
      <c r="CP63" t="e">
        <f>ROUND($G3*'Allocators Calc'!#REF!,0)</f>
        <v>#REF!</v>
      </c>
      <c r="CQ63" t="e">
        <f>ROUND($G3*'Allocators Calc'!#REF!,0)</f>
        <v>#REF!</v>
      </c>
      <c r="CR63" t="e">
        <f>ROUND($G3*'Allocators Calc'!#REF!,0)</f>
        <v>#REF!</v>
      </c>
      <c r="CS63" t="e">
        <f>ROUND($G3*'Allocators Calc'!#REF!,0)</f>
        <v>#REF!</v>
      </c>
      <c r="CT63" t="e">
        <f>ROUND($G3*'Allocators Calc'!#REF!,0)</f>
        <v>#REF!</v>
      </c>
      <c r="CU63" t="e">
        <f>ROUND($G3*'Allocators Calc'!#REF!,0)</f>
        <v>#REF!</v>
      </c>
    </row>
    <row r="64" spans="16:99" x14ac:dyDescent="0.2">
      <c r="P64" t="e">
        <f>ROUND($G4*'Allocators Calc'!#REF!,0)</f>
        <v>#REF!</v>
      </c>
      <c r="Q64" t="e">
        <f>ROUND($G4*'Allocators Calc'!#REF!,0)</f>
        <v>#REF!</v>
      </c>
      <c r="R64" t="e">
        <f>ROUND($G4*'Allocators Calc'!#REF!,0)</f>
        <v>#REF!</v>
      </c>
      <c r="S64" t="e">
        <f>ROUND($G4*'Allocators Calc'!#REF!,0)</f>
        <v>#REF!</v>
      </c>
      <c r="T64" t="e">
        <f>ROUND($G4*'Allocators Calc'!#REF!,0)</f>
        <v>#REF!</v>
      </c>
      <c r="U64" s="13" t="e">
        <f>ROUND($G4*'Allocators Calc'!#REF!,0)</f>
        <v>#REF!</v>
      </c>
      <c r="V64" t="e">
        <f>ROUND($G4*'Allocators Calc'!#REF!,0)</f>
        <v>#REF!</v>
      </c>
      <c r="W64" t="e">
        <f>ROUND($G4*'Allocators Calc'!#REF!,0)</f>
        <v>#REF!</v>
      </c>
      <c r="X64" t="e">
        <f>ROUND($G4*'Allocators Calc'!#REF!,0)</f>
        <v>#REF!</v>
      </c>
      <c r="Y64" t="e">
        <f>ROUND($G4*'Allocators Calc'!#REF!,0)</f>
        <v>#REF!</v>
      </c>
      <c r="Z64" t="e">
        <f>ROUND($G4*'Allocators Calc'!#REF!,0)</f>
        <v>#REF!</v>
      </c>
      <c r="AA64" s="13" t="e">
        <f>ROUND($G4*'Allocators Calc'!#REF!,0)</f>
        <v>#REF!</v>
      </c>
      <c r="AB64">
        <f>ROUND($G4*'Allocators Calc'!AG64,0)</f>
        <v>0</v>
      </c>
      <c r="AC64">
        <f>ROUND($G4*'Allocators Calc'!AH64,0)</f>
        <v>0</v>
      </c>
      <c r="AD64">
        <f>ROUND($G4*'Allocators Calc'!AI64,0)</f>
        <v>0</v>
      </c>
      <c r="AE64">
        <f>ROUND($G4*'Allocators Calc'!AJ64,0)</f>
        <v>0</v>
      </c>
      <c r="AF64">
        <f>ROUND($G4*'Allocators Calc'!AK64,0)</f>
        <v>0</v>
      </c>
      <c r="AG64" s="13">
        <f>ROUND($G4*'Allocators Calc'!AL64,0)</f>
        <v>0</v>
      </c>
      <c r="AH64" t="e">
        <f>ROUND($G4*'Allocators Calc'!#REF!,0)</f>
        <v>#REF!</v>
      </c>
      <c r="AI64" t="e">
        <f>ROUND($G4*'Allocators Calc'!#REF!,0)</f>
        <v>#REF!</v>
      </c>
      <c r="AJ64" t="e">
        <f>ROUND($G4*'Allocators Calc'!#REF!,0)</f>
        <v>#REF!</v>
      </c>
      <c r="AK64" t="e">
        <f>ROUND($G4*'Allocators Calc'!#REF!,0)</f>
        <v>#REF!</v>
      </c>
      <c r="AL64" t="e">
        <f>ROUND($G4*'Allocators Calc'!#REF!,0)</f>
        <v>#REF!</v>
      </c>
      <c r="AM64" s="13" t="e">
        <f>ROUND($G4*'Allocators Calc'!#REF!,0)</f>
        <v>#REF!</v>
      </c>
      <c r="AN64" t="e">
        <f>ROUND($G4*'Allocators Calc'!#REF!,0)</f>
        <v>#REF!</v>
      </c>
      <c r="AO64" t="e">
        <f>ROUND($G4*'Allocators Calc'!#REF!,0)</f>
        <v>#REF!</v>
      </c>
      <c r="AP64" t="e">
        <f>ROUND($G4*'Allocators Calc'!#REF!,0)</f>
        <v>#REF!</v>
      </c>
      <c r="AQ64" t="e">
        <f>ROUND($G4*'Allocators Calc'!#REF!,0)</f>
        <v>#REF!</v>
      </c>
      <c r="AR64" t="e">
        <f>ROUND($G4*'Allocators Calc'!#REF!,0)</f>
        <v>#REF!</v>
      </c>
      <c r="AS64" s="13" t="e">
        <f>ROUND($G4*'Allocators Calc'!#REF!,0)</f>
        <v>#REF!</v>
      </c>
      <c r="AT64">
        <f>ROUND($G4*'Allocators Calc'!AM64,0)</f>
        <v>0</v>
      </c>
      <c r="AU64">
        <f>ROUND($G4*'Allocators Calc'!AN64,0)</f>
        <v>0</v>
      </c>
      <c r="AV64">
        <f>ROUND($G4*'Allocators Calc'!AO64,0)</f>
        <v>0</v>
      </c>
      <c r="AW64">
        <f>ROUND($G4*'Allocators Calc'!AP64,0)</f>
        <v>0</v>
      </c>
      <c r="AX64">
        <f>ROUND($G4*'Allocators Calc'!AQ64,0)</f>
        <v>0</v>
      </c>
      <c r="AY64" s="13">
        <f>ROUND($G4*'Allocators Calc'!AR64,0)</f>
        <v>0</v>
      </c>
      <c r="AZ64">
        <f>ROUND($G4*'Allocators Calc'!AS64,0)</f>
        <v>0</v>
      </c>
      <c r="BA64">
        <f>ROUND($G4*'Allocators Calc'!AT64,0)</f>
        <v>0</v>
      </c>
      <c r="BB64">
        <f>ROUND($G4*'Allocators Calc'!AU64,0)</f>
        <v>0</v>
      </c>
      <c r="BC64">
        <f>ROUND($G4*'Allocators Calc'!AV64,0)</f>
        <v>0</v>
      </c>
      <c r="BD64">
        <f>ROUND($G4*'Allocators Calc'!AW64,0)</f>
        <v>0</v>
      </c>
      <c r="BE64" s="13">
        <f>ROUND($G4*'Allocators Calc'!AX64,0)</f>
        <v>0</v>
      </c>
      <c r="BF64" t="e">
        <f>ROUND($G4*'Allocators Calc'!#REF!,0)</f>
        <v>#REF!</v>
      </c>
      <c r="BG64" t="e">
        <f>ROUND($G4*'Allocators Calc'!#REF!,0)</f>
        <v>#REF!</v>
      </c>
      <c r="BH64" t="e">
        <f>ROUND($G4*'Allocators Calc'!#REF!,0)</f>
        <v>#REF!</v>
      </c>
      <c r="BI64" t="e">
        <f>ROUND($G4*'Allocators Calc'!#REF!,0)</f>
        <v>#REF!</v>
      </c>
      <c r="BJ64" t="e">
        <f>ROUND($G4*'Allocators Calc'!#REF!,0)</f>
        <v>#REF!</v>
      </c>
      <c r="BK64" s="13" t="e">
        <f>ROUND($G4*'Allocators Calc'!#REF!,0)</f>
        <v>#REF!</v>
      </c>
      <c r="BL64">
        <f>ROUND($G4*'Allocators Calc'!AY64,0)</f>
        <v>0</v>
      </c>
      <c r="BM64">
        <f>ROUND($G4*'Allocators Calc'!AZ64,0)</f>
        <v>0</v>
      </c>
      <c r="BN64">
        <f>ROUND($G4*'Allocators Calc'!BA64,0)</f>
        <v>0</v>
      </c>
      <c r="BO64">
        <f>ROUND($G4*'Allocators Calc'!BB64,0)</f>
        <v>0</v>
      </c>
      <c r="BP64">
        <f>ROUND($G4*'Allocators Calc'!BC64,0)</f>
        <v>0</v>
      </c>
      <c r="BQ64" s="13">
        <f>ROUND($G4*'Allocators Calc'!BD64,0)</f>
        <v>0</v>
      </c>
      <c r="BR64" t="e">
        <f>ROUND($G4*'Allocators Calc'!#REF!,0)</f>
        <v>#REF!</v>
      </c>
      <c r="BS64" t="e">
        <f>ROUND($G4*'Allocators Calc'!#REF!,0)</f>
        <v>#REF!</v>
      </c>
      <c r="BT64" t="e">
        <f>ROUND($G4*'Allocators Calc'!#REF!,0)</f>
        <v>#REF!</v>
      </c>
      <c r="BU64" t="e">
        <f>ROUND($G4*'Allocators Calc'!#REF!,0)</f>
        <v>#REF!</v>
      </c>
      <c r="BV64" t="e">
        <f>ROUND($G4*'Allocators Calc'!#REF!,0)</f>
        <v>#REF!</v>
      </c>
      <c r="BW64" s="13" t="e">
        <f>ROUND($G4*'Allocators Calc'!#REF!,0)</f>
        <v>#REF!</v>
      </c>
      <c r="BX64" t="e">
        <f>ROUND($G4*'Allocators Calc'!#REF!,0)</f>
        <v>#REF!</v>
      </c>
      <c r="BY64" t="e">
        <f>ROUND($G4*'Allocators Calc'!#REF!,0)</f>
        <v>#REF!</v>
      </c>
      <c r="BZ64" t="e">
        <f>ROUND($G4*'Allocators Calc'!#REF!,0)</f>
        <v>#REF!</v>
      </c>
      <c r="CA64" t="e">
        <f>ROUND($G4*'Allocators Calc'!#REF!,0)</f>
        <v>#REF!</v>
      </c>
      <c r="CB64" t="e">
        <f>ROUND($G4*'Allocators Calc'!#REF!,0)</f>
        <v>#REF!</v>
      </c>
      <c r="CC64" s="13" t="e">
        <f>ROUND($G4*'Allocators Calc'!#REF!,0)</f>
        <v>#REF!</v>
      </c>
      <c r="CD64">
        <f>ROUND($G4*'Allocators Calc'!BE64,0)</f>
        <v>0</v>
      </c>
      <c r="CE64">
        <f>ROUND($G4*'Allocators Calc'!BF64,0)</f>
        <v>0</v>
      </c>
      <c r="CF64">
        <f>ROUND($G4*'Allocators Calc'!BG64,0)</f>
        <v>0</v>
      </c>
      <c r="CG64">
        <f>ROUND($G4*'Allocators Calc'!BH64,0)</f>
        <v>0</v>
      </c>
      <c r="CH64">
        <f>ROUND($G4*'Allocators Calc'!BI64,0)</f>
        <v>0</v>
      </c>
      <c r="CI64" s="13">
        <f>ROUND($G4*'Allocators Calc'!BJ64,0)</f>
        <v>0</v>
      </c>
      <c r="CJ64">
        <f>ROUND($G4*'Allocators Calc'!BK64,0)</f>
        <v>0</v>
      </c>
      <c r="CK64">
        <f>ROUND($G4*'Allocators Calc'!BL64,0)</f>
        <v>0</v>
      </c>
      <c r="CL64">
        <f>ROUND($G4*'Allocators Calc'!BM64,0)</f>
        <v>0</v>
      </c>
      <c r="CM64">
        <f>ROUND($G4*'Allocators Calc'!BN64,0)</f>
        <v>0</v>
      </c>
      <c r="CN64">
        <f>ROUND($G4*'Allocators Calc'!BO64,0)</f>
        <v>0</v>
      </c>
      <c r="CO64" s="13">
        <f>ROUND($G4*'Allocators Calc'!BP64,0)</f>
        <v>0</v>
      </c>
      <c r="CP64" t="e">
        <f>ROUND($G4*'Allocators Calc'!#REF!,0)</f>
        <v>#REF!</v>
      </c>
      <c r="CQ64" t="e">
        <f>ROUND($G4*'Allocators Calc'!#REF!,0)</f>
        <v>#REF!</v>
      </c>
      <c r="CR64" t="e">
        <f>ROUND($G4*'Allocators Calc'!#REF!,0)</f>
        <v>#REF!</v>
      </c>
      <c r="CS64" t="e">
        <f>ROUND($G4*'Allocators Calc'!#REF!,0)</f>
        <v>#REF!</v>
      </c>
      <c r="CT64" t="e">
        <f>ROUND($G4*'Allocators Calc'!#REF!,0)</f>
        <v>#REF!</v>
      </c>
      <c r="CU64" t="e">
        <f>ROUND($G4*'Allocators Calc'!#REF!,0)</f>
        <v>#REF!</v>
      </c>
    </row>
    <row r="65" spans="16:99" x14ac:dyDescent="0.2">
      <c r="P65" t="e">
        <f>ROUND($G5*'Allocators Calc'!#REF!,0)</f>
        <v>#REF!</v>
      </c>
      <c r="Q65" t="e">
        <f>ROUND($G5*'Allocators Calc'!#REF!,0)</f>
        <v>#REF!</v>
      </c>
      <c r="R65" t="e">
        <f>ROUND($G5*'Allocators Calc'!#REF!,0)</f>
        <v>#REF!</v>
      </c>
      <c r="S65" t="e">
        <f>ROUND($G5*'Allocators Calc'!#REF!,0)</f>
        <v>#REF!</v>
      </c>
      <c r="T65" t="e">
        <f>ROUND($G5*'Allocators Calc'!#REF!,0)</f>
        <v>#REF!</v>
      </c>
      <c r="U65" s="13" t="e">
        <f>ROUND($G5*'Allocators Calc'!#REF!,0)</f>
        <v>#REF!</v>
      </c>
      <c r="V65" t="e">
        <f>ROUND($G5*'Allocators Calc'!#REF!,0)</f>
        <v>#REF!</v>
      </c>
      <c r="W65" t="e">
        <f>ROUND($G5*'Allocators Calc'!#REF!,0)</f>
        <v>#REF!</v>
      </c>
      <c r="X65" t="e">
        <f>ROUND($G5*'Allocators Calc'!#REF!,0)</f>
        <v>#REF!</v>
      </c>
      <c r="Y65" t="e">
        <f>ROUND($G5*'Allocators Calc'!#REF!,0)</f>
        <v>#REF!</v>
      </c>
      <c r="Z65" t="e">
        <f>ROUND($G5*'Allocators Calc'!#REF!,0)</f>
        <v>#REF!</v>
      </c>
      <c r="AA65" s="13" t="e">
        <f>ROUND($G5*'Allocators Calc'!#REF!,0)</f>
        <v>#REF!</v>
      </c>
      <c r="AB65">
        <f>ROUND($G5*'Allocators Calc'!AG65,0)</f>
        <v>0</v>
      </c>
      <c r="AC65">
        <f>ROUND($G5*'Allocators Calc'!AH65,0)</f>
        <v>0</v>
      </c>
      <c r="AD65">
        <f>ROUND($G5*'Allocators Calc'!AI65,0)</f>
        <v>0</v>
      </c>
      <c r="AE65">
        <f>ROUND($G5*'Allocators Calc'!AJ65,0)</f>
        <v>0</v>
      </c>
      <c r="AF65">
        <f>ROUND($G5*'Allocators Calc'!AK65,0)</f>
        <v>0</v>
      </c>
      <c r="AG65" s="13">
        <f>ROUND($G5*'Allocators Calc'!AL65,0)</f>
        <v>0</v>
      </c>
      <c r="AH65" t="e">
        <f>ROUND($G5*'Allocators Calc'!#REF!,0)</f>
        <v>#REF!</v>
      </c>
      <c r="AI65" t="e">
        <f>ROUND($G5*'Allocators Calc'!#REF!,0)</f>
        <v>#REF!</v>
      </c>
      <c r="AJ65" t="e">
        <f>ROUND($G5*'Allocators Calc'!#REF!,0)</f>
        <v>#REF!</v>
      </c>
      <c r="AK65" t="e">
        <f>ROUND($G5*'Allocators Calc'!#REF!,0)</f>
        <v>#REF!</v>
      </c>
      <c r="AL65" t="e">
        <f>ROUND($G5*'Allocators Calc'!#REF!,0)</f>
        <v>#REF!</v>
      </c>
      <c r="AM65" s="13" t="e">
        <f>ROUND($G5*'Allocators Calc'!#REF!,0)</f>
        <v>#REF!</v>
      </c>
      <c r="AN65" t="e">
        <f>ROUND($G5*'Allocators Calc'!#REF!,0)</f>
        <v>#REF!</v>
      </c>
      <c r="AO65" t="e">
        <f>ROUND($G5*'Allocators Calc'!#REF!,0)</f>
        <v>#REF!</v>
      </c>
      <c r="AP65" t="e">
        <f>ROUND($G5*'Allocators Calc'!#REF!,0)</f>
        <v>#REF!</v>
      </c>
      <c r="AQ65" t="e">
        <f>ROUND($G5*'Allocators Calc'!#REF!,0)</f>
        <v>#REF!</v>
      </c>
      <c r="AR65" t="e">
        <f>ROUND($G5*'Allocators Calc'!#REF!,0)</f>
        <v>#REF!</v>
      </c>
      <c r="AS65" s="13" t="e">
        <f>ROUND($G5*'Allocators Calc'!#REF!,0)</f>
        <v>#REF!</v>
      </c>
      <c r="AT65">
        <f>ROUND($G5*'Allocators Calc'!AM65,0)</f>
        <v>0</v>
      </c>
      <c r="AU65">
        <f>ROUND($G5*'Allocators Calc'!AN65,0)</f>
        <v>0</v>
      </c>
      <c r="AV65">
        <f>ROUND($G5*'Allocators Calc'!AO65,0)</f>
        <v>0</v>
      </c>
      <c r="AW65">
        <f>ROUND($G5*'Allocators Calc'!AP65,0)</f>
        <v>0</v>
      </c>
      <c r="AX65">
        <f>ROUND($G5*'Allocators Calc'!AQ65,0)</f>
        <v>0</v>
      </c>
      <c r="AY65" s="13">
        <f>ROUND($G5*'Allocators Calc'!AR65,0)</f>
        <v>0</v>
      </c>
      <c r="AZ65">
        <f>ROUND($G5*'Allocators Calc'!AS65,0)</f>
        <v>0</v>
      </c>
      <c r="BA65">
        <f>ROUND($G5*'Allocators Calc'!AT65,0)</f>
        <v>0</v>
      </c>
      <c r="BB65">
        <f>ROUND($G5*'Allocators Calc'!AU65,0)</f>
        <v>0</v>
      </c>
      <c r="BC65">
        <f>ROUND($G5*'Allocators Calc'!AV65,0)</f>
        <v>0</v>
      </c>
      <c r="BD65">
        <f>ROUND($G5*'Allocators Calc'!AW65,0)</f>
        <v>0</v>
      </c>
      <c r="BE65" s="13">
        <f>ROUND($G5*'Allocators Calc'!AX65,0)</f>
        <v>0</v>
      </c>
      <c r="BF65" t="e">
        <f>ROUND($G5*'Allocators Calc'!#REF!,0)</f>
        <v>#REF!</v>
      </c>
      <c r="BG65" t="e">
        <f>ROUND($G5*'Allocators Calc'!#REF!,0)</f>
        <v>#REF!</v>
      </c>
      <c r="BH65" t="e">
        <f>ROUND($G5*'Allocators Calc'!#REF!,0)</f>
        <v>#REF!</v>
      </c>
      <c r="BI65" t="e">
        <f>ROUND($G5*'Allocators Calc'!#REF!,0)</f>
        <v>#REF!</v>
      </c>
      <c r="BJ65" t="e">
        <f>ROUND($G5*'Allocators Calc'!#REF!,0)</f>
        <v>#REF!</v>
      </c>
      <c r="BK65" s="13" t="e">
        <f>ROUND($G5*'Allocators Calc'!#REF!,0)</f>
        <v>#REF!</v>
      </c>
      <c r="BL65">
        <f>ROUND($G5*'Allocators Calc'!AY65,0)</f>
        <v>0</v>
      </c>
      <c r="BM65">
        <f>ROUND($G5*'Allocators Calc'!AZ65,0)</f>
        <v>0</v>
      </c>
      <c r="BN65">
        <f>ROUND($G5*'Allocators Calc'!BA65,0)</f>
        <v>0</v>
      </c>
      <c r="BO65">
        <f>ROUND($G5*'Allocators Calc'!BB65,0)</f>
        <v>0</v>
      </c>
      <c r="BP65">
        <f>ROUND($G5*'Allocators Calc'!BC65,0)</f>
        <v>0</v>
      </c>
      <c r="BQ65" s="13">
        <f>ROUND($G5*'Allocators Calc'!BD65,0)</f>
        <v>0</v>
      </c>
      <c r="BR65" t="e">
        <f>ROUND($G5*'Allocators Calc'!#REF!,0)</f>
        <v>#REF!</v>
      </c>
      <c r="BS65" t="e">
        <f>ROUND($G5*'Allocators Calc'!#REF!,0)</f>
        <v>#REF!</v>
      </c>
      <c r="BT65" t="e">
        <f>ROUND($G5*'Allocators Calc'!#REF!,0)</f>
        <v>#REF!</v>
      </c>
      <c r="BU65" t="e">
        <f>ROUND($G5*'Allocators Calc'!#REF!,0)</f>
        <v>#REF!</v>
      </c>
      <c r="BV65" t="e">
        <f>ROUND($G5*'Allocators Calc'!#REF!,0)</f>
        <v>#REF!</v>
      </c>
      <c r="BW65" s="13" t="e">
        <f>ROUND($G5*'Allocators Calc'!#REF!,0)</f>
        <v>#REF!</v>
      </c>
      <c r="BX65" t="e">
        <f>ROUND($G5*'Allocators Calc'!#REF!,0)</f>
        <v>#REF!</v>
      </c>
      <c r="BY65" t="e">
        <f>ROUND($G5*'Allocators Calc'!#REF!,0)</f>
        <v>#REF!</v>
      </c>
      <c r="BZ65" t="e">
        <f>ROUND($G5*'Allocators Calc'!#REF!,0)</f>
        <v>#REF!</v>
      </c>
      <c r="CA65" t="e">
        <f>ROUND($G5*'Allocators Calc'!#REF!,0)</f>
        <v>#REF!</v>
      </c>
      <c r="CB65" t="e">
        <f>ROUND($G5*'Allocators Calc'!#REF!,0)</f>
        <v>#REF!</v>
      </c>
      <c r="CC65" s="13" t="e">
        <f>ROUND($G5*'Allocators Calc'!#REF!,0)</f>
        <v>#REF!</v>
      </c>
      <c r="CD65">
        <f>ROUND($G5*'Allocators Calc'!BE65,0)</f>
        <v>0</v>
      </c>
      <c r="CE65">
        <f>ROUND($G5*'Allocators Calc'!BF65,0)</f>
        <v>0</v>
      </c>
      <c r="CF65">
        <f>ROUND($G5*'Allocators Calc'!BG65,0)</f>
        <v>0</v>
      </c>
      <c r="CG65">
        <f>ROUND($G5*'Allocators Calc'!BH65,0)</f>
        <v>0</v>
      </c>
      <c r="CH65">
        <f>ROUND($G5*'Allocators Calc'!BI65,0)</f>
        <v>0</v>
      </c>
      <c r="CI65" s="13">
        <f>ROUND($G5*'Allocators Calc'!BJ65,0)</f>
        <v>0</v>
      </c>
      <c r="CJ65">
        <f>ROUND($G5*'Allocators Calc'!BK65,0)</f>
        <v>0</v>
      </c>
      <c r="CK65">
        <f>ROUND($G5*'Allocators Calc'!BL65,0)</f>
        <v>0</v>
      </c>
      <c r="CL65">
        <f>ROUND($G5*'Allocators Calc'!BM65,0)</f>
        <v>0</v>
      </c>
      <c r="CM65">
        <f>ROUND($G5*'Allocators Calc'!BN65,0)</f>
        <v>0</v>
      </c>
      <c r="CN65">
        <f>ROUND($G5*'Allocators Calc'!BO65,0)</f>
        <v>0</v>
      </c>
      <c r="CO65" s="13">
        <f>ROUND($G5*'Allocators Calc'!BP65,0)</f>
        <v>0</v>
      </c>
      <c r="CP65" t="e">
        <f>ROUND($G5*'Allocators Calc'!#REF!,0)</f>
        <v>#REF!</v>
      </c>
      <c r="CQ65" t="e">
        <f>ROUND($G5*'Allocators Calc'!#REF!,0)</f>
        <v>#REF!</v>
      </c>
      <c r="CR65" t="e">
        <f>ROUND($G5*'Allocators Calc'!#REF!,0)</f>
        <v>#REF!</v>
      </c>
      <c r="CS65" t="e">
        <f>ROUND($G5*'Allocators Calc'!#REF!,0)</f>
        <v>#REF!</v>
      </c>
      <c r="CT65" t="e">
        <f>ROUND($G5*'Allocators Calc'!#REF!,0)</f>
        <v>#REF!</v>
      </c>
      <c r="CU65" t="e">
        <f>ROUND($G5*'Allocators Calc'!#REF!,0)</f>
        <v>#REF!</v>
      </c>
    </row>
    <row r="66" spans="16:99" x14ac:dyDescent="0.2">
      <c r="P66" t="e">
        <f>ROUND($G6*'Allocators Calc'!#REF!,0)</f>
        <v>#REF!</v>
      </c>
      <c r="Q66" t="e">
        <f>ROUND($G6*'Allocators Calc'!#REF!,0)</f>
        <v>#REF!</v>
      </c>
      <c r="R66" t="e">
        <f>ROUND($G6*'Allocators Calc'!#REF!,0)</f>
        <v>#REF!</v>
      </c>
      <c r="S66" t="e">
        <f>ROUND($G6*'Allocators Calc'!#REF!,0)</f>
        <v>#REF!</v>
      </c>
      <c r="T66" t="e">
        <f>ROUND($G6*'Allocators Calc'!#REF!,0)</f>
        <v>#REF!</v>
      </c>
      <c r="U66" s="13" t="e">
        <f>ROUND($G6*'Allocators Calc'!#REF!,0)</f>
        <v>#REF!</v>
      </c>
      <c r="V66" t="e">
        <f>ROUND($G6*'Allocators Calc'!#REF!,0)</f>
        <v>#REF!</v>
      </c>
      <c r="W66" t="e">
        <f>ROUND($G6*'Allocators Calc'!#REF!,0)</f>
        <v>#REF!</v>
      </c>
      <c r="X66" t="e">
        <f>ROUND($G6*'Allocators Calc'!#REF!,0)</f>
        <v>#REF!</v>
      </c>
      <c r="Y66" t="e">
        <f>ROUND($G6*'Allocators Calc'!#REF!,0)</f>
        <v>#REF!</v>
      </c>
      <c r="Z66" t="e">
        <f>ROUND($G6*'Allocators Calc'!#REF!,0)</f>
        <v>#REF!</v>
      </c>
      <c r="AA66" s="13" t="e">
        <f>ROUND($G6*'Allocators Calc'!#REF!,0)</f>
        <v>#REF!</v>
      </c>
      <c r="AB66">
        <f>ROUND($G6*'Allocators Calc'!AG66,0)</f>
        <v>0</v>
      </c>
      <c r="AC66">
        <f>ROUND($G6*'Allocators Calc'!AH66,0)</f>
        <v>0</v>
      </c>
      <c r="AD66">
        <f>ROUND($G6*'Allocators Calc'!AI66,0)</f>
        <v>0</v>
      </c>
      <c r="AE66">
        <f>ROUND($G6*'Allocators Calc'!AJ66,0)</f>
        <v>0</v>
      </c>
      <c r="AF66">
        <f>ROUND($G6*'Allocators Calc'!AK66,0)</f>
        <v>0</v>
      </c>
      <c r="AG66" s="13">
        <f>ROUND($G6*'Allocators Calc'!AL66,0)</f>
        <v>0</v>
      </c>
      <c r="AH66" t="e">
        <f>ROUND($G6*'Allocators Calc'!#REF!,0)</f>
        <v>#REF!</v>
      </c>
      <c r="AI66" t="e">
        <f>ROUND($G6*'Allocators Calc'!#REF!,0)</f>
        <v>#REF!</v>
      </c>
      <c r="AJ66" t="e">
        <f>ROUND($G6*'Allocators Calc'!#REF!,0)</f>
        <v>#REF!</v>
      </c>
      <c r="AK66" t="e">
        <f>ROUND($G6*'Allocators Calc'!#REF!,0)</f>
        <v>#REF!</v>
      </c>
      <c r="AL66" t="e">
        <f>ROUND($G6*'Allocators Calc'!#REF!,0)</f>
        <v>#REF!</v>
      </c>
      <c r="AM66" s="13" t="e">
        <f>ROUND($G6*'Allocators Calc'!#REF!,0)</f>
        <v>#REF!</v>
      </c>
      <c r="AN66" t="e">
        <f>ROUND($G6*'Allocators Calc'!#REF!,0)</f>
        <v>#REF!</v>
      </c>
      <c r="AO66" t="e">
        <f>ROUND($G6*'Allocators Calc'!#REF!,0)</f>
        <v>#REF!</v>
      </c>
      <c r="AP66" t="e">
        <f>ROUND($G6*'Allocators Calc'!#REF!,0)</f>
        <v>#REF!</v>
      </c>
      <c r="AQ66" t="e">
        <f>ROUND($G6*'Allocators Calc'!#REF!,0)</f>
        <v>#REF!</v>
      </c>
      <c r="AR66" t="e">
        <f>ROUND($G6*'Allocators Calc'!#REF!,0)</f>
        <v>#REF!</v>
      </c>
      <c r="AS66" s="13" t="e">
        <f>ROUND($G6*'Allocators Calc'!#REF!,0)</f>
        <v>#REF!</v>
      </c>
      <c r="AT66">
        <f>ROUND($G6*'Allocators Calc'!AM66,0)</f>
        <v>0</v>
      </c>
      <c r="AU66">
        <f>ROUND($G6*'Allocators Calc'!AN66,0)</f>
        <v>0</v>
      </c>
      <c r="AV66">
        <f>ROUND($G6*'Allocators Calc'!AO66,0)</f>
        <v>0</v>
      </c>
      <c r="AW66">
        <f>ROUND($G6*'Allocators Calc'!AP66,0)</f>
        <v>0</v>
      </c>
      <c r="AX66">
        <f>ROUND($G6*'Allocators Calc'!AQ66,0)</f>
        <v>0</v>
      </c>
      <c r="AY66" s="13">
        <f>ROUND($G6*'Allocators Calc'!AR66,0)</f>
        <v>0</v>
      </c>
      <c r="AZ66">
        <f>ROUND($G6*'Allocators Calc'!AS66,0)</f>
        <v>0</v>
      </c>
      <c r="BA66">
        <f>ROUND($G6*'Allocators Calc'!AT66,0)</f>
        <v>0</v>
      </c>
      <c r="BB66">
        <f>ROUND($G6*'Allocators Calc'!AU66,0)</f>
        <v>0</v>
      </c>
      <c r="BC66">
        <f>ROUND($G6*'Allocators Calc'!AV66,0)</f>
        <v>0</v>
      </c>
      <c r="BD66">
        <f>ROUND($G6*'Allocators Calc'!AW66,0)</f>
        <v>0</v>
      </c>
      <c r="BE66" s="13">
        <f>ROUND($G6*'Allocators Calc'!AX66,0)</f>
        <v>0</v>
      </c>
      <c r="BF66" t="e">
        <f>ROUND($G6*'Allocators Calc'!#REF!,0)</f>
        <v>#REF!</v>
      </c>
      <c r="BG66" t="e">
        <f>ROUND($G6*'Allocators Calc'!#REF!,0)</f>
        <v>#REF!</v>
      </c>
      <c r="BH66" t="e">
        <f>ROUND($G6*'Allocators Calc'!#REF!,0)</f>
        <v>#REF!</v>
      </c>
      <c r="BI66" t="e">
        <f>ROUND($G6*'Allocators Calc'!#REF!,0)</f>
        <v>#REF!</v>
      </c>
      <c r="BJ66" t="e">
        <f>ROUND($G6*'Allocators Calc'!#REF!,0)</f>
        <v>#REF!</v>
      </c>
      <c r="BK66" s="13" t="e">
        <f>ROUND($G6*'Allocators Calc'!#REF!,0)</f>
        <v>#REF!</v>
      </c>
      <c r="BL66">
        <f>ROUND($G6*'Allocators Calc'!AY66,0)</f>
        <v>0</v>
      </c>
      <c r="BM66">
        <f>ROUND($G6*'Allocators Calc'!AZ66,0)</f>
        <v>0</v>
      </c>
      <c r="BN66">
        <f>ROUND($G6*'Allocators Calc'!BA66,0)</f>
        <v>0</v>
      </c>
      <c r="BO66">
        <f>ROUND($G6*'Allocators Calc'!BB66,0)</f>
        <v>0</v>
      </c>
      <c r="BP66">
        <f>ROUND($G6*'Allocators Calc'!BC66,0)</f>
        <v>0</v>
      </c>
      <c r="BQ66" s="13">
        <f>ROUND($G6*'Allocators Calc'!BD66,0)</f>
        <v>0</v>
      </c>
      <c r="BR66" t="e">
        <f>ROUND($G6*'Allocators Calc'!#REF!,0)</f>
        <v>#REF!</v>
      </c>
      <c r="BS66" t="e">
        <f>ROUND($G6*'Allocators Calc'!#REF!,0)</f>
        <v>#REF!</v>
      </c>
      <c r="BT66" t="e">
        <f>ROUND($G6*'Allocators Calc'!#REF!,0)</f>
        <v>#REF!</v>
      </c>
      <c r="BU66" t="e">
        <f>ROUND($G6*'Allocators Calc'!#REF!,0)</f>
        <v>#REF!</v>
      </c>
      <c r="BV66" t="e">
        <f>ROUND($G6*'Allocators Calc'!#REF!,0)</f>
        <v>#REF!</v>
      </c>
      <c r="BW66" s="13" t="e">
        <f>ROUND($G6*'Allocators Calc'!#REF!,0)</f>
        <v>#REF!</v>
      </c>
      <c r="BX66" t="e">
        <f>ROUND($G6*'Allocators Calc'!#REF!,0)</f>
        <v>#REF!</v>
      </c>
      <c r="BY66" t="e">
        <f>ROUND($G6*'Allocators Calc'!#REF!,0)</f>
        <v>#REF!</v>
      </c>
      <c r="BZ66" t="e">
        <f>ROUND($G6*'Allocators Calc'!#REF!,0)</f>
        <v>#REF!</v>
      </c>
      <c r="CA66" t="e">
        <f>ROUND($G6*'Allocators Calc'!#REF!,0)</f>
        <v>#REF!</v>
      </c>
      <c r="CB66" t="e">
        <f>ROUND($G6*'Allocators Calc'!#REF!,0)</f>
        <v>#REF!</v>
      </c>
      <c r="CC66" s="13" t="e">
        <f>ROUND($G6*'Allocators Calc'!#REF!,0)</f>
        <v>#REF!</v>
      </c>
      <c r="CD66">
        <f>ROUND($G6*'Allocators Calc'!BE66,0)</f>
        <v>0</v>
      </c>
      <c r="CE66">
        <f>ROUND($G6*'Allocators Calc'!BF66,0)</f>
        <v>0</v>
      </c>
      <c r="CF66">
        <f>ROUND($G6*'Allocators Calc'!BG66,0)</f>
        <v>0</v>
      </c>
      <c r="CG66">
        <f>ROUND($G6*'Allocators Calc'!BH66,0)</f>
        <v>0</v>
      </c>
      <c r="CH66">
        <f>ROUND($G6*'Allocators Calc'!BI66,0)</f>
        <v>0</v>
      </c>
      <c r="CI66" s="13">
        <f>ROUND($G6*'Allocators Calc'!BJ66,0)</f>
        <v>0</v>
      </c>
      <c r="CJ66">
        <f>ROUND($G6*'Allocators Calc'!BK66,0)</f>
        <v>0</v>
      </c>
      <c r="CK66">
        <f>ROUND($G6*'Allocators Calc'!BL66,0)</f>
        <v>0</v>
      </c>
      <c r="CL66">
        <f>ROUND($G6*'Allocators Calc'!BM66,0)</f>
        <v>0</v>
      </c>
      <c r="CM66">
        <f>ROUND($G6*'Allocators Calc'!BN66,0)</f>
        <v>0</v>
      </c>
      <c r="CN66">
        <f>ROUND($G6*'Allocators Calc'!BO66,0)</f>
        <v>0</v>
      </c>
      <c r="CO66" s="13">
        <f>ROUND($G6*'Allocators Calc'!BP66,0)</f>
        <v>0</v>
      </c>
      <c r="CP66" t="e">
        <f>ROUND($G6*'Allocators Calc'!#REF!,0)</f>
        <v>#REF!</v>
      </c>
      <c r="CQ66" t="e">
        <f>ROUND($G6*'Allocators Calc'!#REF!,0)</f>
        <v>#REF!</v>
      </c>
      <c r="CR66" t="e">
        <f>ROUND($G6*'Allocators Calc'!#REF!,0)</f>
        <v>#REF!</v>
      </c>
      <c r="CS66" t="e">
        <f>ROUND($G6*'Allocators Calc'!#REF!,0)</f>
        <v>#REF!</v>
      </c>
      <c r="CT66" t="e">
        <f>ROUND($G6*'Allocators Calc'!#REF!,0)</f>
        <v>#REF!</v>
      </c>
      <c r="CU66" t="e">
        <f>ROUND($G6*'Allocators Calc'!#REF!,0)</f>
        <v>#REF!</v>
      </c>
    </row>
    <row r="67" spans="16:99" x14ac:dyDescent="0.2">
      <c r="P67" t="e">
        <f>ROUND($G7*'Allocators Calc'!#REF!,0)</f>
        <v>#REF!</v>
      </c>
      <c r="Q67" t="e">
        <f>ROUND($G7*'Allocators Calc'!#REF!,0)</f>
        <v>#REF!</v>
      </c>
      <c r="R67" t="e">
        <f>ROUND($G7*'Allocators Calc'!#REF!,0)</f>
        <v>#REF!</v>
      </c>
      <c r="S67" t="e">
        <f>ROUND($G7*'Allocators Calc'!#REF!,0)</f>
        <v>#REF!</v>
      </c>
      <c r="T67" t="e">
        <f>ROUND($G7*'Allocators Calc'!#REF!,0)</f>
        <v>#REF!</v>
      </c>
      <c r="U67" s="13" t="e">
        <f>ROUND($G7*'Allocators Calc'!#REF!,0)</f>
        <v>#REF!</v>
      </c>
      <c r="V67" t="e">
        <f>ROUND($G7*'Allocators Calc'!#REF!,0)</f>
        <v>#REF!</v>
      </c>
      <c r="W67" t="e">
        <f>ROUND($G7*'Allocators Calc'!#REF!,0)</f>
        <v>#REF!</v>
      </c>
      <c r="X67" t="e">
        <f>ROUND($G7*'Allocators Calc'!#REF!,0)</f>
        <v>#REF!</v>
      </c>
      <c r="Y67" t="e">
        <f>ROUND($G7*'Allocators Calc'!#REF!,0)</f>
        <v>#REF!</v>
      </c>
      <c r="Z67" t="e">
        <f>ROUND($G7*'Allocators Calc'!#REF!,0)</f>
        <v>#REF!</v>
      </c>
      <c r="AA67" s="13" t="e">
        <f>ROUND($G7*'Allocators Calc'!#REF!,0)</f>
        <v>#REF!</v>
      </c>
      <c r="AB67">
        <f>ROUND($G7*'Allocators Calc'!AG67,0)</f>
        <v>0</v>
      </c>
      <c r="AC67">
        <f>ROUND($G7*'Allocators Calc'!AH67,0)</f>
        <v>0</v>
      </c>
      <c r="AD67">
        <f>ROUND($G7*'Allocators Calc'!AI67,0)</f>
        <v>0</v>
      </c>
      <c r="AE67">
        <f>ROUND($G7*'Allocators Calc'!AJ67,0)</f>
        <v>0</v>
      </c>
      <c r="AF67">
        <f>ROUND($G7*'Allocators Calc'!AK67,0)</f>
        <v>0</v>
      </c>
      <c r="AG67" s="13">
        <f>ROUND($G7*'Allocators Calc'!AL67,0)</f>
        <v>0</v>
      </c>
      <c r="AH67" t="e">
        <f>ROUND($G7*'Allocators Calc'!#REF!,0)</f>
        <v>#REF!</v>
      </c>
      <c r="AI67" t="e">
        <f>ROUND($G7*'Allocators Calc'!#REF!,0)</f>
        <v>#REF!</v>
      </c>
      <c r="AJ67" t="e">
        <f>ROUND($G7*'Allocators Calc'!#REF!,0)</f>
        <v>#REF!</v>
      </c>
      <c r="AK67" t="e">
        <f>ROUND($G7*'Allocators Calc'!#REF!,0)</f>
        <v>#REF!</v>
      </c>
      <c r="AL67" t="e">
        <f>ROUND($G7*'Allocators Calc'!#REF!,0)</f>
        <v>#REF!</v>
      </c>
      <c r="AM67" s="13" t="e">
        <f>ROUND($G7*'Allocators Calc'!#REF!,0)</f>
        <v>#REF!</v>
      </c>
      <c r="AN67" t="e">
        <f>ROUND($G7*'Allocators Calc'!#REF!,0)</f>
        <v>#REF!</v>
      </c>
      <c r="AO67" t="e">
        <f>ROUND($G7*'Allocators Calc'!#REF!,0)</f>
        <v>#REF!</v>
      </c>
      <c r="AP67" t="e">
        <f>ROUND($G7*'Allocators Calc'!#REF!,0)</f>
        <v>#REF!</v>
      </c>
      <c r="AQ67" t="e">
        <f>ROUND($G7*'Allocators Calc'!#REF!,0)</f>
        <v>#REF!</v>
      </c>
      <c r="AR67" t="e">
        <f>ROUND($G7*'Allocators Calc'!#REF!,0)</f>
        <v>#REF!</v>
      </c>
      <c r="AS67" s="13" t="e">
        <f>ROUND($G7*'Allocators Calc'!#REF!,0)</f>
        <v>#REF!</v>
      </c>
      <c r="AT67">
        <f>ROUND($G7*'Allocators Calc'!AM67,0)</f>
        <v>0</v>
      </c>
      <c r="AU67">
        <f>ROUND($G7*'Allocators Calc'!AN67,0)</f>
        <v>0</v>
      </c>
      <c r="AV67">
        <f>ROUND($G7*'Allocators Calc'!AO67,0)</f>
        <v>0</v>
      </c>
      <c r="AW67">
        <f>ROUND($G7*'Allocators Calc'!AP67,0)</f>
        <v>0</v>
      </c>
      <c r="AX67">
        <f>ROUND($G7*'Allocators Calc'!AQ67,0)</f>
        <v>0</v>
      </c>
      <c r="AY67" s="13">
        <f>ROUND($G7*'Allocators Calc'!AR67,0)</f>
        <v>0</v>
      </c>
      <c r="AZ67">
        <f>ROUND($G7*'Allocators Calc'!AS67,0)</f>
        <v>0</v>
      </c>
      <c r="BA67">
        <f>ROUND($G7*'Allocators Calc'!AT67,0)</f>
        <v>0</v>
      </c>
      <c r="BB67">
        <f>ROUND($G7*'Allocators Calc'!AU67,0)</f>
        <v>0</v>
      </c>
      <c r="BC67">
        <f>ROUND($G7*'Allocators Calc'!AV67,0)</f>
        <v>0</v>
      </c>
      <c r="BD67">
        <f>ROUND($G7*'Allocators Calc'!AW67,0)</f>
        <v>0</v>
      </c>
      <c r="BE67" s="13">
        <f>ROUND($G7*'Allocators Calc'!AX67,0)</f>
        <v>0</v>
      </c>
      <c r="BF67" t="e">
        <f>ROUND($G7*'Allocators Calc'!#REF!,0)</f>
        <v>#REF!</v>
      </c>
      <c r="BG67" t="e">
        <f>ROUND($G7*'Allocators Calc'!#REF!,0)</f>
        <v>#REF!</v>
      </c>
      <c r="BH67" t="e">
        <f>ROUND($G7*'Allocators Calc'!#REF!,0)</f>
        <v>#REF!</v>
      </c>
      <c r="BI67" t="e">
        <f>ROUND($G7*'Allocators Calc'!#REF!,0)</f>
        <v>#REF!</v>
      </c>
      <c r="BJ67" t="e">
        <f>ROUND($G7*'Allocators Calc'!#REF!,0)</f>
        <v>#REF!</v>
      </c>
      <c r="BK67" s="13" t="e">
        <f>ROUND($G7*'Allocators Calc'!#REF!,0)</f>
        <v>#REF!</v>
      </c>
      <c r="BL67">
        <f>ROUND($G7*'Allocators Calc'!AY67,0)</f>
        <v>0</v>
      </c>
      <c r="BM67">
        <f>ROUND($G7*'Allocators Calc'!AZ67,0)</f>
        <v>0</v>
      </c>
      <c r="BN67">
        <f>ROUND($G7*'Allocators Calc'!BA67,0)</f>
        <v>0</v>
      </c>
      <c r="BO67">
        <f>ROUND($G7*'Allocators Calc'!BB67,0)</f>
        <v>0</v>
      </c>
      <c r="BP67">
        <f>ROUND($G7*'Allocators Calc'!BC67,0)</f>
        <v>0</v>
      </c>
      <c r="BQ67" s="13">
        <f>ROUND($G7*'Allocators Calc'!BD67,0)</f>
        <v>0</v>
      </c>
      <c r="BR67" t="e">
        <f>ROUND($G7*'Allocators Calc'!#REF!,0)</f>
        <v>#REF!</v>
      </c>
      <c r="BS67" t="e">
        <f>ROUND($G7*'Allocators Calc'!#REF!,0)</f>
        <v>#REF!</v>
      </c>
      <c r="BT67" t="e">
        <f>ROUND($G7*'Allocators Calc'!#REF!,0)</f>
        <v>#REF!</v>
      </c>
      <c r="BU67" t="e">
        <f>ROUND($G7*'Allocators Calc'!#REF!,0)</f>
        <v>#REF!</v>
      </c>
      <c r="BV67" t="e">
        <f>ROUND($G7*'Allocators Calc'!#REF!,0)</f>
        <v>#REF!</v>
      </c>
      <c r="BW67" s="13" t="e">
        <f>ROUND($G7*'Allocators Calc'!#REF!,0)</f>
        <v>#REF!</v>
      </c>
      <c r="BX67" t="e">
        <f>ROUND($G7*'Allocators Calc'!#REF!,0)</f>
        <v>#REF!</v>
      </c>
      <c r="BY67" t="e">
        <f>ROUND($G7*'Allocators Calc'!#REF!,0)</f>
        <v>#REF!</v>
      </c>
      <c r="BZ67" t="e">
        <f>ROUND($G7*'Allocators Calc'!#REF!,0)</f>
        <v>#REF!</v>
      </c>
      <c r="CA67" t="e">
        <f>ROUND($G7*'Allocators Calc'!#REF!,0)</f>
        <v>#REF!</v>
      </c>
      <c r="CB67" t="e">
        <f>ROUND($G7*'Allocators Calc'!#REF!,0)</f>
        <v>#REF!</v>
      </c>
      <c r="CC67" s="13" t="e">
        <f>ROUND($G7*'Allocators Calc'!#REF!,0)</f>
        <v>#REF!</v>
      </c>
      <c r="CD67">
        <f>ROUND($G7*'Allocators Calc'!BE67,0)</f>
        <v>0</v>
      </c>
      <c r="CE67">
        <f>ROUND($G7*'Allocators Calc'!BF67,0)</f>
        <v>0</v>
      </c>
      <c r="CF67">
        <f>ROUND($G7*'Allocators Calc'!BG67,0)</f>
        <v>0</v>
      </c>
      <c r="CG67">
        <f>ROUND($G7*'Allocators Calc'!BH67,0)</f>
        <v>0</v>
      </c>
      <c r="CH67">
        <f>ROUND($G7*'Allocators Calc'!BI67,0)</f>
        <v>0</v>
      </c>
      <c r="CI67" s="13">
        <f>ROUND($G7*'Allocators Calc'!BJ67,0)</f>
        <v>0</v>
      </c>
      <c r="CJ67">
        <f>ROUND($G7*'Allocators Calc'!BK67,0)</f>
        <v>0</v>
      </c>
      <c r="CK67">
        <f>ROUND($G7*'Allocators Calc'!BL67,0)</f>
        <v>0</v>
      </c>
      <c r="CL67">
        <f>ROUND($G7*'Allocators Calc'!BM67,0)</f>
        <v>0</v>
      </c>
      <c r="CM67">
        <f>ROUND($G7*'Allocators Calc'!BN67,0)</f>
        <v>0</v>
      </c>
      <c r="CN67">
        <f>ROUND($G7*'Allocators Calc'!BO67,0)</f>
        <v>0</v>
      </c>
      <c r="CO67" s="13">
        <f>ROUND($G7*'Allocators Calc'!BP67,0)</f>
        <v>0</v>
      </c>
      <c r="CP67" t="e">
        <f>ROUND($G7*'Allocators Calc'!#REF!,0)</f>
        <v>#REF!</v>
      </c>
      <c r="CQ67" t="e">
        <f>ROUND($G7*'Allocators Calc'!#REF!,0)</f>
        <v>#REF!</v>
      </c>
      <c r="CR67" t="e">
        <f>ROUND($G7*'Allocators Calc'!#REF!,0)</f>
        <v>#REF!</v>
      </c>
      <c r="CS67" t="e">
        <f>ROUND($G7*'Allocators Calc'!#REF!,0)</f>
        <v>#REF!</v>
      </c>
      <c r="CT67" t="e">
        <f>ROUND($G7*'Allocators Calc'!#REF!,0)</f>
        <v>#REF!</v>
      </c>
      <c r="CU67" t="e">
        <f>ROUND($G7*'Allocators Calc'!#REF!,0)</f>
        <v>#REF!</v>
      </c>
    </row>
    <row r="68" spans="16:99" x14ac:dyDescent="0.2">
      <c r="P68" t="e">
        <f>ROUND($G8*'Allocators Calc'!#REF!,0)</f>
        <v>#REF!</v>
      </c>
      <c r="Q68" t="e">
        <f>ROUND($G8*'Allocators Calc'!#REF!,0)</f>
        <v>#REF!</v>
      </c>
      <c r="R68" t="e">
        <f>ROUND($G8*'Allocators Calc'!#REF!,0)</f>
        <v>#REF!</v>
      </c>
      <c r="S68" t="e">
        <f>ROUND($G8*'Allocators Calc'!#REF!,0)</f>
        <v>#REF!</v>
      </c>
      <c r="T68" t="e">
        <f>ROUND($G8*'Allocators Calc'!#REF!,0)</f>
        <v>#REF!</v>
      </c>
      <c r="U68" s="13" t="e">
        <f>ROUND($G8*'Allocators Calc'!#REF!,0)</f>
        <v>#REF!</v>
      </c>
      <c r="V68" t="e">
        <f>ROUND($G8*'Allocators Calc'!#REF!,0)</f>
        <v>#REF!</v>
      </c>
      <c r="W68" t="e">
        <f>ROUND($G8*'Allocators Calc'!#REF!,0)</f>
        <v>#REF!</v>
      </c>
      <c r="X68" t="e">
        <f>ROUND($G8*'Allocators Calc'!#REF!,0)</f>
        <v>#REF!</v>
      </c>
      <c r="Y68" t="e">
        <f>ROUND($G8*'Allocators Calc'!#REF!,0)</f>
        <v>#REF!</v>
      </c>
      <c r="Z68" t="e">
        <f>ROUND($G8*'Allocators Calc'!#REF!,0)</f>
        <v>#REF!</v>
      </c>
      <c r="AA68" s="13" t="e">
        <f>ROUND($G8*'Allocators Calc'!#REF!,0)</f>
        <v>#REF!</v>
      </c>
      <c r="AB68">
        <f>ROUND($G8*'Allocators Calc'!AG68,0)</f>
        <v>0</v>
      </c>
      <c r="AC68">
        <f>ROUND($G8*'Allocators Calc'!AH68,0)</f>
        <v>0</v>
      </c>
      <c r="AD68">
        <f>ROUND($G8*'Allocators Calc'!AI68,0)</f>
        <v>0</v>
      </c>
      <c r="AE68">
        <f>ROUND($G8*'Allocators Calc'!AJ68,0)</f>
        <v>0</v>
      </c>
      <c r="AF68">
        <f>ROUND($G8*'Allocators Calc'!AK68,0)</f>
        <v>0</v>
      </c>
      <c r="AG68" s="13">
        <f>ROUND($G8*'Allocators Calc'!AL68,0)</f>
        <v>0</v>
      </c>
      <c r="AH68" t="e">
        <f>ROUND($G8*'Allocators Calc'!#REF!,0)</f>
        <v>#REF!</v>
      </c>
      <c r="AI68" t="e">
        <f>ROUND($G8*'Allocators Calc'!#REF!,0)</f>
        <v>#REF!</v>
      </c>
      <c r="AJ68" t="e">
        <f>ROUND($G8*'Allocators Calc'!#REF!,0)</f>
        <v>#REF!</v>
      </c>
      <c r="AK68" t="e">
        <f>ROUND($G8*'Allocators Calc'!#REF!,0)</f>
        <v>#REF!</v>
      </c>
      <c r="AL68" t="e">
        <f>ROUND($G8*'Allocators Calc'!#REF!,0)</f>
        <v>#REF!</v>
      </c>
      <c r="AM68" s="13" t="e">
        <f>ROUND($G8*'Allocators Calc'!#REF!,0)</f>
        <v>#REF!</v>
      </c>
      <c r="AN68" t="e">
        <f>ROUND($G8*'Allocators Calc'!#REF!,0)</f>
        <v>#REF!</v>
      </c>
      <c r="AO68" t="e">
        <f>ROUND($G8*'Allocators Calc'!#REF!,0)</f>
        <v>#REF!</v>
      </c>
      <c r="AP68" t="e">
        <f>ROUND($G8*'Allocators Calc'!#REF!,0)</f>
        <v>#REF!</v>
      </c>
      <c r="AQ68" t="e">
        <f>ROUND($G8*'Allocators Calc'!#REF!,0)</f>
        <v>#REF!</v>
      </c>
      <c r="AR68" t="e">
        <f>ROUND($G8*'Allocators Calc'!#REF!,0)</f>
        <v>#REF!</v>
      </c>
      <c r="AS68" s="13" t="e">
        <f>ROUND($G8*'Allocators Calc'!#REF!,0)</f>
        <v>#REF!</v>
      </c>
      <c r="AT68">
        <f>ROUND($G8*'Allocators Calc'!AM68,0)</f>
        <v>0</v>
      </c>
      <c r="AU68">
        <f>ROUND($G8*'Allocators Calc'!AN68,0)</f>
        <v>0</v>
      </c>
      <c r="AV68">
        <f>ROUND($G8*'Allocators Calc'!AO68,0)</f>
        <v>0</v>
      </c>
      <c r="AW68">
        <f>ROUND($G8*'Allocators Calc'!AP68,0)</f>
        <v>0</v>
      </c>
      <c r="AX68">
        <f>ROUND($G8*'Allocators Calc'!AQ68,0)</f>
        <v>0</v>
      </c>
      <c r="AY68" s="13">
        <f>ROUND($G8*'Allocators Calc'!AR68,0)</f>
        <v>0</v>
      </c>
      <c r="AZ68">
        <f>ROUND($G8*'Allocators Calc'!AS68,0)</f>
        <v>0</v>
      </c>
      <c r="BA68">
        <f>ROUND($G8*'Allocators Calc'!AT68,0)</f>
        <v>0</v>
      </c>
      <c r="BB68">
        <f>ROUND($G8*'Allocators Calc'!AU68,0)</f>
        <v>0</v>
      </c>
      <c r="BC68">
        <f>ROUND($G8*'Allocators Calc'!AV68,0)</f>
        <v>0</v>
      </c>
      <c r="BD68">
        <f>ROUND($G8*'Allocators Calc'!AW68,0)</f>
        <v>0</v>
      </c>
      <c r="BE68" s="13">
        <f>ROUND($G8*'Allocators Calc'!AX68,0)</f>
        <v>0</v>
      </c>
      <c r="BF68" t="e">
        <f>ROUND($G8*'Allocators Calc'!#REF!,0)</f>
        <v>#REF!</v>
      </c>
      <c r="BG68" t="e">
        <f>ROUND($G8*'Allocators Calc'!#REF!,0)</f>
        <v>#REF!</v>
      </c>
      <c r="BH68" t="e">
        <f>ROUND($G8*'Allocators Calc'!#REF!,0)</f>
        <v>#REF!</v>
      </c>
      <c r="BI68" t="e">
        <f>ROUND($G8*'Allocators Calc'!#REF!,0)</f>
        <v>#REF!</v>
      </c>
      <c r="BJ68" t="e">
        <f>ROUND($G8*'Allocators Calc'!#REF!,0)</f>
        <v>#REF!</v>
      </c>
      <c r="BK68" s="13" t="e">
        <f>ROUND($G8*'Allocators Calc'!#REF!,0)</f>
        <v>#REF!</v>
      </c>
      <c r="BL68">
        <f>ROUND($G8*'Allocators Calc'!AY68,0)</f>
        <v>0</v>
      </c>
      <c r="BM68">
        <f>ROUND($G8*'Allocators Calc'!AZ68,0)</f>
        <v>0</v>
      </c>
      <c r="BN68">
        <f>ROUND($G8*'Allocators Calc'!BA68,0)</f>
        <v>0</v>
      </c>
      <c r="BO68">
        <f>ROUND($G8*'Allocators Calc'!BB68,0)</f>
        <v>0</v>
      </c>
      <c r="BP68">
        <f>ROUND($G8*'Allocators Calc'!BC68,0)</f>
        <v>0</v>
      </c>
      <c r="BQ68" s="13">
        <f>ROUND($G8*'Allocators Calc'!BD68,0)</f>
        <v>0</v>
      </c>
      <c r="BR68" t="e">
        <f>ROUND($G8*'Allocators Calc'!#REF!,0)</f>
        <v>#REF!</v>
      </c>
      <c r="BS68" t="e">
        <f>ROUND($G8*'Allocators Calc'!#REF!,0)</f>
        <v>#REF!</v>
      </c>
      <c r="BT68" t="e">
        <f>ROUND($G8*'Allocators Calc'!#REF!,0)</f>
        <v>#REF!</v>
      </c>
      <c r="BU68" t="e">
        <f>ROUND($G8*'Allocators Calc'!#REF!,0)</f>
        <v>#REF!</v>
      </c>
      <c r="BV68" t="e">
        <f>ROUND($G8*'Allocators Calc'!#REF!,0)</f>
        <v>#REF!</v>
      </c>
      <c r="BW68" s="13" t="e">
        <f>ROUND($G8*'Allocators Calc'!#REF!,0)</f>
        <v>#REF!</v>
      </c>
      <c r="BX68" t="e">
        <f>ROUND($G8*'Allocators Calc'!#REF!,0)</f>
        <v>#REF!</v>
      </c>
      <c r="BY68" t="e">
        <f>ROUND($G8*'Allocators Calc'!#REF!,0)</f>
        <v>#REF!</v>
      </c>
      <c r="BZ68" t="e">
        <f>ROUND($G8*'Allocators Calc'!#REF!,0)</f>
        <v>#REF!</v>
      </c>
      <c r="CA68" t="e">
        <f>ROUND($G8*'Allocators Calc'!#REF!,0)</f>
        <v>#REF!</v>
      </c>
      <c r="CB68" t="e">
        <f>ROUND($G8*'Allocators Calc'!#REF!,0)</f>
        <v>#REF!</v>
      </c>
      <c r="CC68" s="13" t="e">
        <f>ROUND($G8*'Allocators Calc'!#REF!,0)</f>
        <v>#REF!</v>
      </c>
      <c r="CD68">
        <f>ROUND($G8*'Allocators Calc'!BE68,0)</f>
        <v>0</v>
      </c>
      <c r="CE68">
        <f>ROUND($G8*'Allocators Calc'!BF68,0)</f>
        <v>0</v>
      </c>
      <c r="CF68">
        <f>ROUND($G8*'Allocators Calc'!BG68,0)</f>
        <v>0</v>
      </c>
      <c r="CG68">
        <f>ROUND($G8*'Allocators Calc'!BH68,0)</f>
        <v>0</v>
      </c>
      <c r="CH68">
        <f>ROUND($G8*'Allocators Calc'!BI68,0)</f>
        <v>0</v>
      </c>
      <c r="CI68" s="13">
        <f>ROUND($G8*'Allocators Calc'!BJ68,0)</f>
        <v>0</v>
      </c>
      <c r="CJ68">
        <f>ROUND($G8*'Allocators Calc'!BK68,0)</f>
        <v>0</v>
      </c>
      <c r="CK68">
        <f>ROUND($G8*'Allocators Calc'!BL68,0)</f>
        <v>0</v>
      </c>
      <c r="CL68">
        <f>ROUND($G8*'Allocators Calc'!BM68,0)</f>
        <v>0</v>
      </c>
      <c r="CM68">
        <f>ROUND($G8*'Allocators Calc'!BN68,0)</f>
        <v>0</v>
      </c>
      <c r="CN68">
        <f>ROUND($G8*'Allocators Calc'!BO68,0)</f>
        <v>0</v>
      </c>
      <c r="CO68" s="13">
        <f>ROUND($G8*'Allocators Calc'!BP68,0)</f>
        <v>0</v>
      </c>
      <c r="CP68" t="e">
        <f>ROUND($G8*'Allocators Calc'!#REF!,0)</f>
        <v>#REF!</v>
      </c>
      <c r="CQ68" t="e">
        <f>ROUND($G8*'Allocators Calc'!#REF!,0)</f>
        <v>#REF!</v>
      </c>
      <c r="CR68" t="e">
        <f>ROUND($G8*'Allocators Calc'!#REF!,0)</f>
        <v>#REF!</v>
      </c>
      <c r="CS68" t="e">
        <f>ROUND($G8*'Allocators Calc'!#REF!,0)</f>
        <v>#REF!</v>
      </c>
      <c r="CT68" t="e">
        <f>ROUND($G8*'Allocators Calc'!#REF!,0)</f>
        <v>#REF!</v>
      </c>
      <c r="CU68" t="e">
        <f>ROUND($G8*'Allocators Calc'!#REF!,0)</f>
        <v>#REF!</v>
      </c>
    </row>
    <row r="69" spans="16:99" x14ac:dyDescent="0.2">
      <c r="P69" t="e">
        <f>ROUND($G9*'Allocators Calc'!#REF!,0)</f>
        <v>#REF!</v>
      </c>
      <c r="Q69" t="e">
        <f>ROUND($G9*'Allocators Calc'!#REF!,0)</f>
        <v>#REF!</v>
      </c>
      <c r="R69" t="e">
        <f>ROUND($G9*'Allocators Calc'!#REF!,0)</f>
        <v>#REF!</v>
      </c>
      <c r="S69" t="e">
        <f>ROUND($G9*'Allocators Calc'!#REF!,0)</f>
        <v>#REF!</v>
      </c>
      <c r="T69" t="e">
        <f>ROUND($G9*'Allocators Calc'!#REF!,0)</f>
        <v>#REF!</v>
      </c>
      <c r="U69" s="13" t="e">
        <f>ROUND($G9*'Allocators Calc'!#REF!,0)</f>
        <v>#REF!</v>
      </c>
      <c r="V69" t="e">
        <f>ROUND($G9*'Allocators Calc'!#REF!,0)</f>
        <v>#REF!</v>
      </c>
      <c r="W69" t="e">
        <f>ROUND($G9*'Allocators Calc'!#REF!,0)</f>
        <v>#REF!</v>
      </c>
      <c r="X69" t="e">
        <f>ROUND($G9*'Allocators Calc'!#REF!,0)</f>
        <v>#REF!</v>
      </c>
      <c r="Y69" t="e">
        <f>ROUND($G9*'Allocators Calc'!#REF!,0)</f>
        <v>#REF!</v>
      </c>
      <c r="Z69" t="e">
        <f>ROUND($G9*'Allocators Calc'!#REF!,0)</f>
        <v>#REF!</v>
      </c>
      <c r="AA69" s="13" t="e">
        <f>ROUND($G9*'Allocators Calc'!#REF!,0)</f>
        <v>#REF!</v>
      </c>
      <c r="AB69">
        <f>ROUND($G9*'Allocators Calc'!AG69,0)</f>
        <v>0</v>
      </c>
      <c r="AC69">
        <f>ROUND($G9*'Allocators Calc'!AH69,0)</f>
        <v>0</v>
      </c>
      <c r="AD69">
        <f>ROUND($G9*'Allocators Calc'!AI69,0)</f>
        <v>0</v>
      </c>
      <c r="AE69">
        <f>ROUND($G9*'Allocators Calc'!AJ69,0)</f>
        <v>0</v>
      </c>
      <c r="AF69">
        <f>ROUND($G9*'Allocators Calc'!AK69,0)</f>
        <v>0</v>
      </c>
      <c r="AG69" s="13">
        <f>ROUND($G9*'Allocators Calc'!AL69,0)</f>
        <v>0</v>
      </c>
      <c r="AH69" t="e">
        <f>ROUND($G9*'Allocators Calc'!#REF!,0)</f>
        <v>#REF!</v>
      </c>
      <c r="AI69" t="e">
        <f>ROUND($G9*'Allocators Calc'!#REF!,0)</f>
        <v>#REF!</v>
      </c>
      <c r="AJ69" t="e">
        <f>ROUND($G9*'Allocators Calc'!#REF!,0)</f>
        <v>#REF!</v>
      </c>
      <c r="AK69" t="e">
        <f>ROUND($G9*'Allocators Calc'!#REF!,0)</f>
        <v>#REF!</v>
      </c>
      <c r="AL69" t="e">
        <f>ROUND($G9*'Allocators Calc'!#REF!,0)</f>
        <v>#REF!</v>
      </c>
      <c r="AM69" s="13" t="e">
        <f>ROUND($G9*'Allocators Calc'!#REF!,0)</f>
        <v>#REF!</v>
      </c>
      <c r="AN69" t="e">
        <f>ROUND($G9*'Allocators Calc'!#REF!,0)</f>
        <v>#REF!</v>
      </c>
      <c r="AO69" t="e">
        <f>ROUND($G9*'Allocators Calc'!#REF!,0)</f>
        <v>#REF!</v>
      </c>
      <c r="AP69" t="e">
        <f>ROUND($G9*'Allocators Calc'!#REF!,0)</f>
        <v>#REF!</v>
      </c>
      <c r="AQ69" t="e">
        <f>ROUND($G9*'Allocators Calc'!#REF!,0)</f>
        <v>#REF!</v>
      </c>
      <c r="AR69" t="e">
        <f>ROUND($G9*'Allocators Calc'!#REF!,0)</f>
        <v>#REF!</v>
      </c>
      <c r="AS69" s="13" t="e">
        <f>ROUND($G9*'Allocators Calc'!#REF!,0)</f>
        <v>#REF!</v>
      </c>
      <c r="AT69">
        <f>ROUND($G9*'Allocators Calc'!AM69,0)</f>
        <v>0</v>
      </c>
      <c r="AU69">
        <f>ROUND($G9*'Allocators Calc'!AN69,0)</f>
        <v>0</v>
      </c>
      <c r="AV69">
        <f>ROUND($G9*'Allocators Calc'!AO69,0)</f>
        <v>0</v>
      </c>
      <c r="AW69">
        <f>ROUND($G9*'Allocators Calc'!AP69,0)</f>
        <v>0</v>
      </c>
      <c r="AX69">
        <f>ROUND($G9*'Allocators Calc'!AQ69,0)</f>
        <v>0</v>
      </c>
      <c r="AY69" s="13">
        <f>ROUND($G9*'Allocators Calc'!AR69,0)</f>
        <v>0</v>
      </c>
      <c r="AZ69">
        <f>ROUND($G9*'Allocators Calc'!AS69,0)</f>
        <v>0</v>
      </c>
      <c r="BA69">
        <f>ROUND($G9*'Allocators Calc'!AT69,0)</f>
        <v>0</v>
      </c>
      <c r="BB69">
        <f>ROUND($G9*'Allocators Calc'!AU69,0)</f>
        <v>0</v>
      </c>
      <c r="BC69">
        <f>ROUND($G9*'Allocators Calc'!AV69,0)</f>
        <v>0</v>
      </c>
      <c r="BD69">
        <f>ROUND($G9*'Allocators Calc'!AW69,0)</f>
        <v>0</v>
      </c>
      <c r="BE69" s="13">
        <f>ROUND($G9*'Allocators Calc'!AX69,0)</f>
        <v>0</v>
      </c>
      <c r="BF69" t="e">
        <f>ROUND($G9*'Allocators Calc'!#REF!,0)</f>
        <v>#REF!</v>
      </c>
      <c r="BG69" t="e">
        <f>ROUND($G9*'Allocators Calc'!#REF!,0)</f>
        <v>#REF!</v>
      </c>
      <c r="BH69" t="e">
        <f>ROUND($G9*'Allocators Calc'!#REF!,0)</f>
        <v>#REF!</v>
      </c>
      <c r="BI69" t="e">
        <f>ROUND($G9*'Allocators Calc'!#REF!,0)</f>
        <v>#REF!</v>
      </c>
      <c r="BJ69" t="e">
        <f>ROUND($G9*'Allocators Calc'!#REF!,0)</f>
        <v>#REF!</v>
      </c>
      <c r="BK69" s="13" t="e">
        <f>ROUND($G9*'Allocators Calc'!#REF!,0)</f>
        <v>#REF!</v>
      </c>
      <c r="BL69">
        <f>ROUND($G9*'Allocators Calc'!AY69,0)</f>
        <v>0</v>
      </c>
      <c r="BM69">
        <f>ROUND($G9*'Allocators Calc'!AZ69,0)</f>
        <v>0</v>
      </c>
      <c r="BN69">
        <f>ROUND($G9*'Allocators Calc'!BA69,0)</f>
        <v>0</v>
      </c>
      <c r="BO69">
        <f>ROUND($G9*'Allocators Calc'!BB69,0)</f>
        <v>0</v>
      </c>
      <c r="BP69">
        <f>ROUND($G9*'Allocators Calc'!BC69,0)</f>
        <v>0</v>
      </c>
      <c r="BQ69" s="13">
        <f>ROUND($G9*'Allocators Calc'!BD69,0)</f>
        <v>0</v>
      </c>
      <c r="BR69" t="e">
        <f>ROUND($G9*'Allocators Calc'!#REF!,0)</f>
        <v>#REF!</v>
      </c>
      <c r="BS69" t="e">
        <f>ROUND($G9*'Allocators Calc'!#REF!,0)</f>
        <v>#REF!</v>
      </c>
      <c r="BT69" t="e">
        <f>ROUND($G9*'Allocators Calc'!#REF!,0)</f>
        <v>#REF!</v>
      </c>
      <c r="BU69" t="e">
        <f>ROUND($G9*'Allocators Calc'!#REF!,0)</f>
        <v>#REF!</v>
      </c>
      <c r="BV69" t="e">
        <f>ROUND($G9*'Allocators Calc'!#REF!,0)</f>
        <v>#REF!</v>
      </c>
      <c r="BW69" s="13" t="e">
        <f>ROUND($G9*'Allocators Calc'!#REF!,0)</f>
        <v>#REF!</v>
      </c>
      <c r="BX69" t="e">
        <f>ROUND($G9*'Allocators Calc'!#REF!,0)</f>
        <v>#REF!</v>
      </c>
      <c r="BY69" t="e">
        <f>ROUND($G9*'Allocators Calc'!#REF!,0)</f>
        <v>#REF!</v>
      </c>
      <c r="BZ69" t="e">
        <f>ROUND($G9*'Allocators Calc'!#REF!,0)</f>
        <v>#REF!</v>
      </c>
      <c r="CA69" t="e">
        <f>ROUND($G9*'Allocators Calc'!#REF!,0)</f>
        <v>#REF!</v>
      </c>
      <c r="CB69" t="e">
        <f>ROUND($G9*'Allocators Calc'!#REF!,0)</f>
        <v>#REF!</v>
      </c>
      <c r="CC69" s="13" t="e">
        <f>ROUND($G9*'Allocators Calc'!#REF!,0)</f>
        <v>#REF!</v>
      </c>
      <c r="CD69">
        <f>ROUND($G9*'Allocators Calc'!BE69,0)</f>
        <v>0</v>
      </c>
      <c r="CE69">
        <f>ROUND($G9*'Allocators Calc'!BF69,0)</f>
        <v>0</v>
      </c>
      <c r="CF69">
        <f>ROUND($G9*'Allocators Calc'!BG69,0)</f>
        <v>0</v>
      </c>
      <c r="CG69">
        <f>ROUND($G9*'Allocators Calc'!BH69,0)</f>
        <v>0</v>
      </c>
      <c r="CH69">
        <f>ROUND($G9*'Allocators Calc'!BI69,0)</f>
        <v>0</v>
      </c>
      <c r="CI69" s="13">
        <f>ROUND($G9*'Allocators Calc'!BJ69,0)</f>
        <v>0</v>
      </c>
      <c r="CJ69">
        <f>ROUND($G9*'Allocators Calc'!BK69,0)</f>
        <v>0</v>
      </c>
      <c r="CK69">
        <f>ROUND($G9*'Allocators Calc'!BL69,0)</f>
        <v>0</v>
      </c>
      <c r="CL69">
        <f>ROUND($G9*'Allocators Calc'!BM69,0)</f>
        <v>0</v>
      </c>
      <c r="CM69">
        <f>ROUND($G9*'Allocators Calc'!BN69,0)</f>
        <v>0</v>
      </c>
      <c r="CN69">
        <f>ROUND($G9*'Allocators Calc'!BO69,0)</f>
        <v>0</v>
      </c>
      <c r="CO69" s="13">
        <f>ROUND($G9*'Allocators Calc'!BP69,0)</f>
        <v>0</v>
      </c>
      <c r="CP69" t="e">
        <f>ROUND($G9*'Allocators Calc'!#REF!,0)</f>
        <v>#REF!</v>
      </c>
      <c r="CQ69" t="e">
        <f>ROUND($G9*'Allocators Calc'!#REF!,0)</f>
        <v>#REF!</v>
      </c>
      <c r="CR69" t="e">
        <f>ROUND($G9*'Allocators Calc'!#REF!,0)</f>
        <v>#REF!</v>
      </c>
      <c r="CS69" t="e">
        <f>ROUND($G9*'Allocators Calc'!#REF!,0)</f>
        <v>#REF!</v>
      </c>
      <c r="CT69" t="e">
        <f>ROUND($G9*'Allocators Calc'!#REF!,0)</f>
        <v>#REF!</v>
      </c>
      <c r="CU69" t="e">
        <f>ROUND($G9*'Allocators Calc'!#REF!,0)</f>
        <v>#REF!</v>
      </c>
    </row>
    <row r="70" spans="16:99" x14ac:dyDescent="0.2">
      <c r="P70" t="e">
        <f>ROUND($G10*'Allocators Calc'!#REF!,0)</f>
        <v>#REF!</v>
      </c>
      <c r="Q70" t="e">
        <f>ROUND($G10*'Allocators Calc'!#REF!,0)</f>
        <v>#REF!</v>
      </c>
      <c r="R70" t="e">
        <f>ROUND($G10*'Allocators Calc'!#REF!,0)</f>
        <v>#REF!</v>
      </c>
      <c r="S70" t="e">
        <f>ROUND($G10*'Allocators Calc'!#REF!,0)</f>
        <v>#REF!</v>
      </c>
      <c r="T70" t="e">
        <f>ROUND($G10*'Allocators Calc'!#REF!,0)</f>
        <v>#REF!</v>
      </c>
      <c r="U70" s="13" t="e">
        <f>ROUND($G10*'Allocators Calc'!#REF!,0)</f>
        <v>#REF!</v>
      </c>
      <c r="V70" t="e">
        <f>ROUND($G10*'Allocators Calc'!#REF!,0)</f>
        <v>#REF!</v>
      </c>
      <c r="W70" t="e">
        <f>ROUND($G10*'Allocators Calc'!#REF!,0)</f>
        <v>#REF!</v>
      </c>
      <c r="X70" t="e">
        <f>ROUND($G10*'Allocators Calc'!#REF!,0)</f>
        <v>#REF!</v>
      </c>
      <c r="Y70" t="e">
        <f>ROUND($G10*'Allocators Calc'!#REF!,0)</f>
        <v>#REF!</v>
      </c>
      <c r="Z70" t="e">
        <f>ROUND($G10*'Allocators Calc'!#REF!,0)</f>
        <v>#REF!</v>
      </c>
      <c r="AA70" s="13" t="e">
        <f>ROUND($G10*'Allocators Calc'!#REF!,0)</f>
        <v>#REF!</v>
      </c>
      <c r="AB70">
        <f>ROUND($G10*'Allocators Calc'!AG70,0)</f>
        <v>0</v>
      </c>
      <c r="AC70">
        <f>ROUND($G10*'Allocators Calc'!AH70,0)</f>
        <v>0</v>
      </c>
      <c r="AD70">
        <f>ROUND($G10*'Allocators Calc'!AI70,0)</f>
        <v>0</v>
      </c>
      <c r="AE70">
        <f>ROUND($G10*'Allocators Calc'!AJ70,0)</f>
        <v>0</v>
      </c>
      <c r="AF70">
        <f>ROUND($G10*'Allocators Calc'!AK70,0)</f>
        <v>0</v>
      </c>
      <c r="AG70" s="13">
        <f>ROUND($G10*'Allocators Calc'!AL70,0)</f>
        <v>0</v>
      </c>
      <c r="AH70" t="e">
        <f>ROUND($G10*'Allocators Calc'!#REF!,0)</f>
        <v>#REF!</v>
      </c>
      <c r="AI70" t="e">
        <f>ROUND($G10*'Allocators Calc'!#REF!,0)</f>
        <v>#REF!</v>
      </c>
      <c r="AJ70" t="e">
        <f>ROUND($G10*'Allocators Calc'!#REF!,0)</f>
        <v>#REF!</v>
      </c>
      <c r="AK70" t="e">
        <f>ROUND($G10*'Allocators Calc'!#REF!,0)</f>
        <v>#REF!</v>
      </c>
      <c r="AL70" t="e">
        <f>ROUND($G10*'Allocators Calc'!#REF!,0)</f>
        <v>#REF!</v>
      </c>
      <c r="AM70" s="13" t="e">
        <f>ROUND($G10*'Allocators Calc'!#REF!,0)</f>
        <v>#REF!</v>
      </c>
      <c r="AN70" t="e">
        <f>ROUND($G10*'Allocators Calc'!#REF!,0)</f>
        <v>#REF!</v>
      </c>
      <c r="AO70" t="e">
        <f>ROUND($G10*'Allocators Calc'!#REF!,0)</f>
        <v>#REF!</v>
      </c>
      <c r="AP70" t="e">
        <f>ROUND($G10*'Allocators Calc'!#REF!,0)</f>
        <v>#REF!</v>
      </c>
      <c r="AQ70" t="e">
        <f>ROUND($G10*'Allocators Calc'!#REF!,0)</f>
        <v>#REF!</v>
      </c>
      <c r="AR70" t="e">
        <f>ROUND($G10*'Allocators Calc'!#REF!,0)</f>
        <v>#REF!</v>
      </c>
      <c r="AS70" s="13" t="e">
        <f>ROUND($G10*'Allocators Calc'!#REF!,0)</f>
        <v>#REF!</v>
      </c>
      <c r="AT70">
        <f>ROUND($G10*'Allocators Calc'!AM70,0)</f>
        <v>0</v>
      </c>
      <c r="AU70">
        <f>ROUND($G10*'Allocators Calc'!AN70,0)</f>
        <v>0</v>
      </c>
      <c r="AV70">
        <f>ROUND($G10*'Allocators Calc'!AO70,0)</f>
        <v>0</v>
      </c>
      <c r="AW70">
        <f>ROUND($G10*'Allocators Calc'!AP70,0)</f>
        <v>0</v>
      </c>
      <c r="AX70">
        <f>ROUND($G10*'Allocators Calc'!AQ70,0)</f>
        <v>0</v>
      </c>
      <c r="AY70" s="13">
        <f>ROUND($G10*'Allocators Calc'!AR70,0)</f>
        <v>0</v>
      </c>
      <c r="AZ70">
        <f>ROUND($G10*'Allocators Calc'!AS70,0)</f>
        <v>0</v>
      </c>
      <c r="BA70">
        <f>ROUND($G10*'Allocators Calc'!AT70,0)</f>
        <v>0</v>
      </c>
      <c r="BB70">
        <f>ROUND($G10*'Allocators Calc'!AU70,0)</f>
        <v>0</v>
      </c>
      <c r="BC70">
        <f>ROUND($G10*'Allocators Calc'!AV70,0)</f>
        <v>0</v>
      </c>
      <c r="BD70">
        <f>ROUND($G10*'Allocators Calc'!AW70,0)</f>
        <v>0</v>
      </c>
      <c r="BE70" s="13">
        <f>ROUND($G10*'Allocators Calc'!AX70,0)</f>
        <v>0</v>
      </c>
      <c r="BF70" t="e">
        <f>ROUND($G10*'Allocators Calc'!#REF!,0)</f>
        <v>#REF!</v>
      </c>
      <c r="BG70" t="e">
        <f>ROUND($G10*'Allocators Calc'!#REF!,0)</f>
        <v>#REF!</v>
      </c>
      <c r="BH70" t="e">
        <f>ROUND($G10*'Allocators Calc'!#REF!,0)</f>
        <v>#REF!</v>
      </c>
      <c r="BI70" t="e">
        <f>ROUND($G10*'Allocators Calc'!#REF!,0)</f>
        <v>#REF!</v>
      </c>
      <c r="BJ70" t="e">
        <f>ROUND($G10*'Allocators Calc'!#REF!,0)</f>
        <v>#REF!</v>
      </c>
      <c r="BK70" s="13" t="e">
        <f>ROUND($G10*'Allocators Calc'!#REF!,0)</f>
        <v>#REF!</v>
      </c>
      <c r="BL70">
        <f>ROUND($G10*'Allocators Calc'!AY70,0)</f>
        <v>0</v>
      </c>
      <c r="BM70">
        <f>ROUND($G10*'Allocators Calc'!AZ70,0)</f>
        <v>0</v>
      </c>
      <c r="BN70">
        <f>ROUND($G10*'Allocators Calc'!BA70,0)</f>
        <v>0</v>
      </c>
      <c r="BO70">
        <f>ROUND($G10*'Allocators Calc'!BB70,0)</f>
        <v>0</v>
      </c>
      <c r="BP70">
        <f>ROUND($G10*'Allocators Calc'!BC70,0)</f>
        <v>0</v>
      </c>
      <c r="BQ70" s="13">
        <f>ROUND($G10*'Allocators Calc'!BD70,0)</f>
        <v>0</v>
      </c>
      <c r="BR70" t="e">
        <f>ROUND($G10*'Allocators Calc'!#REF!,0)</f>
        <v>#REF!</v>
      </c>
      <c r="BS70" t="e">
        <f>ROUND($G10*'Allocators Calc'!#REF!,0)</f>
        <v>#REF!</v>
      </c>
      <c r="BT70" t="e">
        <f>ROUND($G10*'Allocators Calc'!#REF!,0)</f>
        <v>#REF!</v>
      </c>
      <c r="BU70" t="e">
        <f>ROUND($G10*'Allocators Calc'!#REF!,0)</f>
        <v>#REF!</v>
      </c>
      <c r="BV70" t="e">
        <f>ROUND($G10*'Allocators Calc'!#REF!,0)</f>
        <v>#REF!</v>
      </c>
      <c r="BW70" s="13" t="e">
        <f>ROUND($G10*'Allocators Calc'!#REF!,0)</f>
        <v>#REF!</v>
      </c>
      <c r="BX70" t="e">
        <f>ROUND($G10*'Allocators Calc'!#REF!,0)</f>
        <v>#REF!</v>
      </c>
      <c r="BY70" t="e">
        <f>ROUND($G10*'Allocators Calc'!#REF!,0)</f>
        <v>#REF!</v>
      </c>
      <c r="BZ70" t="e">
        <f>ROUND($G10*'Allocators Calc'!#REF!,0)</f>
        <v>#REF!</v>
      </c>
      <c r="CA70" t="e">
        <f>ROUND($G10*'Allocators Calc'!#REF!,0)</f>
        <v>#REF!</v>
      </c>
      <c r="CB70" t="e">
        <f>ROUND($G10*'Allocators Calc'!#REF!,0)</f>
        <v>#REF!</v>
      </c>
      <c r="CC70" s="13" t="e">
        <f>ROUND($G10*'Allocators Calc'!#REF!,0)</f>
        <v>#REF!</v>
      </c>
      <c r="CD70">
        <f>ROUND($G10*'Allocators Calc'!BE70,0)</f>
        <v>0</v>
      </c>
      <c r="CE70">
        <f>ROUND($G10*'Allocators Calc'!BF70,0)</f>
        <v>0</v>
      </c>
      <c r="CF70">
        <f>ROUND($G10*'Allocators Calc'!BG70,0)</f>
        <v>0</v>
      </c>
      <c r="CG70">
        <f>ROUND($G10*'Allocators Calc'!BH70,0)</f>
        <v>0</v>
      </c>
      <c r="CH70">
        <f>ROUND($G10*'Allocators Calc'!BI70,0)</f>
        <v>0</v>
      </c>
      <c r="CI70" s="13">
        <f>ROUND($G10*'Allocators Calc'!BJ70,0)</f>
        <v>0</v>
      </c>
      <c r="CJ70">
        <f>ROUND($G10*'Allocators Calc'!BK70,0)</f>
        <v>0</v>
      </c>
      <c r="CK70">
        <f>ROUND($G10*'Allocators Calc'!BL70,0)</f>
        <v>0</v>
      </c>
      <c r="CL70">
        <f>ROUND($G10*'Allocators Calc'!BM70,0)</f>
        <v>0</v>
      </c>
      <c r="CM70">
        <f>ROUND($G10*'Allocators Calc'!BN70,0)</f>
        <v>0</v>
      </c>
      <c r="CN70">
        <f>ROUND($G10*'Allocators Calc'!BO70,0)</f>
        <v>0</v>
      </c>
      <c r="CO70" s="13">
        <f>ROUND($G10*'Allocators Calc'!BP70,0)</f>
        <v>0</v>
      </c>
      <c r="CP70" t="e">
        <f>ROUND($G10*'Allocators Calc'!#REF!,0)</f>
        <v>#REF!</v>
      </c>
      <c r="CQ70" t="e">
        <f>ROUND($G10*'Allocators Calc'!#REF!,0)</f>
        <v>#REF!</v>
      </c>
      <c r="CR70" t="e">
        <f>ROUND($G10*'Allocators Calc'!#REF!,0)</f>
        <v>#REF!</v>
      </c>
      <c r="CS70" t="e">
        <f>ROUND($G10*'Allocators Calc'!#REF!,0)</f>
        <v>#REF!</v>
      </c>
      <c r="CT70" t="e">
        <f>ROUND($G10*'Allocators Calc'!#REF!,0)</f>
        <v>#REF!</v>
      </c>
      <c r="CU70" t="e">
        <f>ROUND($G10*'Allocators Calc'!#REF!,0)</f>
        <v>#REF!</v>
      </c>
    </row>
    <row r="71" spans="16:99" x14ac:dyDescent="0.2">
      <c r="P71" t="e">
        <f>ROUND($G11*'Allocators Calc'!#REF!,0)</f>
        <v>#REF!</v>
      </c>
      <c r="Q71" t="e">
        <f>ROUND($G11*'Allocators Calc'!#REF!,0)</f>
        <v>#REF!</v>
      </c>
      <c r="R71" t="e">
        <f>ROUND($G11*'Allocators Calc'!#REF!,0)</f>
        <v>#REF!</v>
      </c>
      <c r="S71" t="e">
        <f>ROUND($G11*'Allocators Calc'!#REF!,0)</f>
        <v>#REF!</v>
      </c>
      <c r="T71" t="e">
        <f>ROUND($G11*'Allocators Calc'!#REF!,0)</f>
        <v>#REF!</v>
      </c>
      <c r="U71" s="13" t="e">
        <f>ROUND($G11*'Allocators Calc'!#REF!,0)</f>
        <v>#REF!</v>
      </c>
      <c r="V71" t="e">
        <f>ROUND($G11*'Allocators Calc'!#REF!,0)</f>
        <v>#REF!</v>
      </c>
      <c r="W71" t="e">
        <f>ROUND($G11*'Allocators Calc'!#REF!,0)</f>
        <v>#REF!</v>
      </c>
      <c r="X71" t="e">
        <f>ROUND($G11*'Allocators Calc'!#REF!,0)</f>
        <v>#REF!</v>
      </c>
      <c r="Y71" t="e">
        <f>ROUND($G11*'Allocators Calc'!#REF!,0)</f>
        <v>#REF!</v>
      </c>
      <c r="Z71" t="e">
        <f>ROUND($G11*'Allocators Calc'!#REF!,0)</f>
        <v>#REF!</v>
      </c>
      <c r="AA71" s="13" t="e">
        <f>ROUND($G11*'Allocators Calc'!#REF!,0)</f>
        <v>#REF!</v>
      </c>
      <c r="AB71">
        <f>ROUND($G11*'Allocators Calc'!AG71,0)</f>
        <v>0</v>
      </c>
      <c r="AC71">
        <f>ROUND($G11*'Allocators Calc'!AH71,0)</f>
        <v>0</v>
      </c>
      <c r="AD71">
        <f>ROUND($G11*'Allocators Calc'!AI71,0)</f>
        <v>0</v>
      </c>
      <c r="AE71">
        <f>ROUND($G11*'Allocators Calc'!AJ71,0)</f>
        <v>0</v>
      </c>
      <c r="AF71">
        <f>ROUND($G11*'Allocators Calc'!AK71,0)</f>
        <v>0</v>
      </c>
      <c r="AG71" s="13">
        <f>ROUND($G11*'Allocators Calc'!AL71,0)</f>
        <v>0</v>
      </c>
      <c r="AH71" t="e">
        <f>ROUND($G11*'Allocators Calc'!#REF!,0)</f>
        <v>#REF!</v>
      </c>
      <c r="AI71" t="e">
        <f>ROUND($G11*'Allocators Calc'!#REF!,0)</f>
        <v>#REF!</v>
      </c>
      <c r="AJ71" t="e">
        <f>ROUND($G11*'Allocators Calc'!#REF!,0)</f>
        <v>#REF!</v>
      </c>
      <c r="AK71" t="e">
        <f>ROUND($G11*'Allocators Calc'!#REF!,0)</f>
        <v>#REF!</v>
      </c>
      <c r="AL71" t="e">
        <f>ROUND($G11*'Allocators Calc'!#REF!,0)</f>
        <v>#REF!</v>
      </c>
      <c r="AM71" s="13" t="e">
        <f>ROUND($G11*'Allocators Calc'!#REF!,0)</f>
        <v>#REF!</v>
      </c>
      <c r="AN71" t="e">
        <f>ROUND($G11*'Allocators Calc'!#REF!,0)</f>
        <v>#REF!</v>
      </c>
      <c r="AO71" t="e">
        <f>ROUND($G11*'Allocators Calc'!#REF!,0)</f>
        <v>#REF!</v>
      </c>
      <c r="AP71" t="e">
        <f>ROUND($G11*'Allocators Calc'!#REF!,0)</f>
        <v>#REF!</v>
      </c>
      <c r="AQ71" t="e">
        <f>ROUND($G11*'Allocators Calc'!#REF!,0)</f>
        <v>#REF!</v>
      </c>
      <c r="AR71" t="e">
        <f>ROUND($G11*'Allocators Calc'!#REF!,0)</f>
        <v>#REF!</v>
      </c>
      <c r="AS71" s="13" t="e">
        <f>ROUND($G11*'Allocators Calc'!#REF!,0)</f>
        <v>#REF!</v>
      </c>
      <c r="AT71">
        <f>ROUND($G11*'Allocators Calc'!AM71,0)</f>
        <v>0</v>
      </c>
      <c r="AU71">
        <f>ROUND($G11*'Allocators Calc'!AN71,0)</f>
        <v>0</v>
      </c>
      <c r="AV71">
        <f>ROUND($G11*'Allocators Calc'!AO71,0)</f>
        <v>0</v>
      </c>
      <c r="AW71">
        <f>ROUND($G11*'Allocators Calc'!AP71,0)</f>
        <v>0</v>
      </c>
      <c r="AX71">
        <f>ROUND($G11*'Allocators Calc'!AQ71,0)</f>
        <v>0</v>
      </c>
      <c r="AY71" s="13">
        <f>ROUND($G11*'Allocators Calc'!AR71,0)</f>
        <v>0</v>
      </c>
      <c r="AZ71">
        <f>ROUND($G11*'Allocators Calc'!AS71,0)</f>
        <v>0</v>
      </c>
      <c r="BA71">
        <f>ROUND($G11*'Allocators Calc'!AT71,0)</f>
        <v>0</v>
      </c>
      <c r="BB71">
        <f>ROUND($G11*'Allocators Calc'!AU71,0)</f>
        <v>0</v>
      </c>
      <c r="BC71">
        <f>ROUND($G11*'Allocators Calc'!AV71,0)</f>
        <v>0</v>
      </c>
      <c r="BD71">
        <f>ROUND($G11*'Allocators Calc'!AW71,0)</f>
        <v>0</v>
      </c>
      <c r="BE71" s="13">
        <f>ROUND($G11*'Allocators Calc'!AX71,0)</f>
        <v>0</v>
      </c>
      <c r="BF71" t="e">
        <f>ROUND($G11*'Allocators Calc'!#REF!,0)</f>
        <v>#REF!</v>
      </c>
      <c r="BG71" t="e">
        <f>ROUND($G11*'Allocators Calc'!#REF!,0)</f>
        <v>#REF!</v>
      </c>
      <c r="BH71" t="e">
        <f>ROUND($G11*'Allocators Calc'!#REF!,0)</f>
        <v>#REF!</v>
      </c>
      <c r="BI71" t="e">
        <f>ROUND($G11*'Allocators Calc'!#REF!,0)</f>
        <v>#REF!</v>
      </c>
      <c r="BJ71" t="e">
        <f>ROUND($G11*'Allocators Calc'!#REF!,0)</f>
        <v>#REF!</v>
      </c>
      <c r="BK71" s="13" t="e">
        <f>ROUND($G11*'Allocators Calc'!#REF!,0)</f>
        <v>#REF!</v>
      </c>
      <c r="BL71">
        <f>ROUND($G11*'Allocators Calc'!AY71,0)</f>
        <v>0</v>
      </c>
      <c r="BM71">
        <f>ROUND($G11*'Allocators Calc'!AZ71,0)</f>
        <v>0</v>
      </c>
      <c r="BN71">
        <f>ROUND($G11*'Allocators Calc'!BA71,0)</f>
        <v>0</v>
      </c>
      <c r="BO71">
        <f>ROUND($G11*'Allocators Calc'!BB71,0)</f>
        <v>0</v>
      </c>
      <c r="BP71">
        <f>ROUND($G11*'Allocators Calc'!BC71,0)</f>
        <v>0</v>
      </c>
      <c r="BQ71" s="13">
        <f>ROUND($G11*'Allocators Calc'!BD71,0)</f>
        <v>0</v>
      </c>
      <c r="BR71" t="e">
        <f>ROUND($G11*'Allocators Calc'!#REF!,0)</f>
        <v>#REF!</v>
      </c>
      <c r="BS71" t="e">
        <f>ROUND($G11*'Allocators Calc'!#REF!,0)</f>
        <v>#REF!</v>
      </c>
      <c r="BT71" t="e">
        <f>ROUND($G11*'Allocators Calc'!#REF!,0)</f>
        <v>#REF!</v>
      </c>
      <c r="BU71" t="e">
        <f>ROUND($G11*'Allocators Calc'!#REF!,0)</f>
        <v>#REF!</v>
      </c>
      <c r="BV71" t="e">
        <f>ROUND($G11*'Allocators Calc'!#REF!,0)</f>
        <v>#REF!</v>
      </c>
      <c r="BW71" s="13" t="e">
        <f>ROUND($G11*'Allocators Calc'!#REF!,0)</f>
        <v>#REF!</v>
      </c>
      <c r="BX71" t="e">
        <f>ROUND($G11*'Allocators Calc'!#REF!,0)</f>
        <v>#REF!</v>
      </c>
      <c r="BY71" t="e">
        <f>ROUND($G11*'Allocators Calc'!#REF!,0)</f>
        <v>#REF!</v>
      </c>
      <c r="BZ71" t="e">
        <f>ROUND($G11*'Allocators Calc'!#REF!,0)</f>
        <v>#REF!</v>
      </c>
      <c r="CA71" t="e">
        <f>ROUND($G11*'Allocators Calc'!#REF!,0)</f>
        <v>#REF!</v>
      </c>
      <c r="CB71" t="e">
        <f>ROUND($G11*'Allocators Calc'!#REF!,0)</f>
        <v>#REF!</v>
      </c>
      <c r="CC71" s="13" t="e">
        <f>ROUND($G11*'Allocators Calc'!#REF!,0)</f>
        <v>#REF!</v>
      </c>
      <c r="CD71">
        <f>ROUND($G11*'Allocators Calc'!BE71,0)</f>
        <v>0</v>
      </c>
      <c r="CE71">
        <f>ROUND($G11*'Allocators Calc'!BF71,0)</f>
        <v>0</v>
      </c>
      <c r="CF71">
        <f>ROUND($G11*'Allocators Calc'!BG71,0)</f>
        <v>0</v>
      </c>
      <c r="CG71">
        <f>ROUND($G11*'Allocators Calc'!BH71,0)</f>
        <v>0</v>
      </c>
      <c r="CH71">
        <f>ROUND($G11*'Allocators Calc'!BI71,0)</f>
        <v>0</v>
      </c>
      <c r="CI71" s="13">
        <f>ROUND($G11*'Allocators Calc'!BJ71,0)</f>
        <v>0</v>
      </c>
      <c r="CJ71">
        <f>ROUND($G11*'Allocators Calc'!BK71,0)</f>
        <v>0</v>
      </c>
      <c r="CK71">
        <f>ROUND($G11*'Allocators Calc'!BL71,0)</f>
        <v>0</v>
      </c>
      <c r="CL71">
        <f>ROUND($G11*'Allocators Calc'!BM71,0)</f>
        <v>0</v>
      </c>
      <c r="CM71">
        <f>ROUND($G11*'Allocators Calc'!BN71,0)</f>
        <v>0</v>
      </c>
      <c r="CN71">
        <f>ROUND($G11*'Allocators Calc'!BO71,0)</f>
        <v>0</v>
      </c>
      <c r="CO71" s="13">
        <f>ROUND($G11*'Allocators Calc'!BP71,0)</f>
        <v>0</v>
      </c>
      <c r="CP71" t="e">
        <f>ROUND($G11*'Allocators Calc'!#REF!,0)</f>
        <v>#REF!</v>
      </c>
      <c r="CQ71" t="e">
        <f>ROUND($G11*'Allocators Calc'!#REF!,0)</f>
        <v>#REF!</v>
      </c>
      <c r="CR71" t="e">
        <f>ROUND($G11*'Allocators Calc'!#REF!,0)</f>
        <v>#REF!</v>
      </c>
      <c r="CS71" t="e">
        <f>ROUND($G11*'Allocators Calc'!#REF!,0)</f>
        <v>#REF!</v>
      </c>
      <c r="CT71" t="e">
        <f>ROUND($G11*'Allocators Calc'!#REF!,0)</f>
        <v>#REF!</v>
      </c>
      <c r="CU71" t="e">
        <f>ROUND($G11*'Allocators Calc'!#REF!,0)</f>
        <v>#REF!</v>
      </c>
    </row>
    <row r="72" spans="16:99" x14ac:dyDescent="0.2">
      <c r="P72" t="e">
        <f>ROUND($G12*'Allocators Calc'!#REF!,0)</f>
        <v>#REF!</v>
      </c>
      <c r="Q72" t="e">
        <f>ROUND($G12*'Allocators Calc'!#REF!,0)</f>
        <v>#REF!</v>
      </c>
      <c r="R72" t="e">
        <f>ROUND($G12*'Allocators Calc'!#REF!,0)</f>
        <v>#REF!</v>
      </c>
      <c r="S72" t="e">
        <f>ROUND($G12*'Allocators Calc'!#REF!,0)</f>
        <v>#REF!</v>
      </c>
      <c r="T72" t="e">
        <f>ROUND($G12*'Allocators Calc'!#REF!,0)</f>
        <v>#REF!</v>
      </c>
      <c r="U72" s="13" t="e">
        <f>ROUND($G12*'Allocators Calc'!#REF!,0)</f>
        <v>#REF!</v>
      </c>
      <c r="V72" t="e">
        <f>ROUND($G12*'Allocators Calc'!#REF!,0)</f>
        <v>#REF!</v>
      </c>
      <c r="W72" t="e">
        <f>ROUND($G12*'Allocators Calc'!#REF!,0)</f>
        <v>#REF!</v>
      </c>
      <c r="X72" t="e">
        <f>ROUND($G12*'Allocators Calc'!#REF!,0)</f>
        <v>#REF!</v>
      </c>
      <c r="Y72" t="e">
        <f>ROUND($G12*'Allocators Calc'!#REF!,0)</f>
        <v>#REF!</v>
      </c>
      <c r="Z72" t="e">
        <f>ROUND($G12*'Allocators Calc'!#REF!,0)</f>
        <v>#REF!</v>
      </c>
      <c r="AA72" s="13" t="e">
        <f>ROUND($G12*'Allocators Calc'!#REF!,0)</f>
        <v>#REF!</v>
      </c>
      <c r="AB72">
        <f>ROUND($G12*'Allocators Calc'!AG72,0)</f>
        <v>0</v>
      </c>
      <c r="AC72">
        <f>ROUND($G12*'Allocators Calc'!AH72,0)</f>
        <v>0</v>
      </c>
      <c r="AD72">
        <f>ROUND($G12*'Allocators Calc'!AI72,0)</f>
        <v>0</v>
      </c>
      <c r="AE72">
        <f>ROUND($G12*'Allocators Calc'!AJ72,0)</f>
        <v>0</v>
      </c>
      <c r="AF72">
        <f>ROUND($G12*'Allocators Calc'!AK72,0)</f>
        <v>0</v>
      </c>
      <c r="AG72" s="13">
        <f>ROUND($G12*'Allocators Calc'!AL72,0)</f>
        <v>0</v>
      </c>
      <c r="AH72" t="e">
        <f>ROUND($G12*'Allocators Calc'!#REF!,0)</f>
        <v>#REF!</v>
      </c>
      <c r="AI72" t="e">
        <f>ROUND($G12*'Allocators Calc'!#REF!,0)</f>
        <v>#REF!</v>
      </c>
      <c r="AJ72" t="e">
        <f>ROUND($G12*'Allocators Calc'!#REF!,0)</f>
        <v>#REF!</v>
      </c>
      <c r="AK72" t="e">
        <f>ROUND($G12*'Allocators Calc'!#REF!,0)</f>
        <v>#REF!</v>
      </c>
      <c r="AL72" t="e">
        <f>ROUND($G12*'Allocators Calc'!#REF!,0)</f>
        <v>#REF!</v>
      </c>
      <c r="AM72" s="13" t="e">
        <f>ROUND($G12*'Allocators Calc'!#REF!,0)</f>
        <v>#REF!</v>
      </c>
      <c r="AN72" t="e">
        <f>ROUND($G12*'Allocators Calc'!#REF!,0)</f>
        <v>#REF!</v>
      </c>
      <c r="AO72" t="e">
        <f>ROUND($G12*'Allocators Calc'!#REF!,0)</f>
        <v>#REF!</v>
      </c>
      <c r="AP72" t="e">
        <f>ROUND($G12*'Allocators Calc'!#REF!,0)</f>
        <v>#REF!</v>
      </c>
      <c r="AQ72" t="e">
        <f>ROUND($G12*'Allocators Calc'!#REF!,0)</f>
        <v>#REF!</v>
      </c>
      <c r="AR72" t="e">
        <f>ROUND($G12*'Allocators Calc'!#REF!,0)</f>
        <v>#REF!</v>
      </c>
      <c r="AS72" s="13" t="e">
        <f>ROUND($G12*'Allocators Calc'!#REF!,0)</f>
        <v>#REF!</v>
      </c>
      <c r="AT72">
        <f>ROUND($G12*'Allocators Calc'!AM72,0)</f>
        <v>0</v>
      </c>
      <c r="AU72">
        <f>ROUND($G12*'Allocators Calc'!AN72,0)</f>
        <v>0</v>
      </c>
      <c r="AV72">
        <f>ROUND($G12*'Allocators Calc'!AO72,0)</f>
        <v>0</v>
      </c>
      <c r="AW72">
        <f>ROUND($G12*'Allocators Calc'!AP72,0)</f>
        <v>0</v>
      </c>
      <c r="AX72">
        <f>ROUND($G12*'Allocators Calc'!AQ72,0)</f>
        <v>0</v>
      </c>
      <c r="AY72" s="13">
        <f>ROUND($G12*'Allocators Calc'!AR72,0)</f>
        <v>0</v>
      </c>
      <c r="AZ72">
        <f>ROUND($G12*'Allocators Calc'!AS72,0)</f>
        <v>0</v>
      </c>
      <c r="BA72">
        <f>ROUND($G12*'Allocators Calc'!AT72,0)</f>
        <v>0</v>
      </c>
      <c r="BB72">
        <f>ROUND($G12*'Allocators Calc'!AU72,0)</f>
        <v>0</v>
      </c>
      <c r="BC72">
        <f>ROUND($G12*'Allocators Calc'!AV72,0)</f>
        <v>0</v>
      </c>
      <c r="BD72">
        <f>ROUND($G12*'Allocators Calc'!AW72,0)</f>
        <v>0</v>
      </c>
      <c r="BE72" s="13">
        <f>ROUND($G12*'Allocators Calc'!AX72,0)</f>
        <v>0</v>
      </c>
      <c r="BF72" t="e">
        <f>ROUND($G12*'Allocators Calc'!#REF!,0)</f>
        <v>#REF!</v>
      </c>
      <c r="BG72" t="e">
        <f>ROUND($G12*'Allocators Calc'!#REF!,0)</f>
        <v>#REF!</v>
      </c>
      <c r="BH72" t="e">
        <f>ROUND($G12*'Allocators Calc'!#REF!,0)</f>
        <v>#REF!</v>
      </c>
      <c r="BI72" t="e">
        <f>ROUND($G12*'Allocators Calc'!#REF!,0)</f>
        <v>#REF!</v>
      </c>
      <c r="BJ72" t="e">
        <f>ROUND($G12*'Allocators Calc'!#REF!,0)</f>
        <v>#REF!</v>
      </c>
      <c r="BK72" s="13" t="e">
        <f>ROUND($G12*'Allocators Calc'!#REF!,0)</f>
        <v>#REF!</v>
      </c>
      <c r="BL72">
        <f>ROUND($G12*'Allocators Calc'!AY72,0)</f>
        <v>0</v>
      </c>
      <c r="BM72">
        <f>ROUND($G12*'Allocators Calc'!AZ72,0)</f>
        <v>0</v>
      </c>
      <c r="BN72">
        <f>ROUND($G12*'Allocators Calc'!BA72,0)</f>
        <v>0</v>
      </c>
      <c r="BO72">
        <f>ROUND($G12*'Allocators Calc'!BB72,0)</f>
        <v>0</v>
      </c>
      <c r="BP72">
        <f>ROUND($G12*'Allocators Calc'!BC72,0)</f>
        <v>0</v>
      </c>
      <c r="BQ72" s="13">
        <f>ROUND($G12*'Allocators Calc'!BD72,0)</f>
        <v>0</v>
      </c>
      <c r="BR72" t="e">
        <f>ROUND($G12*'Allocators Calc'!#REF!,0)</f>
        <v>#REF!</v>
      </c>
      <c r="BS72" t="e">
        <f>ROUND($G12*'Allocators Calc'!#REF!,0)</f>
        <v>#REF!</v>
      </c>
      <c r="BT72" t="e">
        <f>ROUND($G12*'Allocators Calc'!#REF!,0)</f>
        <v>#REF!</v>
      </c>
      <c r="BU72" t="e">
        <f>ROUND($G12*'Allocators Calc'!#REF!,0)</f>
        <v>#REF!</v>
      </c>
      <c r="BV72" t="e">
        <f>ROUND($G12*'Allocators Calc'!#REF!,0)</f>
        <v>#REF!</v>
      </c>
      <c r="BW72" s="13" t="e">
        <f>ROUND($G12*'Allocators Calc'!#REF!,0)</f>
        <v>#REF!</v>
      </c>
      <c r="BX72" t="e">
        <f>ROUND($G12*'Allocators Calc'!#REF!,0)</f>
        <v>#REF!</v>
      </c>
      <c r="BY72" t="e">
        <f>ROUND($G12*'Allocators Calc'!#REF!,0)</f>
        <v>#REF!</v>
      </c>
      <c r="BZ72" t="e">
        <f>ROUND($G12*'Allocators Calc'!#REF!,0)</f>
        <v>#REF!</v>
      </c>
      <c r="CA72" t="e">
        <f>ROUND($G12*'Allocators Calc'!#REF!,0)</f>
        <v>#REF!</v>
      </c>
      <c r="CB72" t="e">
        <f>ROUND($G12*'Allocators Calc'!#REF!,0)</f>
        <v>#REF!</v>
      </c>
      <c r="CC72" s="13" t="e">
        <f>ROUND($G12*'Allocators Calc'!#REF!,0)</f>
        <v>#REF!</v>
      </c>
      <c r="CD72">
        <f>ROUND($G12*'Allocators Calc'!BE72,0)</f>
        <v>0</v>
      </c>
      <c r="CE72">
        <f>ROUND($G12*'Allocators Calc'!BF72,0)</f>
        <v>0</v>
      </c>
      <c r="CF72">
        <f>ROUND($G12*'Allocators Calc'!BG72,0)</f>
        <v>0</v>
      </c>
      <c r="CG72">
        <f>ROUND($G12*'Allocators Calc'!BH72,0)</f>
        <v>0</v>
      </c>
      <c r="CH72">
        <f>ROUND($G12*'Allocators Calc'!BI72,0)</f>
        <v>0</v>
      </c>
      <c r="CI72" s="13">
        <f>ROUND($G12*'Allocators Calc'!BJ72,0)</f>
        <v>0</v>
      </c>
      <c r="CJ72">
        <f>ROUND($G12*'Allocators Calc'!BK72,0)</f>
        <v>0</v>
      </c>
      <c r="CK72">
        <f>ROUND($G12*'Allocators Calc'!BL72,0)</f>
        <v>0</v>
      </c>
      <c r="CL72">
        <f>ROUND($G12*'Allocators Calc'!BM72,0)</f>
        <v>0</v>
      </c>
      <c r="CM72">
        <f>ROUND($G12*'Allocators Calc'!BN72,0)</f>
        <v>0</v>
      </c>
      <c r="CN72">
        <f>ROUND($G12*'Allocators Calc'!BO72,0)</f>
        <v>0</v>
      </c>
      <c r="CO72" s="13">
        <f>ROUND($G12*'Allocators Calc'!BP72,0)</f>
        <v>0</v>
      </c>
      <c r="CP72" t="e">
        <f>ROUND($G12*'Allocators Calc'!#REF!,0)</f>
        <v>#REF!</v>
      </c>
      <c r="CQ72" t="e">
        <f>ROUND($G12*'Allocators Calc'!#REF!,0)</f>
        <v>#REF!</v>
      </c>
      <c r="CR72" t="e">
        <f>ROUND($G12*'Allocators Calc'!#REF!,0)</f>
        <v>#REF!</v>
      </c>
      <c r="CS72" t="e">
        <f>ROUND($G12*'Allocators Calc'!#REF!,0)</f>
        <v>#REF!</v>
      </c>
      <c r="CT72" t="e">
        <f>ROUND($G12*'Allocators Calc'!#REF!,0)</f>
        <v>#REF!</v>
      </c>
      <c r="CU72" t="e">
        <f>ROUND($G12*'Allocators Calc'!#REF!,0)</f>
        <v>#REF!</v>
      </c>
    </row>
    <row r="73" spans="16:99" x14ac:dyDescent="0.2">
      <c r="P73" t="e">
        <f>ROUND($G13*'Allocators Calc'!#REF!,0)</f>
        <v>#REF!</v>
      </c>
      <c r="Q73" t="e">
        <f>ROUND($G13*'Allocators Calc'!#REF!,0)</f>
        <v>#REF!</v>
      </c>
      <c r="R73" t="e">
        <f>ROUND($G13*'Allocators Calc'!#REF!,0)</f>
        <v>#REF!</v>
      </c>
      <c r="S73" t="e">
        <f>ROUND($G13*'Allocators Calc'!#REF!,0)</f>
        <v>#REF!</v>
      </c>
      <c r="T73" t="e">
        <f>ROUND($G13*'Allocators Calc'!#REF!,0)</f>
        <v>#REF!</v>
      </c>
      <c r="U73" s="13" t="e">
        <f>ROUND($G13*'Allocators Calc'!#REF!,0)</f>
        <v>#REF!</v>
      </c>
      <c r="V73" t="e">
        <f>ROUND($G13*'Allocators Calc'!#REF!,0)</f>
        <v>#REF!</v>
      </c>
      <c r="W73" t="e">
        <f>ROUND($G13*'Allocators Calc'!#REF!,0)</f>
        <v>#REF!</v>
      </c>
      <c r="X73" t="e">
        <f>ROUND($G13*'Allocators Calc'!#REF!,0)</f>
        <v>#REF!</v>
      </c>
      <c r="Y73" t="e">
        <f>ROUND($G13*'Allocators Calc'!#REF!,0)</f>
        <v>#REF!</v>
      </c>
      <c r="Z73" t="e">
        <f>ROUND($G13*'Allocators Calc'!#REF!,0)</f>
        <v>#REF!</v>
      </c>
      <c r="AA73" s="13" t="e">
        <f>ROUND($G13*'Allocators Calc'!#REF!,0)</f>
        <v>#REF!</v>
      </c>
      <c r="AB73">
        <f>ROUND($G13*'Allocators Calc'!AG73,0)</f>
        <v>0</v>
      </c>
      <c r="AC73">
        <f>ROUND($G13*'Allocators Calc'!AH73,0)</f>
        <v>0</v>
      </c>
      <c r="AD73">
        <f>ROUND($G13*'Allocators Calc'!AI73,0)</f>
        <v>0</v>
      </c>
      <c r="AE73">
        <f>ROUND($G13*'Allocators Calc'!AJ73,0)</f>
        <v>0</v>
      </c>
      <c r="AF73">
        <f>ROUND($G13*'Allocators Calc'!AK73,0)</f>
        <v>0</v>
      </c>
      <c r="AG73" s="13">
        <f>ROUND($G13*'Allocators Calc'!AL73,0)</f>
        <v>0</v>
      </c>
      <c r="AH73" t="e">
        <f>ROUND($G13*'Allocators Calc'!#REF!,0)</f>
        <v>#REF!</v>
      </c>
      <c r="AI73" t="e">
        <f>ROUND($G13*'Allocators Calc'!#REF!,0)</f>
        <v>#REF!</v>
      </c>
      <c r="AJ73" t="e">
        <f>ROUND($G13*'Allocators Calc'!#REF!,0)</f>
        <v>#REF!</v>
      </c>
      <c r="AK73" t="e">
        <f>ROUND($G13*'Allocators Calc'!#REF!,0)</f>
        <v>#REF!</v>
      </c>
      <c r="AL73" t="e">
        <f>ROUND($G13*'Allocators Calc'!#REF!,0)</f>
        <v>#REF!</v>
      </c>
      <c r="AM73" s="13" t="e">
        <f>ROUND($G13*'Allocators Calc'!#REF!,0)</f>
        <v>#REF!</v>
      </c>
      <c r="AN73" t="e">
        <f>ROUND($G13*'Allocators Calc'!#REF!,0)</f>
        <v>#REF!</v>
      </c>
      <c r="AO73" t="e">
        <f>ROUND($G13*'Allocators Calc'!#REF!,0)</f>
        <v>#REF!</v>
      </c>
      <c r="AP73" t="e">
        <f>ROUND($G13*'Allocators Calc'!#REF!,0)</f>
        <v>#REF!</v>
      </c>
      <c r="AQ73" t="e">
        <f>ROUND($G13*'Allocators Calc'!#REF!,0)</f>
        <v>#REF!</v>
      </c>
      <c r="AR73" t="e">
        <f>ROUND($G13*'Allocators Calc'!#REF!,0)</f>
        <v>#REF!</v>
      </c>
      <c r="AS73" s="13" t="e">
        <f>ROUND($G13*'Allocators Calc'!#REF!,0)</f>
        <v>#REF!</v>
      </c>
      <c r="AT73">
        <f>ROUND($G13*'Allocators Calc'!AM73,0)</f>
        <v>0</v>
      </c>
      <c r="AU73">
        <f>ROUND($G13*'Allocators Calc'!AN73,0)</f>
        <v>0</v>
      </c>
      <c r="AV73">
        <f>ROUND($G13*'Allocators Calc'!AO73,0)</f>
        <v>0</v>
      </c>
      <c r="AW73">
        <f>ROUND($G13*'Allocators Calc'!AP73,0)</f>
        <v>0</v>
      </c>
      <c r="AX73">
        <f>ROUND($G13*'Allocators Calc'!AQ73,0)</f>
        <v>0</v>
      </c>
      <c r="AY73" s="13">
        <f>ROUND($G13*'Allocators Calc'!AR73,0)</f>
        <v>0</v>
      </c>
      <c r="AZ73">
        <f>ROUND($G13*'Allocators Calc'!AS73,0)</f>
        <v>0</v>
      </c>
      <c r="BA73">
        <f>ROUND($G13*'Allocators Calc'!AT73,0)</f>
        <v>0</v>
      </c>
      <c r="BB73">
        <f>ROUND($G13*'Allocators Calc'!AU73,0)</f>
        <v>0</v>
      </c>
      <c r="BC73">
        <f>ROUND($G13*'Allocators Calc'!AV73,0)</f>
        <v>0</v>
      </c>
      <c r="BD73">
        <f>ROUND($G13*'Allocators Calc'!AW73,0)</f>
        <v>0</v>
      </c>
      <c r="BE73" s="13">
        <f>ROUND($G13*'Allocators Calc'!AX73,0)</f>
        <v>0</v>
      </c>
      <c r="BF73" t="e">
        <f>ROUND($G13*'Allocators Calc'!#REF!,0)</f>
        <v>#REF!</v>
      </c>
      <c r="BG73" t="e">
        <f>ROUND($G13*'Allocators Calc'!#REF!,0)</f>
        <v>#REF!</v>
      </c>
      <c r="BH73" t="e">
        <f>ROUND($G13*'Allocators Calc'!#REF!,0)</f>
        <v>#REF!</v>
      </c>
      <c r="BI73" t="e">
        <f>ROUND($G13*'Allocators Calc'!#REF!,0)</f>
        <v>#REF!</v>
      </c>
      <c r="BJ73" t="e">
        <f>ROUND($G13*'Allocators Calc'!#REF!,0)</f>
        <v>#REF!</v>
      </c>
      <c r="BK73" s="13" t="e">
        <f>ROUND($G13*'Allocators Calc'!#REF!,0)</f>
        <v>#REF!</v>
      </c>
      <c r="BL73">
        <f>ROUND($G13*'Allocators Calc'!AY73,0)</f>
        <v>0</v>
      </c>
      <c r="BM73">
        <f>ROUND($G13*'Allocators Calc'!AZ73,0)</f>
        <v>0</v>
      </c>
      <c r="BN73">
        <f>ROUND($G13*'Allocators Calc'!BA73,0)</f>
        <v>0</v>
      </c>
      <c r="BO73">
        <f>ROUND($G13*'Allocators Calc'!BB73,0)</f>
        <v>0</v>
      </c>
      <c r="BP73">
        <f>ROUND($G13*'Allocators Calc'!BC73,0)</f>
        <v>0</v>
      </c>
      <c r="BQ73" s="13">
        <f>ROUND($G13*'Allocators Calc'!BD73,0)</f>
        <v>0</v>
      </c>
      <c r="BR73" t="e">
        <f>ROUND($G13*'Allocators Calc'!#REF!,0)</f>
        <v>#REF!</v>
      </c>
      <c r="BS73" t="e">
        <f>ROUND($G13*'Allocators Calc'!#REF!,0)</f>
        <v>#REF!</v>
      </c>
      <c r="BT73" t="e">
        <f>ROUND($G13*'Allocators Calc'!#REF!,0)</f>
        <v>#REF!</v>
      </c>
      <c r="BU73" t="e">
        <f>ROUND($G13*'Allocators Calc'!#REF!,0)</f>
        <v>#REF!</v>
      </c>
      <c r="BV73" t="e">
        <f>ROUND($G13*'Allocators Calc'!#REF!,0)</f>
        <v>#REF!</v>
      </c>
      <c r="BW73" s="13" t="e">
        <f>ROUND($G13*'Allocators Calc'!#REF!,0)</f>
        <v>#REF!</v>
      </c>
      <c r="BX73" t="e">
        <f>ROUND($G13*'Allocators Calc'!#REF!,0)</f>
        <v>#REF!</v>
      </c>
      <c r="BY73" t="e">
        <f>ROUND($G13*'Allocators Calc'!#REF!,0)</f>
        <v>#REF!</v>
      </c>
      <c r="BZ73" t="e">
        <f>ROUND($G13*'Allocators Calc'!#REF!,0)</f>
        <v>#REF!</v>
      </c>
      <c r="CA73" t="e">
        <f>ROUND($G13*'Allocators Calc'!#REF!,0)</f>
        <v>#REF!</v>
      </c>
      <c r="CB73" t="e">
        <f>ROUND($G13*'Allocators Calc'!#REF!,0)</f>
        <v>#REF!</v>
      </c>
      <c r="CC73" s="13" t="e">
        <f>ROUND($G13*'Allocators Calc'!#REF!,0)</f>
        <v>#REF!</v>
      </c>
      <c r="CD73">
        <f>ROUND($G13*'Allocators Calc'!BE73,0)</f>
        <v>0</v>
      </c>
      <c r="CE73">
        <f>ROUND($G13*'Allocators Calc'!BF73,0)</f>
        <v>0</v>
      </c>
      <c r="CF73">
        <f>ROUND($G13*'Allocators Calc'!BG73,0)</f>
        <v>0</v>
      </c>
      <c r="CG73">
        <f>ROUND($G13*'Allocators Calc'!BH73,0)</f>
        <v>0</v>
      </c>
      <c r="CH73">
        <f>ROUND($G13*'Allocators Calc'!BI73,0)</f>
        <v>0</v>
      </c>
      <c r="CI73" s="13">
        <f>ROUND($G13*'Allocators Calc'!BJ73,0)</f>
        <v>0</v>
      </c>
      <c r="CJ73">
        <f>ROUND($G13*'Allocators Calc'!BK73,0)</f>
        <v>0</v>
      </c>
      <c r="CK73">
        <f>ROUND($G13*'Allocators Calc'!BL73,0)</f>
        <v>0</v>
      </c>
      <c r="CL73">
        <f>ROUND($G13*'Allocators Calc'!BM73,0)</f>
        <v>0</v>
      </c>
      <c r="CM73">
        <f>ROUND($G13*'Allocators Calc'!BN73,0)</f>
        <v>0</v>
      </c>
      <c r="CN73">
        <f>ROUND($G13*'Allocators Calc'!BO73,0)</f>
        <v>0</v>
      </c>
      <c r="CO73" s="13">
        <f>ROUND($G13*'Allocators Calc'!BP73,0)</f>
        <v>0</v>
      </c>
      <c r="CP73" t="e">
        <f>ROUND($G13*'Allocators Calc'!#REF!,0)</f>
        <v>#REF!</v>
      </c>
      <c r="CQ73" t="e">
        <f>ROUND($G13*'Allocators Calc'!#REF!,0)</f>
        <v>#REF!</v>
      </c>
      <c r="CR73" t="e">
        <f>ROUND($G13*'Allocators Calc'!#REF!,0)</f>
        <v>#REF!</v>
      </c>
      <c r="CS73" t="e">
        <f>ROUND($G13*'Allocators Calc'!#REF!,0)</f>
        <v>#REF!</v>
      </c>
      <c r="CT73" t="e">
        <f>ROUND($G13*'Allocators Calc'!#REF!,0)</f>
        <v>#REF!</v>
      </c>
      <c r="CU73" t="e">
        <f>ROUND($G13*'Allocators Calc'!#REF!,0)</f>
        <v>#REF!</v>
      </c>
    </row>
    <row r="74" spans="16:99" x14ac:dyDescent="0.2">
      <c r="P74" t="e">
        <f>ROUND($G14*'Allocators Calc'!#REF!,0)</f>
        <v>#REF!</v>
      </c>
      <c r="Q74" t="e">
        <f>ROUND($G14*'Allocators Calc'!#REF!,0)</f>
        <v>#REF!</v>
      </c>
      <c r="R74" t="e">
        <f>ROUND($G14*'Allocators Calc'!#REF!,0)</f>
        <v>#REF!</v>
      </c>
      <c r="S74" t="e">
        <f>ROUND($G14*'Allocators Calc'!#REF!,0)</f>
        <v>#REF!</v>
      </c>
      <c r="T74" t="e">
        <f>ROUND($G14*'Allocators Calc'!#REF!,0)</f>
        <v>#REF!</v>
      </c>
      <c r="U74" s="13" t="e">
        <f>ROUND($G14*'Allocators Calc'!#REF!,0)</f>
        <v>#REF!</v>
      </c>
      <c r="V74" t="e">
        <f>ROUND($G14*'Allocators Calc'!#REF!,0)</f>
        <v>#REF!</v>
      </c>
      <c r="W74" t="e">
        <f>ROUND($G14*'Allocators Calc'!#REF!,0)</f>
        <v>#REF!</v>
      </c>
      <c r="X74" t="e">
        <f>ROUND($G14*'Allocators Calc'!#REF!,0)</f>
        <v>#REF!</v>
      </c>
      <c r="Y74" t="e">
        <f>ROUND($G14*'Allocators Calc'!#REF!,0)</f>
        <v>#REF!</v>
      </c>
      <c r="Z74" t="e">
        <f>ROUND($G14*'Allocators Calc'!#REF!,0)</f>
        <v>#REF!</v>
      </c>
      <c r="AA74" s="13" t="e">
        <f>ROUND($G14*'Allocators Calc'!#REF!,0)</f>
        <v>#REF!</v>
      </c>
      <c r="AB74">
        <f>ROUND($G14*'Allocators Calc'!AG74,0)</f>
        <v>0</v>
      </c>
      <c r="AC74">
        <f>ROUND($G14*'Allocators Calc'!AH74,0)</f>
        <v>0</v>
      </c>
      <c r="AD74">
        <f>ROUND($G14*'Allocators Calc'!AI74,0)</f>
        <v>0</v>
      </c>
      <c r="AE74">
        <f>ROUND($G14*'Allocators Calc'!AJ74,0)</f>
        <v>0</v>
      </c>
      <c r="AF74">
        <f>ROUND($G14*'Allocators Calc'!AK74,0)</f>
        <v>0</v>
      </c>
      <c r="AG74" s="13">
        <f>ROUND($G14*'Allocators Calc'!AL74,0)</f>
        <v>0</v>
      </c>
      <c r="AH74" t="e">
        <f>ROUND($G14*'Allocators Calc'!#REF!,0)</f>
        <v>#REF!</v>
      </c>
      <c r="AI74" t="e">
        <f>ROUND($G14*'Allocators Calc'!#REF!,0)</f>
        <v>#REF!</v>
      </c>
      <c r="AJ74" t="e">
        <f>ROUND($G14*'Allocators Calc'!#REF!,0)</f>
        <v>#REF!</v>
      </c>
      <c r="AK74" t="e">
        <f>ROUND($G14*'Allocators Calc'!#REF!,0)</f>
        <v>#REF!</v>
      </c>
      <c r="AL74" t="e">
        <f>ROUND($G14*'Allocators Calc'!#REF!,0)</f>
        <v>#REF!</v>
      </c>
      <c r="AM74" s="13" t="e">
        <f>ROUND($G14*'Allocators Calc'!#REF!,0)</f>
        <v>#REF!</v>
      </c>
      <c r="AN74" t="e">
        <f>ROUND($G14*'Allocators Calc'!#REF!,0)</f>
        <v>#REF!</v>
      </c>
      <c r="AO74" t="e">
        <f>ROUND($G14*'Allocators Calc'!#REF!,0)</f>
        <v>#REF!</v>
      </c>
      <c r="AP74" t="e">
        <f>ROUND($G14*'Allocators Calc'!#REF!,0)</f>
        <v>#REF!</v>
      </c>
      <c r="AQ74" t="e">
        <f>ROUND($G14*'Allocators Calc'!#REF!,0)</f>
        <v>#REF!</v>
      </c>
      <c r="AR74" t="e">
        <f>ROUND($G14*'Allocators Calc'!#REF!,0)</f>
        <v>#REF!</v>
      </c>
      <c r="AS74" s="13" t="e">
        <f>ROUND($G14*'Allocators Calc'!#REF!,0)</f>
        <v>#REF!</v>
      </c>
      <c r="AT74">
        <f>ROUND($G14*'Allocators Calc'!AM74,0)</f>
        <v>0</v>
      </c>
      <c r="AU74">
        <f>ROUND($G14*'Allocators Calc'!AN74,0)</f>
        <v>0</v>
      </c>
      <c r="AV74">
        <f>ROUND($G14*'Allocators Calc'!AO74,0)</f>
        <v>0</v>
      </c>
      <c r="AW74">
        <f>ROUND($G14*'Allocators Calc'!AP74,0)</f>
        <v>0</v>
      </c>
      <c r="AX74">
        <f>ROUND($G14*'Allocators Calc'!AQ74,0)</f>
        <v>0</v>
      </c>
      <c r="AY74" s="13">
        <f>ROUND($G14*'Allocators Calc'!AR74,0)</f>
        <v>0</v>
      </c>
      <c r="AZ74">
        <f>ROUND($G14*'Allocators Calc'!AS74,0)</f>
        <v>0</v>
      </c>
      <c r="BA74">
        <f>ROUND($G14*'Allocators Calc'!AT74,0)</f>
        <v>0</v>
      </c>
      <c r="BB74">
        <f>ROUND($G14*'Allocators Calc'!AU74,0)</f>
        <v>0</v>
      </c>
      <c r="BC74">
        <f>ROUND($G14*'Allocators Calc'!AV74,0)</f>
        <v>0</v>
      </c>
      <c r="BD74">
        <f>ROUND($G14*'Allocators Calc'!AW74,0)</f>
        <v>0</v>
      </c>
      <c r="BE74" s="13">
        <f>ROUND($G14*'Allocators Calc'!AX74,0)</f>
        <v>0</v>
      </c>
      <c r="BF74" t="e">
        <f>ROUND($G14*'Allocators Calc'!#REF!,0)</f>
        <v>#REF!</v>
      </c>
      <c r="BG74" t="e">
        <f>ROUND($G14*'Allocators Calc'!#REF!,0)</f>
        <v>#REF!</v>
      </c>
      <c r="BH74" t="e">
        <f>ROUND($G14*'Allocators Calc'!#REF!,0)</f>
        <v>#REF!</v>
      </c>
      <c r="BI74" t="e">
        <f>ROUND($G14*'Allocators Calc'!#REF!,0)</f>
        <v>#REF!</v>
      </c>
      <c r="BJ74" t="e">
        <f>ROUND($G14*'Allocators Calc'!#REF!,0)</f>
        <v>#REF!</v>
      </c>
      <c r="BK74" s="13" t="e">
        <f>ROUND($G14*'Allocators Calc'!#REF!,0)</f>
        <v>#REF!</v>
      </c>
      <c r="BL74">
        <f>ROUND($G14*'Allocators Calc'!AY74,0)</f>
        <v>0</v>
      </c>
      <c r="BM74">
        <f>ROUND($G14*'Allocators Calc'!AZ74,0)</f>
        <v>0</v>
      </c>
      <c r="BN74">
        <f>ROUND($G14*'Allocators Calc'!BA74,0)</f>
        <v>0</v>
      </c>
      <c r="BO74">
        <f>ROUND($G14*'Allocators Calc'!BB74,0)</f>
        <v>0</v>
      </c>
      <c r="BP74">
        <f>ROUND($G14*'Allocators Calc'!BC74,0)</f>
        <v>0</v>
      </c>
      <c r="BQ74" s="13">
        <f>ROUND($G14*'Allocators Calc'!BD74,0)</f>
        <v>0</v>
      </c>
      <c r="BR74" t="e">
        <f>ROUND($G14*'Allocators Calc'!#REF!,0)</f>
        <v>#REF!</v>
      </c>
      <c r="BS74" t="e">
        <f>ROUND($G14*'Allocators Calc'!#REF!,0)</f>
        <v>#REF!</v>
      </c>
      <c r="BT74" t="e">
        <f>ROUND($G14*'Allocators Calc'!#REF!,0)</f>
        <v>#REF!</v>
      </c>
      <c r="BU74" t="e">
        <f>ROUND($G14*'Allocators Calc'!#REF!,0)</f>
        <v>#REF!</v>
      </c>
      <c r="BV74" t="e">
        <f>ROUND($G14*'Allocators Calc'!#REF!,0)</f>
        <v>#REF!</v>
      </c>
      <c r="BW74" s="13" t="e">
        <f>ROUND($G14*'Allocators Calc'!#REF!,0)</f>
        <v>#REF!</v>
      </c>
      <c r="BX74" t="e">
        <f>ROUND($G14*'Allocators Calc'!#REF!,0)</f>
        <v>#REF!</v>
      </c>
      <c r="BY74" t="e">
        <f>ROUND($G14*'Allocators Calc'!#REF!,0)</f>
        <v>#REF!</v>
      </c>
      <c r="BZ74" t="e">
        <f>ROUND($G14*'Allocators Calc'!#REF!,0)</f>
        <v>#REF!</v>
      </c>
      <c r="CA74" t="e">
        <f>ROUND($G14*'Allocators Calc'!#REF!,0)</f>
        <v>#REF!</v>
      </c>
      <c r="CB74" t="e">
        <f>ROUND($G14*'Allocators Calc'!#REF!,0)</f>
        <v>#REF!</v>
      </c>
      <c r="CC74" s="13" t="e">
        <f>ROUND($G14*'Allocators Calc'!#REF!,0)</f>
        <v>#REF!</v>
      </c>
      <c r="CD74">
        <f>ROUND($G14*'Allocators Calc'!BE74,0)</f>
        <v>0</v>
      </c>
      <c r="CE74">
        <f>ROUND($G14*'Allocators Calc'!BF74,0)</f>
        <v>0</v>
      </c>
      <c r="CF74">
        <f>ROUND($G14*'Allocators Calc'!BG74,0)</f>
        <v>0</v>
      </c>
      <c r="CG74">
        <f>ROUND($G14*'Allocators Calc'!BH74,0)</f>
        <v>0</v>
      </c>
      <c r="CH74">
        <f>ROUND($G14*'Allocators Calc'!BI74,0)</f>
        <v>0</v>
      </c>
      <c r="CI74" s="13">
        <f>ROUND($G14*'Allocators Calc'!BJ74,0)</f>
        <v>0</v>
      </c>
      <c r="CJ74">
        <f>ROUND($G14*'Allocators Calc'!BK74,0)</f>
        <v>0</v>
      </c>
      <c r="CK74">
        <f>ROUND($G14*'Allocators Calc'!BL74,0)</f>
        <v>0</v>
      </c>
      <c r="CL74">
        <f>ROUND($G14*'Allocators Calc'!BM74,0)</f>
        <v>0</v>
      </c>
      <c r="CM74">
        <f>ROUND($G14*'Allocators Calc'!BN74,0)</f>
        <v>0</v>
      </c>
      <c r="CN74">
        <f>ROUND($G14*'Allocators Calc'!BO74,0)</f>
        <v>0</v>
      </c>
      <c r="CO74" s="13">
        <f>ROUND($G14*'Allocators Calc'!BP74,0)</f>
        <v>0</v>
      </c>
      <c r="CP74" t="e">
        <f>ROUND($G14*'Allocators Calc'!#REF!,0)</f>
        <v>#REF!</v>
      </c>
      <c r="CQ74" t="e">
        <f>ROUND($G14*'Allocators Calc'!#REF!,0)</f>
        <v>#REF!</v>
      </c>
      <c r="CR74" t="e">
        <f>ROUND($G14*'Allocators Calc'!#REF!,0)</f>
        <v>#REF!</v>
      </c>
      <c r="CS74" t="e">
        <f>ROUND($G14*'Allocators Calc'!#REF!,0)</f>
        <v>#REF!</v>
      </c>
      <c r="CT74" t="e">
        <f>ROUND($G14*'Allocators Calc'!#REF!,0)</f>
        <v>#REF!</v>
      </c>
      <c r="CU74" t="e">
        <f>ROUND($G14*'Allocators Calc'!#REF!,0)</f>
        <v>#REF!</v>
      </c>
    </row>
    <row r="75" spans="16:99" x14ac:dyDescent="0.2">
      <c r="P75" s="11"/>
      <c r="Q75" s="11"/>
      <c r="R75" s="11"/>
      <c r="S75" s="11"/>
      <c r="T75" s="11"/>
      <c r="U75" s="14"/>
      <c r="V75" s="11"/>
      <c r="W75" s="11"/>
      <c r="X75" s="11"/>
      <c r="Y75" s="11"/>
      <c r="Z75" s="11"/>
      <c r="AA75" s="14"/>
      <c r="AB75" s="11"/>
      <c r="AC75" s="11"/>
      <c r="AD75" s="11"/>
      <c r="AE75" s="11"/>
      <c r="AF75" s="11"/>
      <c r="AG75" s="14"/>
      <c r="AH75" s="11"/>
      <c r="AI75" s="11"/>
      <c r="AJ75" s="11"/>
      <c r="AK75" s="11"/>
      <c r="AL75" s="11"/>
      <c r="AM75" s="14"/>
      <c r="AN75" s="11"/>
      <c r="AO75" s="11"/>
      <c r="AP75" s="11"/>
      <c r="AQ75" s="11"/>
      <c r="AR75" s="11"/>
      <c r="AS75" s="14"/>
      <c r="AT75" s="11"/>
      <c r="AU75" s="11"/>
      <c r="AV75" s="11"/>
      <c r="AW75" s="11"/>
      <c r="AX75" s="11"/>
      <c r="AY75" s="14"/>
      <c r="AZ75" s="11"/>
      <c r="BA75" s="11"/>
      <c r="BB75" s="11"/>
      <c r="BC75" s="11"/>
      <c r="BD75" s="11"/>
      <c r="BE75" s="14"/>
      <c r="BF75" s="11"/>
      <c r="BG75" s="11"/>
      <c r="BH75" s="11"/>
      <c r="BI75" s="11"/>
      <c r="BJ75" s="11"/>
      <c r="BK75" s="14"/>
      <c r="BL75" s="11"/>
      <c r="BM75" s="11"/>
      <c r="BN75" s="11"/>
      <c r="BO75" s="11"/>
      <c r="BP75" s="11"/>
      <c r="BQ75" s="14"/>
      <c r="BR75" s="11"/>
      <c r="BS75" s="11"/>
      <c r="BT75" s="11"/>
      <c r="BU75" s="11"/>
      <c r="BV75" s="11"/>
      <c r="BW75" s="14"/>
      <c r="BX75" s="11"/>
      <c r="BY75" s="11"/>
      <c r="BZ75" s="11"/>
      <c r="CA75" s="11"/>
      <c r="CB75" s="11"/>
      <c r="CC75" s="14"/>
      <c r="CD75" s="11"/>
      <c r="CE75" s="11"/>
      <c r="CF75" s="11"/>
      <c r="CG75" s="11"/>
      <c r="CH75" s="11"/>
      <c r="CI75" s="14"/>
      <c r="CJ75" s="11"/>
      <c r="CK75" s="11"/>
      <c r="CL75" s="11"/>
      <c r="CM75" s="11"/>
      <c r="CN75" s="11"/>
      <c r="CO75" s="14"/>
      <c r="CP75" s="11"/>
      <c r="CQ75" s="11"/>
      <c r="CR75" s="11"/>
      <c r="CS75" s="11"/>
      <c r="CT75" s="11"/>
      <c r="CU75" s="11"/>
    </row>
    <row r="77" spans="16:99" x14ac:dyDescent="0.2">
      <c r="P77" t="e">
        <f>SUM(P3:P74)</f>
        <v>#REF!</v>
      </c>
      <c r="Q77" t="e">
        <f t="shared" ref="Q77:AV77" si="31">SUM(Q3:Q74)</f>
        <v>#REF!</v>
      </c>
      <c r="R77" t="e">
        <f t="shared" si="31"/>
        <v>#REF!</v>
      </c>
      <c r="S77" t="e">
        <f t="shared" si="31"/>
        <v>#REF!</v>
      </c>
      <c r="T77" t="e">
        <f t="shared" si="31"/>
        <v>#REF!</v>
      </c>
      <c r="U77" t="e">
        <f t="shared" si="31"/>
        <v>#REF!</v>
      </c>
      <c r="V77" t="e">
        <f t="shared" si="31"/>
        <v>#REF!</v>
      </c>
      <c r="W77" t="e">
        <f t="shared" si="31"/>
        <v>#REF!</v>
      </c>
      <c r="X77" t="e">
        <f t="shared" si="31"/>
        <v>#REF!</v>
      </c>
      <c r="Y77" t="e">
        <f t="shared" si="31"/>
        <v>#REF!</v>
      </c>
      <c r="Z77" t="e">
        <f t="shared" si="31"/>
        <v>#REF!</v>
      </c>
      <c r="AA77" t="e">
        <f t="shared" si="31"/>
        <v>#REF!</v>
      </c>
      <c r="AB77">
        <f t="shared" si="31"/>
        <v>127113</v>
      </c>
      <c r="AC77">
        <f t="shared" si="31"/>
        <v>271393</v>
      </c>
      <c r="AD77">
        <f t="shared" si="31"/>
        <v>497051</v>
      </c>
      <c r="AE77">
        <f t="shared" si="31"/>
        <v>109833597</v>
      </c>
      <c r="AF77">
        <f t="shared" si="31"/>
        <v>44460728</v>
      </c>
      <c r="AG77">
        <f t="shared" si="31"/>
        <v>46026652</v>
      </c>
      <c r="AH77" t="e">
        <f t="shared" si="31"/>
        <v>#REF!</v>
      </c>
      <c r="AI77" t="e">
        <f t="shared" si="31"/>
        <v>#REF!</v>
      </c>
      <c r="AJ77" t="e">
        <f t="shared" si="31"/>
        <v>#REF!</v>
      </c>
      <c r="AK77" t="e">
        <f t="shared" si="31"/>
        <v>#REF!</v>
      </c>
      <c r="AL77" t="e">
        <f t="shared" si="31"/>
        <v>#REF!</v>
      </c>
      <c r="AM77" t="e">
        <f t="shared" si="31"/>
        <v>#REF!</v>
      </c>
      <c r="AN77" t="e">
        <f t="shared" si="31"/>
        <v>#REF!</v>
      </c>
      <c r="AO77" t="e">
        <f t="shared" si="31"/>
        <v>#REF!</v>
      </c>
      <c r="AP77" t="e">
        <f t="shared" si="31"/>
        <v>#REF!</v>
      </c>
      <c r="AQ77" t="e">
        <f t="shared" si="31"/>
        <v>#REF!</v>
      </c>
      <c r="AR77" t="e">
        <f t="shared" si="31"/>
        <v>#REF!</v>
      </c>
      <c r="AS77" t="e">
        <f t="shared" si="31"/>
        <v>#REF!</v>
      </c>
      <c r="AT77">
        <f t="shared" si="31"/>
        <v>114962</v>
      </c>
      <c r="AU77">
        <f t="shared" si="31"/>
        <v>268245</v>
      </c>
      <c r="AV77">
        <f t="shared" si="31"/>
        <v>574804</v>
      </c>
      <c r="AW77">
        <f t="shared" ref="AW77:CO77" si="32">SUM(AW3:AW74)</f>
        <v>276519630</v>
      </c>
      <c r="AX77">
        <f t="shared" si="32"/>
        <v>44875704</v>
      </c>
      <c r="AY77">
        <f t="shared" si="32"/>
        <v>21121757</v>
      </c>
      <c r="AZ77">
        <f t="shared" si="32"/>
        <v>771919</v>
      </c>
      <c r="BA77">
        <f t="shared" si="32"/>
        <v>1764830</v>
      </c>
      <c r="BB77">
        <f t="shared" si="32"/>
        <v>3533685</v>
      </c>
      <c r="BC77">
        <f t="shared" si="32"/>
        <v>397309081</v>
      </c>
      <c r="BD77">
        <f t="shared" si="32"/>
        <v>364152707</v>
      </c>
      <c r="BE77">
        <f t="shared" si="32"/>
        <v>31954217</v>
      </c>
      <c r="BF77" t="e">
        <f t="shared" si="32"/>
        <v>#REF!</v>
      </c>
      <c r="BG77" t="e">
        <f t="shared" si="32"/>
        <v>#REF!</v>
      </c>
      <c r="BH77" t="e">
        <f t="shared" si="32"/>
        <v>#REF!</v>
      </c>
      <c r="BI77" t="e">
        <f t="shared" si="32"/>
        <v>#REF!</v>
      </c>
      <c r="BJ77" t="e">
        <f t="shared" si="32"/>
        <v>#REF!</v>
      </c>
      <c r="BK77" t="e">
        <f t="shared" si="32"/>
        <v>#REF!</v>
      </c>
      <c r="BL77">
        <f t="shared" si="32"/>
        <v>111071853</v>
      </c>
      <c r="BM77">
        <f t="shared" si="32"/>
        <v>219294979</v>
      </c>
      <c r="BN77">
        <f t="shared" si="32"/>
        <v>332659716</v>
      </c>
      <c r="BO77">
        <f t="shared" si="32"/>
        <v>2097373948</v>
      </c>
      <c r="BP77">
        <f t="shared" si="32"/>
        <v>1156499139</v>
      </c>
      <c r="BQ77">
        <f t="shared" si="32"/>
        <v>847451780</v>
      </c>
      <c r="BR77" t="e">
        <f t="shared" si="32"/>
        <v>#REF!</v>
      </c>
      <c r="BS77" t="e">
        <f t="shared" si="32"/>
        <v>#REF!</v>
      </c>
      <c r="BT77" t="e">
        <f t="shared" si="32"/>
        <v>#REF!</v>
      </c>
      <c r="BU77" t="e">
        <f t="shared" si="32"/>
        <v>#REF!</v>
      </c>
      <c r="BV77" t="e">
        <f t="shared" si="32"/>
        <v>#REF!</v>
      </c>
      <c r="BW77" t="e">
        <f t="shared" si="32"/>
        <v>#REF!</v>
      </c>
      <c r="BX77" t="e">
        <f t="shared" si="32"/>
        <v>#REF!</v>
      </c>
      <c r="BY77" t="e">
        <f t="shared" si="32"/>
        <v>#REF!</v>
      </c>
      <c r="BZ77" t="e">
        <f t="shared" si="32"/>
        <v>#REF!</v>
      </c>
      <c r="CA77" t="e">
        <f t="shared" si="32"/>
        <v>#REF!</v>
      </c>
      <c r="CB77" t="e">
        <f t="shared" si="32"/>
        <v>#REF!</v>
      </c>
      <c r="CC77" t="e">
        <f t="shared" si="32"/>
        <v>#REF!</v>
      </c>
      <c r="CD77">
        <f t="shared" si="32"/>
        <v>768806</v>
      </c>
      <c r="CE77">
        <f t="shared" si="32"/>
        <v>1760118</v>
      </c>
      <c r="CF77">
        <f t="shared" si="32"/>
        <v>3680745</v>
      </c>
      <c r="CG77">
        <f t="shared" si="32"/>
        <v>75317749</v>
      </c>
      <c r="CH77">
        <f t="shared" si="32"/>
        <v>42658234</v>
      </c>
      <c r="CI77">
        <f t="shared" si="32"/>
        <v>45483510</v>
      </c>
      <c r="CJ77">
        <f t="shared" si="32"/>
        <v>153665</v>
      </c>
      <c r="CK77">
        <f t="shared" si="32"/>
        <v>425196</v>
      </c>
      <c r="CL77">
        <f t="shared" si="32"/>
        <v>866539</v>
      </c>
      <c r="CM77">
        <f t="shared" si="32"/>
        <v>5964282</v>
      </c>
      <c r="CN77">
        <f t="shared" si="32"/>
        <v>0</v>
      </c>
      <c r="CO77">
        <f t="shared" si="32"/>
        <v>0</v>
      </c>
      <c r="CP77" t="e">
        <f t="shared" ref="CP77:CU77" si="33">SUM(CP3:CP74)</f>
        <v>#REF!</v>
      </c>
      <c r="CQ77" t="e">
        <f t="shared" si="33"/>
        <v>#REF!</v>
      </c>
      <c r="CR77" t="e">
        <f t="shared" si="33"/>
        <v>#REF!</v>
      </c>
      <c r="CS77" t="e">
        <f t="shared" si="33"/>
        <v>#REF!</v>
      </c>
      <c r="CT77" t="e">
        <f t="shared" si="33"/>
        <v>#REF!</v>
      </c>
      <c r="CU77" t="e">
        <f t="shared" si="33"/>
        <v>#REF!</v>
      </c>
    </row>
  </sheetData>
  <mergeCells count="70">
    <mergeCell ref="CP1:CU1"/>
    <mergeCell ref="CP16:CU16"/>
    <mergeCell ref="CP31:CU31"/>
    <mergeCell ref="CP46:CU46"/>
    <mergeCell ref="CP61:CU61"/>
    <mergeCell ref="P1:U1"/>
    <mergeCell ref="CJ1:CO1"/>
    <mergeCell ref="V1:AA1"/>
    <mergeCell ref="AB1:AG1"/>
    <mergeCell ref="AH1:AM1"/>
    <mergeCell ref="AN1:AS1"/>
    <mergeCell ref="AT1:AY1"/>
    <mergeCell ref="AZ1:BE1"/>
    <mergeCell ref="BF1:BK1"/>
    <mergeCell ref="BL1:BQ1"/>
    <mergeCell ref="BR1:BW1"/>
    <mergeCell ref="BX1:CC1"/>
    <mergeCell ref="CD1:CI1"/>
    <mergeCell ref="P31:U31"/>
    <mergeCell ref="BR16:BW16"/>
    <mergeCell ref="BX16:CC16"/>
    <mergeCell ref="CD16:CI16"/>
    <mergeCell ref="CJ16:CO16"/>
    <mergeCell ref="AH16:AM16"/>
    <mergeCell ref="AN16:AS16"/>
    <mergeCell ref="AT16:AY16"/>
    <mergeCell ref="AZ16:BE16"/>
    <mergeCell ref="BF16:BK16"/>
    <mergeCell ref="BL16:BQ16"/>
    <mergeCell ref="P16:U16"/>
    <mergeCell ref="V16:AA16"/>
    <mergeCell ref="AB16:AG16"/>
    <mergeCell ref="CJ31:CO31"/>
    <mergeCell ref="V31:AA31"/>
    <mergeCell ref="AB31:AG31"/>
    <mergeCell ref="AH31:AM31"/>
    <mergeCell ref="AN31:AS31"/>
    <mergeCell ref="AT31:AY31"/>
    <mergeCell ref="AZ31:BE31"/>
    <mergeCell ref="BF31:BK31"/>
    <mergeCell ref="BL31:BQ31"/>
    <mergeCell ref="BR31:BW31"/>
    <mergeCell ref="BX31:CC31"/>
    <mergeCell ref="CD31:CI31"/>
    <mergeCell ref="P61:U61"/>
    <mergeCell ref="BR46:BW46"/>
    <mergeCell ref="BX46:CC46"/>
    <mergeCell ref="CD46:CI46"/>
    <mergeCell ref="CJ46:CO46"/>
    <mergeCell ref="AH46:AM46"/>
    <mergeCell ref="AN46:AS46"/>
    <mergeCell ref="AT46:AY46"/>
    <mergeCell ref="AZ46:BE46"/>
    <mergeCell ref="BF46:BK46"/>
    <mergeCell ref="BL46:BQ46"/>
    <mergeCell ref="P46:U46"/>
    <mergeCell ref="V46:AA46"/>
    <mergeCell ref="AB46:AG46"/>
    <mergeCell ref="CJ61:CO61"/>
    <mergeCell ref="V61:AA61"/>
    <mergeCell ref="AB61:AG61"/>
    <mergeCell ref="AH61:AM61"/>
    <mergeCell ref="AN61:AS61"/>
    <mergeCell ref="AT61:AY61"/>
    <mergeCell ref="AZ61:BE61"/>
    <mergeCell ref="BF61:BK61"/>
    <mergeCell ref="BL61:BQ61"/>
    <mergeCell ref="BR61:BW61"/>
    <mergeCell ref="BX61:CC61"/>
    <mergeCell ref="CD61:CI6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63"/>
  <sheetViews>
    <sheetView workbookViewId="0">
      <selection activeCell="N12" sqref="N12"/>
    </sheetView>
  </sheetViews>
  <sheetFormatPr defaultColWidth="8.85546875" defaultRowHeight="12.75" x14ac:dyDescent="0.2"/>
  <cols>
    <col min="3" max="3" width="12.5703125" customWidth="1"/>
    <col min="4" max="4" width="12.42578125" customWidth="1"/>
    <col min="5" max="5" width="10.42578125" customWidth="1"/>
    <col min="6" max="6" width="11.42578125" customWidth="1"/>
    <col min="7" max="7" width="12.5703125" customWidth="1"/>
    <col min="8" max="8" width="3.85546875" customWidth="1"/>
    <col min="9" max="9" width="12.5703125" customWidth="1"/>
    <col min="10" max="10" width="12.42578125" customWidth="1"/>
    <col min="11" max="11" width="10.42578125" customWidth="1"/>
    <col min="12" max="12" width="13.85546875" customWidth="1"/>
    <col min="13" max="13" width="12.5703125" bestFit="1" customWidth="1"/>
    <col min="14" max="14" width="3.85546875" customWidth="1"/>
    <col min="15" max="15" width="13.42578125" customWidth="1"/>
    <col min="16" max="16" width="19.140625" customWidth="1"/>
    <col min="17" max="17" width="13" customWidth="1"/>
    <col min="18" max="18" width="18.5703125" bestFit="1" customWidth="1"/>
    <col min="19" max="19" width="13.7109375" customWidth="1"/>
    <col min="20" max="20" width="3.85546875" customWidth="1"/>
    <col min="21" max="21" width="12" customWidth="1"/>
    <col min="22" max="22" width="13.28515625" bestFit="1" customWidth="1"/>
    <col min="23" max="23" width="10.42578125" customWidth="1"/>
    <col min="24" max="24" width="21.140625" bestFit="1" customWidth="1"/>
    <col min="25" max="25" width="12.5703125" bestFit="1" customWidth="1"/>
    <col min="26" max="26" width="3.85546875" customWidth="1"/>
    <col min="27" max="27" width="7.85546875" customWidth="1"/>
    <col min="28" max="28" width="11.42578125" bestFit="1" customWidth="1"/>
    <col min="29" max="29" width="8.42578125" customWidth="1"/>
    <col min="30" max="30" width="11.42578125" customWidth="1"/>
    <col min="31" max="31" width="12.5703125" customWidth="1"/>
    <col min="33" max="33" width="12.42578125" bestFit="1" customWidth="1"/>
    <col min="35" max="35" width="11.42578125" bestFit="1" customWidth="1"/>
    <col min="36" max="36" width="3.85546875" customWidth="1"/>
    <col min="38" max="38" width="12.42578125" bestFit="1" customWidth="1"/>
    <col min="40" max="40" width="11.42578125" bestFit="1" customWidth="1"/>
    <col min="41" max="41" width="3.85546875" customWidth="1"/>
    <col min="43" max="43" width="12.42578125" bestFit="1" customWidth="1"/>
    <col min="45" max="45" width="11.42578125" bestFit="1" customWidth="1"/>
    <col min="46" max="46" width="3.85546875" customWidth="1"/>
    <col min="48" max="48" width="11.42578125" bestFit="1" customWidth="1"/>
    <col min="50" max="50" width="11.42578125" bestFit="1" customWidth="1"/>
  </cols>
  <sheetData>
    <row r="1" spans="1:31" x14ac:dyDescent="0.2">
      <c r="C1" s="344" t="s">
        <v>268</v>
      </c>
      <c r="D1" s="344"/>
      <c r="E1" s="344"/>
      <c r="F1" s="344"/>
      <c r="G1" s="344"/>
      <c r="I1" s="344"/>
      <c r="J1" s="344"/>
      <c r="K1" s="344"/>
      <c r="L1" s="344"/>
      <c r="M1" s="344"/>
      <c r="O1" s="344"/>
      <c r="P1" s="344"/>
      <c r="Q1" s="344"/>
      <c r="R1" s="344"/>
      <c r="S1" s="344"/>
      <c r="U1" s="344"/>
      <c r="V1" s="344"/>
      <c r="W1" s="344"/>
      <c r="X1" s="344"/>
      <c r="Y1" s="344"/>
      <c r="AA1" s="344"/>
      <c r="AB1" s="344"/>
      <c r="AC1" s="344"/>
      <c r="AD1" s="344"/>
    </row>
    <row r="2" spans="1:31" x14ac:dyDescent="0.2">
      <c r="B2" s="9" t="s">
        <v>269</v>
      </c>
      <c r="C2" s="9" t="s">
        <v>270</v>
      </c>
      <c r="D2" s="9" t="s">
        <v>271</v>
      </c>
      <c r="E2" s="9" t="s">
        <v>272</v>
      </c>
      <c r="F2" s="9" t="s">
        <v>273</v>
      </c>
      <c r="G2" s="9" t="s">
        <v>274</v>
      </c>
      <c r="I2" s="9"/>
      <c r="J2" s="9"/>
      <c r="K2" s="9"/>
      <c r="L2" s="9"/>
      <c r="M2" s="9"/>
      <c r="O2" s="9"/>
      <c r="P2" s="9"/>
      <c r="Q2" s="9"/>
      <c r="R2" s="9"/>
      <c r="S2" s="9"/>
      <c r="U2" s="9"/>
      <c r="V2" s="9"/>
      <c r="W2" s="9"/>
      <c r="X2" s="9"/>
      <c r="Y2" s="9"/>
      <c r="AA2" s="9"/>
      <c r="AB2" s="9"/>
      <c r="AC2" s="9"/>
      <c r="AD2" s="9"/>
      <c r="AE2" s="9"/>
    </row>
    <row r="3" spans="1:31" x14ac:dyDescent="0.2">
      <c r="A3">
        <v>1</v>
      </c>
      <c r="B3" t="s">
        <v>232</v>
      </c>
      <c r="C3" s="2">
        <v>30784.058000000005</v>
      </c>
      <c r="D3" s="2">
        <v>11373400.841999998</v>
      </c>
      <c r="E3" s="2">
        <v>13226.310999999998</v>
      </c>
      <c r="F3" s="2">
        <f>+'DEI Sales by Rate'!P3*C3/D3</f>
        <v>39257.636777981432</v>
      </c>
      <c r="G3" s="30">
        <f>+'DEI Sales by Rate'!P3*E3/D3</f>
        <v>16866.967738646417</v>
      </c>
      <c r="H3" s="28"/>
      <c r="I3" s="2"/>
      <c r="J3" s="2"/>
      <c r="K3" s="2"/>
      <c r="L3" s="2"/>
      <c r="M3" s="30"/>
      <c r="O3" s="2"/>
      <c r="P3" s="2"/>
      <c r="Q3" s="2"/>
      <c r="R3" s="2"/>
      <c r="S3" s="30"/>
      <c r="U3" s="2"/>
      <c r="V3" s="2"/>
      <c r="W3" s="2"/>
      <c r="X3" s="2"/>
      <c r="Y3" s="30"/>
      <c r="AA3" s="2"/>
      <c r="AB3" s="2"/>
      <c r="AC3" s="2"/>
      <c r="AD3" s="2"/>
      <c r="AE3" s="30"/>
    </row>
    <row r="4" spans="1:31" x14ac:dyDescent="0.2">
      <c r="A4">
        <v>2</v>
      </c>
      <c r="B4" t="s">
        <v>233</v>
      </c>
      <c r="C4" s="2">
        <v>30517.115000000002</v>
      </c>
      <c r="D4" s="2">
        <v>10817986.516000001</v>
      </c>
      <c r="E4" s="2">
        <v>13329.024000000001</v>
      </c>
      <c r="F4" s="2">
        <f>+'DEI Sales by Rate'!P4*C4/D4</f>
        <v>39973.851186962878</v>
      </c>
      <c r="G4" s="30">
        <f>+'DEI Sales by Rate'!P4*E4/D4</f>
        <v>17459.462398180716</v>
      </c>
      <c r="H4" s="28"/>
      <c r="I4" s="2"/>
      <c r="J4" s="2"/>
      <c r="K4" s="2"/>
      <c r="L4" s="2"/>
      <c r="M4" s="30"/>
      <c r="O4" s="2"/>
      <c r="P4" s="2"/>
      <c r="Q4" s="2"/>
      <c r="R4" s="2"/>
      <c r="S4" s="30"/>
      <c r="U4" s="2"/>
      <c r="V4" s="2"/>
      <c r="W4" s="2"/>
      <c r="X4" s="2"/>
      <c r="Y4" s="30"/>
      <c r="AA4" s="2"/>
      <c r="AB4" s="2"/>
      <c r="AC4" s="2"/>
      <c r="AD4" s="2"/>
      <c r="AE4" s="30"/>
    </row>
    <row r="5" spans="1:31" x14ac:dyDescent="0.2">
      <c r="A5">
        <v>3</v>
      </c>
      <c r="B5" t="s">
        <v>234</v>
      </c>
      <c r="C5" s="2">
        <v>30788.757999999998</v>
      </c>
      <c r="D5" s="2">
        <v>10274392.241999999</v>
      </c>
      <c r="E5" s="2">
        <v>14923.528</v>
      </c>
      <c r="F5" s="2">
        <f>+'DEI Sales by Rate'!P5*C5/D5</f>
        <v>36290.073358308138</v>
      </c>
      <c r="G5" s="30">
        <f>+'DEI Sales by Rate'!P5*E5/D5</f>
        <v>17590.054327126985</v>
      </c>
      <c r="H5" s="28"/>
      <c r="I5" s="2"/>
      <c r="J5" s="2"/>
      <c r="K5" s="2"/>
      <c r="L5" s="2"/>
      <c r="M5" s="30"/>
      <c r="O5" s="2"/>
      <c r="P5" s="2"/>
      <c r="Q5" s="2"/>
      <c r="R5" s="2"/>
      <c r="S5" s="30"/>
      <c r="U5" s="2"/>
      <c r="V5" s="2"/>
      <c r="W5" s="2"/>
      <c r="X5" s="2"/>
      <c r="Y5" s="30"/>
      <c r="AA5" s="2"/>
      <c r="AB5" s="2"/>
      <c r="AC5" s="2"/>
      <c r="AD5" s="2"/>
      <c r="AE5" s="30"/>
    </row>
    <row r="6" spans="1:31" x14ac:dyDescent="0.2">
      <c r="A6">
        <v>4</v>
      </c>
      <c r="B6" t="s">
        <v>235</v>
      </c>
      <c r="C6" s="2">
        <v>31228.475000000002</v>
      </c>
      <c r="D6" s="2">
        <v>9808932.123999998</v>
      </c>
      <c r="E6" s="2">
        <v>11441.357</v>
      </c>
      <c r="F6" s="2">
        <f>+'DEI Sales by Rate'!P6*C6/D6</f>
        <v>32336.827302048125</v>
      </c>
      <c r="G6" s="30">
        <f>+'DEI Sales by Rate'!P6*E6/D6</f>
        <v>11847.430443211824</v>
      </c>
      <c r="H6" s="28"/>
      <c r="I6" s="2"/>
      <c r="J6" s="2"/>
      <c r="K6" s="2"/>
      <c r="L6" s="2"/>
      <c r="M6" s="30"/>
      <c r="O6" s="2"/>
      <c r="P6" s="2"/>
      <c r="Q6" s="2"/>
      <c r="R6" s="2"/>
      <c r="S6" s="30"/>
      <c r="U6" s="2"/>
      <c r="V6" s="2"/>
      <c r="W6" s="2"/>
      <c r="X6" s="2"/>
      <c r="Y6" s="30"/>
      <c r="AA6" s="2"/>
      <c r="AB6" s="2"/>
      <c r="AC6" s="2"/>
      <c r="AD6" s="2"/>
      <c r="AE6" s="30"/>
    </row>
    <row r="7" spans="1:31" x14ac:dyDescent="0.2">
      <c r="A7">
        <v>5</v>
      </c>
      <c r="B7" t="s">
        <v>236</v>
      </c>
      <c r="C7" s="2">
        <v>53188.337</v>
      </c>
      <c r="D7" s="2">
        <v>18823506.930999998</v>
      </c>
      <c r="E7" s="2">
        <v>21718.413999999993</v>
      </c>
      <c r="F7" s="2">
        <f>+'DEI Sales by Rate'!P7*C7/D7</f>
        <v>66364.00471668932</v>
      </c>
      <c r="G7" s="30">
        <f>+'DEI Sales by Rate'!P7*E7/D7</f>
        <v>27098.439440492584</v>
      </c>
      <c r="H7" s="28"/>
      <c r="I7" s="2"/>
      <c r="J7" s="2"/>
      <c r="K7" s="2"/>
      <c r="L7" s="2"/>
      <c r="M7" s="30"/>
      <c r="O7" s="2"/>
      <c r="P7" s="2"/>
      <c r="Q7" s="2"/>
      <c r="R7" s="2"/>
      <c r="S7" s="30"/>
      <c r="U7" s="2"/>
      <c r="V7" s="2"/>
      <c r="W7" s="2"/>
      <c r="X7" s="2"/>
      <c r="Y7" s="30"/>
      <c r="AA7" s="2"/>
      <c r="AB7" s="2"/>
      <c r="AC7" s="2"/>
      <c r="AD7" s="2"/>
      <c r="AE7" s="30"/>
    </row>
    <row r="8" spans="1:31" x14ac:dyDescent="0.2">
      <c r="A8">
        <v>6</v>
      </c>
      <c r="B8" t="s">
        <v>237</v>
      </c>
      <c r="C8" s="2">
        <v>58608.88700000001</v>
      </c>
      <c r="D8" s="2">
        <v>21523585.145000003</v>
      </c>
      <c r="E8" s="2">
        <v>24445.582999999999</v>
      </c>
      <c r="F8" s="2">
        <f>+'DEI Sales by Rate'!P8*C8/D8</f>
        <v>71999.015314102449</v>
      </c>
      <c r="G8" s="30">
        <f>+'DEI Sales by Rate'!P8*E8/D8</f>
        <v>30030.563535171073</v>
      </c>
      <c r="H8" s="28"/>
      <c r="I8" s="2"/>
      <c r="J8" s="2"/>
      <c r="K8" s="2"/>
      <c r="L8" s="2"/>
      <c r="M8" s="30"/>
      <c r="O8" s="2"/>
      <c r="P8" s="2"/>
      <c r="Q8" s="2"/>
      <c r="R8" s="2"/>
      <c r="S8" s="30"/>
      <c r="U8" s="2"/>
      <c r="V8" s="2"/>
      <c r="W8" s="2"/>
      <c r="X8" s="2"/>
      <c r="Y8" s="30"/>
      <c r="AA8" s="2"/>
      <c r="AB8" s="2"/>
      <c r="AC8" s="2"/>
      <c r="AD8" s="2"/>
      <c r="AE8" s="30"/>
    </row>
    <row r="9" spans="1:31" x14ac:dyDescent="0.2">
      <c r="A9">
        <v>7</v>
      </c>
      <c r="B9" t="s">
        <v>238</v>
      </c>
      <c r="C9" s="2">
        <v>31730.800999999996</v>
      </c>
      <c r="D9" s="2">
        <v>10474158.432</v>
      </c>
      <c r="E9" s="2">
        <v>13625.710999999999</v>
      </c>
      <c r="F9" s="2">
        <f>+'DEI Sales by Rate'!P9*C9/D9</f>
        <v>37167.081616265925</v>
      </c>
      <c r="G9" s="30">
        <f>+'DEI Sales by Rate'!P9*E9/D9</f>
        <v>15960.136424436701</v>
      </c>
      <c r="H9" s="28"/>
      <c r="I9" s="2"/>
      <c r="J9" s="2"/>
      <c r="K9" s="2"/>
      <c r="L9" s="2"/>
      <c r="M9" s="30"/>
      <c r="O9" s="2"/>
      <c r="P9" s="2"/>
      <c r="Q9" s="2"/>
      <c r="R9" s="2"/>
      <c r="S9" s="30"/>
      <c r="U9" s="2"/>
      <c r="V9" s="2"/>
      <c r="W9" s="2"/>
      <c r="X9" s="2"/>
      <c r="Y9" s="30"/>
      <c r="AA9" s="2"/>
      <c r="AB9" s="2"/>
      <c r="AC9" s="2"/>
      <c r="AD9" s="2"/>
      <c r="AE9" s="30"/>
    </row>
    <row r="10" spans="1:31" x14ac:dyDescent="0.2">
      <c r="A10">
        <v>8</v>
      </c>
      <c r="B10" t="s">
        <v>239</v>
      </c>
      <c r="C10" s="2">
        <v>28044.026000000002</v>
      </c>
      <c r="D10" s="2">
        <v>10184911.390000001</v>
      </c>
      <c r="E10" s="2">
        <v>10948.779999999999</v>
      </c>
      <c r="F10" s="2">
        <f>+'DEI Sales by Rate'!P10*C10/D10</f>
        <v>27263.163411610789</v>
      </c>
      <c r="G10" s="30">
        <f>+'DEI Sales by Rate'!P10*E10/D10</f>
        <v>10643.920323628852</v>
      </c>
      <c r="H10" s="28"/>
      <c r="I10" s="2"/>
      <c r="J10" s="2"/>
      <c r="K10" s="2"/>
      <c r="L10" s="2"/>
      <c r="M10" s="30"/>
      <c r="O10" s="2"/>
      <c r="P10" s="2"/>
      <c r="Q10" s="2"/>
      <c r="R10" s="2"/>
      <c r="S10" s="30"/>
      <c r="U10" s="2"/>
      <c r="V10" s="2"/>
      <c r="W10" s="2"/>
      <c r="X10" s="2"/>
      <c r="Y10" s="30"/>
      <c r="AA10" s="2"/>
      <c r="AB10" s="2"/>
      <c r="AC10" s="2"/>
      <c r="AD10" s="2"/>
      <c r="AE10" s="30"/>
    </row>
    <row r="11" spans="1:31" x14ac:dyDescent="0.2">
      <c r="A11">
        <v>9</v>
      </c>
      <c r="B11" t="s">
        <v>240</v>
      </c>
      <c r="C11" s="2">
        <v>30319.337999999996</v>
      </c>
      <c r="D11" s="2">
        <v>10409766.776000001</v>
      </c>
      <c r="E11" s="2">
        <v>11797.489000000001</v>
      </c>
      <c r="F11" s="2">
        <f>+'DEI Sales by Rate'!P11*C11/D11</f>
        <v>40397.491041402551</v>
      </c>
      <c r="G11" s="30">
        <f>+'DEI Sales by Rate'!P11*E11/D11</f>
        <v>15718.976324237201</v>
      </c>
      <c r="H11" s="28"/>
      <c r="I11" s="2"/>
      <c r="J11" s="2"/>
      <c r="K11" s="2"/>
      <c r="L11" s="2"/>
      <c r="M11" s="30"/>
      <c r="O11" s="2"/>
      <c r="P11" s="2"/>
      <c r="Q11" s="2"/>
      <c r="R11" s="2"/>
      <c r="S11" s="30"/>
      <c r="U11" s="2"/>
      <c r="V11" s="2"/>
      <c r="W11" s="2"/>
      <c r="X11" s="2"/>
      <c r="Y11" s="30"/>
      <c r="AA11" s="2"/>
      <c r="AB11" s="2"/>
      <c r="AC11" s="2"/>
      <c r="AD11" s="2"/>
      <c r="AE11" s="30"/>
    </row>
    <row r="12" spans="1:31" x14ac:dyDescent="0.2">
      <c r="A12">
        <v>10</v>
      </c>
      <c r="B12" t="s">
        <v>241</v>
      </c>
      <c r="C12" s="2">
        <v>30262.910000000003</v>
      </c>
      <c r="D12" s="2">
        <v>11123457.721999999</v>
      </c>
      <c r="E12" s="2">
        <v>30262.910000000003</v>
      </c>
      <c r="F12" s="2">
        <f>+'DEI Sales by Rate'!P12*C12/D12</f>
        <v>35435.965904028999</v>
      </c>
      <c r="G12" s="30">
        <f>+'DEI Sales by Rate'!P12*E12/D12</f>
        <v>35435.965904028999</v>
      </c>
      <c r="H12" s="28"/>
      <c r="I12" s="2"/>
      <c r="J12" s="2"/>
      <c r="K12" s="2"/>
      <c r="L12" s="2"/>
      <c r="M12" s="30"/>
      <c r="O12" s="2"/>
      <c r="P12" s="2"/>
      <c r="Q12" s="2"/>
      <c r="R12" s="2"/>
      <c r="S12" s="30"/>
      <c r="U12" s="2"/>
      <c r="V12" s="2"/>
      <c r="W12" s="2"/>
      <c r="X12" s="2"/>
      <c r="Y12" s="30"/>
      <c r="AA12" s="2"/>
      <c r="AB12" s="2"/>
      <c r="AC12" s="2"/>
      <c r="AD12" s="2"/>
      <c r="AE12" s="30"/>
    </row>
    <row r="13" spans="1:31" x14ac:dyDescent="0.2">
      <c r="A13">
        <v>11</v>
      </c>
      <c r="B13" t="s">
        <v>242</v>
      </c>
      <c r="C13" s="2">
        <v>30354.873</v>
      </c>
      <c r="D13" s="2">
        <v>10964677.261</v>
      </c>
      <c r="E13" s="2">
        <v>30354.873</v>
      </c>
      <c r="F13" s="2">
        <f>+'DEI Sales by Rate'!P13*C13/D13</f>
        <v>36046.300265537931</v>
      </c>
      <c r="G13" s="30">
        <f>+'DEI Sales by Rate'!P13*E13/D13</f>
        <v>36046.300265537931</v>
      </c>
      <c r="H13" s="28"/>
      <c r="I13" s="2"/>
      <c r="J13" s="2"/>
      <c r="K13" s="2"/>
      <c r="L13" s="2"/>
      <c r="M13" s="30"/>
      <c r="O13" s="2"/>
      <c r="P13" s="2"/>
      <c r="Q13" s="2"/>
      <c r="R13" s="2"/>
      <c r="S13" s="30"/>
      <c r="U13" s="2"/>
      <c r="V13" s="2"/>
      <c r="W13" s="2"/>
      <c r="X13" s="2"/>
      <c r="Y13" s="30"/>
      <c r="AA13" s="2"/>
      <c r="AB13" s="2"/>
      <c r="AC13" s="2"/>
      <c r="AD13" s="2"/>
      <c r="AE13" s="30"/>
    </row>
    <row r="14" spans="1:31" ht="15" x14ac:dyDescent="0.35">
      <c r="A14">
        <v>12</v>
      </c>
      <c r="B14" t="s">
        <v>243</v>
      </c>
      <c r="C14" s="86">
        <v>31495.174999999999</v>
      </c>
      <c r="D14" s="86">
        <v>10983511.827</v>
      </c>
      <c r="E14" s="86">
        <v>31495.174999999999</v>
      </c>
      <c r="F14" s="2">
        <f>+'DEI Sales by Rate'!P14*C14/D14</f>
        <v>36549.595798063507</v>
      </c>
      <c r="G14" s="30">
        <f>+'DEI Sales by Rate'!P14*E14/D14</f>
        <v>36549.595798063507</v>
      </c>
      <c r="H14" s="28"/>
      <c r="I14" s="2"/>
      <c r="J14" s="2"/>
      <c r="K14" s="2"/>
      <c r="L14" s="65"/>
      <c r="M14" s="66"/>
      <c r="O14" s="2"/>
      <c r="P14" s="2"/>
      <c r="Q14" s="2"/>
      <c r="R14" s="63"/>
      <c r="S14" s="64"/>
      <c r="U14" s="2"/>
      <c r="V14" s="2"/>
      <c r="W14" s="2"/>
      <c r="X14" s="63"/>
      <c r="Y14" s="64"/>
      <c r="AA14" s="2"/>
      <c r="AB14" s="2"/>
      <c r="AC14" s="2"/>
      <c r="AD14" s="63"/>
      <c r="AE14" s="64"/>
    </row>
    <row r="15" spans="1:31" x14ac:dyDescent="0.2">
      <c r="C15" s="3">
        <f>SUM(C3:C14)</f>
        <v>417322.75300000008</v>
      </c>
      <c r="D15" s="3">
        <f>SUM(D3:D14)</f>
        <v>146762287.20799997</v>
      </c>
      <c r="E15" s="3">
        <f>SUM(E3:E14)</f>
        <v>227569.15499999997</v>
      </c>
      <c r="F15" s="3">
        <f>SUM(F3:F14)</f>
        <v>499081.00669300201</v>
      </c>
      <c r="G15" s="62">
        <f>SUM(G3:G14)</f>
        <v>271247.81292276277</v>
      </c>
      <c r="L15" s="3"/>
      <c r="M15" s="3"/>
      <c r="R15" s="3"/>
      <c r="S15" s="3"/>
      <c r="X15" s="3"/>
      <c r="Y15" s="3"/>
      <c r="AD15" s="3"/>
      <c r="AE15" s="3"/>
    </row>
    <row r="17" spans="1:31" x14ac:dyDescent="0.2">
      <c r="C17" s="344" t="s">
        <v>35</v>
      </c>
      <c r="D17" s="344"/>
      <c r="E17" s="344"/>
      <c r="F17" s="344"/>
      <c r="G17" s="344"/>
      <c r="I17" s="344" t="s">
        <v>275</v>
      </c>
      <c r="J17" s="344"/>
      <c r="K17" s="344"/>
      <c r="L17" s="344"/>
      <c r="M17" s="344"/>
      <c r="O17" s="344" t="s">
        <v>276</v>
      </c>
      <c r="P17" s="344"/>
      <c r="Q17" s="344"/>
      <c r="R17" s="344"/>
      <c r="S17" s="344"/>
      <c r="U17" s="344"/>
      <c r="V17" s="344"/>
      <c r="W17" s="344"/>
      <c r="X17" s="344"/>
      <c r="Y17" s="344"/>
      <c r="AA17" s="344"/>
      <c r="AB17" s="344"/>
      <c r="AC17" s="344"/>
      <c r="AD17" s="344"/>
      <c r="AE17" s="344"/>
    </row>
    <row r="18" spans="1:31" x14ac:dyDescent="0.2">
      <c r="B18" s="9" t="s">
        <v>269</v>
      </c>
      <c r="C18" s="9" t="s">
        <v>270</v>
      </c>
      <c r="D18" s="9" t="s">
        <v>271</v>
      </c>
      <c r="E18" s="9" t="s">
        <v>272</v>
      </c>
      <c r="F18" s="9" t="s">
        <v>273</v>
      </c>
      <c r="G18" s="9" t="s">
        <v>274</v>
      </c>
      <c r="I18" s="9" t="s">
        <v>270</v>
      </c>
      <c r="J18" s="9" t="s">
        <v>271</v>
      </c>
      <c r="K18" s="9" t="s">
        <v>272</v>
      </c>
      <c r="L18" s="9" t="s">
        <v>273</v>
      </c>
      <c r="M18" s="9" t="s">
        <v>274</v>
      </c>
      <c r="O18" s="9" t="s">
        <v>270</v>
      </c>
      <c r="P18" s="9" t="s">
        <v>271</v>
      </c>
      <c r="Q18" s="9" t="s">
        <v>272</v>
      </c>
      <c r="R18" s="9" t="s">
        <v>273</v>
      </c>
      <c r="S18" s="9" t="s">
        <v>274</v>
      </c>
      <c r="U18" s="9"/>
      <c r="V18" s="9"/>
      <c r="W18" s="9"/>
      <c r="X18" s="9"/>
      <c r="Y18" s="9"/>
      <c r="AA18" s="9"/>
      <c r="AB18" s="9"/>
      <c r="AC18" s="9"/>
      <c r="AD18" s="9"/>
      <c r="AE18" s="9"/>
    </row>
    <row r="19" spans="1:31" x14ac:dyDescent="0.2">
      <c r="A19">
        <v>1</v>
      </c>
      <c r="B19" t="s">
        <v>232</v>
      </c>
      <c r="C19" s="2">
        <v>42787.02</v>
      </c>
      <c r="D19" s="2">
        <v>19719164.467999998</v>
      </c>
      <c r="E19" s="2">
        <v>26521.832000000002</v>
      </c>
      <c r="F19" s="2">
        <f>IFERROR(ROUND('DEI Sales by Rate'!Q3*C19/D19,0),0)</f>
        <v>53755</v>
      </c>
      <c r="G19" s="30">
        <f>IFERROR(ROUND('DEI Sales by Rate'!Q3*E19/D19,1),0)</f>
        <v>33320.1</v>
      </c>
      <c r="I19" s="2">
        <v>119854.46799999998</v>
      </c>
      <c r="J19" s="2">
        <v>45073225.168999992</v>
      </c>
      <c r="K19" s="2">
        <v>59662.59399999999</v>
      </c>
      <c r="L19" s="2">
        <f>IFERROR(ROUND('DEI Sales by Rate'!R3*I19/J19,0),0)</f>
        <v>149036</v>
      </c>
      <c r="M19" s="30">
        <f>IFERROR(ROUND('DEI Sales by Rate'!R3*K19/J19,1),0)</f>
        <v>74188.7</v>
      </c>
      <c r="O19" s="5">
        <v>1295626</v>
      </c>
      <c r="P19" s="2">
        <v>335815770.19799995</v>
      </c>
      <c r="Q19" s="2">
        <v>392462.30700000009</v>
      </c>
      <c r="R19" s="2">
        <f>IFERROR(ROUND('DEI Sales by Rate'!S3*O19/P19,0),0)</f>
        <v>1450348</v>
      </c>
      <c r="S19" s="30">
        <f>IFERROR(ROUND('DEI Sales by Rate'!#REF!*Q19/P19,1),0)</f>
        <v>0</v>
      </c>
      <c r="U19" s="2"/>
      <c r="V19" s="2"/>
      <c r="W19" s="2"/>
      <c r="X19" s="2"/>
      <c r="Y19" s="30"/>
      <c r="AA19" s="2"/>
      <c r="AB19" s="2"/>
      <c r="AC19" s="2"/>
      <c r="AD19" s="2"/>
      <c r="AE19" s="30"/>
    </row>
    <row r="20" spans="1:31" x14ac:dyDescent="0.2">
      <c r="A20">
        <v>2</v>
      </c>
      <c r="B20" t="s">
        <v>233</v>
      </c>
      <c r="C20" s="2">
        <v>46982.638000000006</v>
      </c>
      <c r="D20" s="2">
        <v>21913491.401000001</v>
      </c>
      <c r="E20" s="2">
        <v>25875.198</v>
      </c>
      <c r="F20" s="2">
        <f>IFERROR(ROUND('DEI Sales by Rate'!Q4*C20/D20,0),0)</f>
        <v>57422</v>
      </c>
      <c r="G20" s="30">
        <f>IFERROR(ROUND('DEI Sales by Rate'!Q4*E20/D20,1),0)</f>
        <v>31624.799999999999</v>
      </c>
      <c r="I20" s="2">
        <v>124093.58200000001</v>
      </c>
      <c r="J20" s="2">
        <v>46969015.098000005</v>
      </c>
      <c r="K20" s="2">
        <v>58808.790000000008</v>
      </c>
      <c r="L20" s="2">
        <f>IFERROR(ROUND('DEI Sales by Rate'!R4*I20/J20,0),0)</f>
        <v>150483</v>
      </c>
      <c r="M20" s="30">
        <f>IFERROR(ROUND('DEI Sales by Rate'!R4*K20/J20,1),0)</f>
        <v>71315.100000000006</v>
      </c>
      <c r="O20" s="5">
        <v>1240277</v>
      </c>
      <c r="P20" s="2">
        <v>323183925.47300011</v>
      </c>
      <c r="Q20" s="2">
        <v>383151.31700000085</v>
      </c>
      <c r="R20" s="2">
        <f>IFERROR(ROUND('DEI Sales by Rate'!S4*O20/P20,0),0)</f>
        <v>1310144</v>
      </c>
      <c r="S20" s="30">
        <f>IFERROR(ROUND('DEI Sales by Rate'!#REF!*Q20/P20,1),0)</f>
        <v>0</v>
      </c>
      <c r="U20" s="2"/>
      <c r="V20" s="2"/>
      <c r="W20" s="2"/>
      <c r="X20" s="2"/>
      <c r="Y20" s="30"/>
      <c r="AA20" s="2"/>
      <c r="AB20" s="2"/>
      <c r="AC20" s="2"/>
      <c r="AD20" s="2"/>
      <c r="AE20" s="30"/>
    </row>
    <row r="21" spans="1:31" x14ac:dyDescent="0.2">
      <c r="A21">
        <v>3</v>
      </c>
      <c r="B21" t="s">
        <v>234</v>
      </c>
      <c r="C21" s="2">
        <v>46431.353999999999</v>
      </c>
      <c r="D21" s="2">
        <v>22184758.136</v>
      </c>
      <c r="E21" s="2">
        <v>23106.644</v>
      </c>
      <c r="F21" s="2">
        <f>IFERROR(ROUND('DEI Sales by Rate'!Q5*C21/D21,0),0)</f>
        <v>53774</v>
      </c>
      <c r="G21" s="30">
        <f>IFERROR(ROUND('DEI Sales by Rate'!Q5*E21/D21,1),0)</f>
        <v>26760.9</v>
      </c>
      <c r="I21" s="2">
        <v>126966.533</v>
      </c>
      <c r="J21" s="2">
        <v>48385980.725999996</v>
      </c>
      <c r="K21" s="2">
        <v>63125.388999999996</v>
      </c>
      <c r="L21" s="2">
        <f>IFERROR(ROUND('DEI Sales by Rate'!R5*I21/J21,0),0)</f>
        <v>145905</v>
      </c>
      <c r="M21" s="30">
        <f>IFERROR(ROUND('DEI Sales by Rate'!R5*K21/J21,1),0)</f>
        <v>72541.100000000006</v>
      </c>
      <c r="O21" s="5">
        <v>1161041</v>
      </c>
      <c r="P21" s="2">
        <v>311675041.85399991</v>
      </c>
      <c r="Q21" s="2">
        <v>405449.76500000083</v>
      </c>
      <c r="R21" s="2">
        <f>IFERROR(ROUND('DEI Sales by Rate'!S5*O21/P21,0),0)</f>
        <v>1173621</v>
      </c>
      <c r="S21" s="30">
        <f>IFERROR(ROUND('DEI Sales by Rate'!#REF!*Q21/P21,1),0)</f>
        <v>0</v>
      </c>
      <c r="U21" s="2"/>
      <c r="V21" s="2"/>
      <c r="W21" s="2"/>
      <c r="X21" s="2"/>
      <c r="Y21" s="30"/>
      <c r="AA21" s="2"/>
      <c r="AB21" s="2"/>
      <c r="AC21" s="2"/>
      <c r="AD21" s="2"/>
      <c r="AE21" s="30"/>
    </row>
    <row r="22" spans="1:31" x14ac:dyDescent="0.2">
      <c r="A22">
        <v>4</v>
      </c>
      <c r="B22" t="s">
        <v>235</v>
      </c>
      <c r="C22" s="2">
        <v>78258.394</v>
      </c>
      <c r="D22" s="2">
        <v>21102874.895</v>
      </c>
      <c r="E22" s="2">
        <v>23470.171999999999</v>
      </c>
      <c r="F22" s="2">
        <f>IFERROR(ROUND('DEI Sales by Rate'!Q6*C22/D22,0),0)</f>
        <v>80177</v>
      </c>
      <c r="G22" s="30">
        <f>IFERROR(ROUND('DEI Sales by Rate'!Q6*E22/D22,1),0)</f>
        <v>24045.5</v>
      </c>
      <c r="I22" s="2">
        <v>130414.27700000003</v>
      </c>
      <c r="J22" s="2">
        <v>45285208.04900001</v>
      </c>
      <c r="K22" s="2">
        <v>64678.957000000002</v>
      </c>
      <c r="L22" s="2">
        <f>IFERROR(ROUND('DEI Sales by Rate'!R6*I22/J22,0),0)</f>
        <v>132433</v>
      </c>
      <c r="M22" s="30">
        <f>IFERROR(ROUND('DEI Sales by Rate'!R6*K22/J22,1),0)</f>
        <v>65680.3</v>
      </c>
      <c r="O22" s="5">
        <v>1125100</v>
      </c>
      <c r="P22" s="2">
        <v>306793411.57899988</v>
      </c>
      <c r="Q22" s="2">
        <v>449190.91599999933</v>
      </c>
      <c r="R22" s="2">
        <f>IFERROR(ROUND('DEI Sales by Rate'!S6*O22/P22,0),0)</f>
        <v>1049818</v>
      </c>
      <c r="S22" s="30">
        <f>IFERROR(ROUND('DEI Sales by Rate'!#REF!*Q22/P22,1),0)</f>
        <v>0</v>
      </c>
      <c r="U22" s="2"/>
      <c r="V22" s="2"/>
      <c r="W22" s="2"/>
      <c r="X22" s="2"/>
      <c r="Y22" s="30"/>
      <c r="AA22" s="2"/>
      <c r="AB22" s="2"/>
      <c r="AC22" s="2"/>
      <c r="AD22" s="2"/>
      <c r="AE22" s="30"/>
    </row>
    <row r="23" spans="1:31" x14ac:dyDescent="0.2">
      <c r="A23">
        <v>5</v>
      </c>
      <c r="B23" t="s">
        <v>236</v>
      </c>
      <c r="C23" s="2">
        <v>79079.37000000001</v>
      </c>
      <c r="D23" s="2">
        <v>20826998.485999998</v>
      </c>
      <c r="E23" s="2">
        <v>24974.176000000003</v>
      </c>
      <c r="F23" s="2">
        <f>IFERROR(ROUND('DEI Sales by Rate'!Q7*C23/D23,0),0)</f>
        <v>97155</v>
      </c>
      <c r="G23" s="30">
        <f>IFERROR(ROUND('DEI Sales by Rate'!Q7*E23/D23,1),0)</f>
        <v>30682.6</v>
      </c>
      <c r="I23" s="2">
        <v>131220.47199999998</v>
      </c>
      <c r="J23" s="2">
        <v>48154369.884000003</v>
      </c>
      <c r="K23" s="2">
        <v>66395.495999999999</v>
      </c>
      <c r="L23" s="2">
        <f>IFERROR(ROUND('DEI Sales by Rate'!R7*I23/J23,0),0)</f>
        <v>159464</v>
      </c>
      <c r="M23" s="30">
        <f>IFERROR(ROUND('DEI Sales by Rate'!R7*K23/J23,1),0)</f>
        <v>80686.5</v>
      </c>
      <c r="O23" s="5">
        <v>1105532</v>
      </c>
      <c r="P23" s="2">
        <v>302442617.81500012</v>
      </c>
      <c r="Q23" s="2">
        <v>480130.63400000002</v>
      </c>
      <c r="R23" s="2">
        <f>IFERROR(ROUND('DEI Sales by Rate'!S7*O23/P23,0),0)</f>
        <v>1195426</v>
      </c>
      <c r="S23" s="30">
        <f>IFERROR(ROUND('DEI Sales by Rate'!#REF!*Q23/P23,1),0)</f>
        <v>0</v>
      </c>
      <c r="U23" s="2"/>
      <c r="V23" s="2"/>
      <c r="W23" s="2"/>
      <c r="X23" s="2"/>
      <c r="Y23" s="30"/>
      <c r="AA23" s="2"/>
      <c r="AB23" s="2"/>
      <c r="AC23" s="2"/>
      <c r="AD23" s="2"/>
      <c r="AE23" s="30"/>
    </row>
    <row r="24" spans="1:31" x14ac:dyDescent="0.2">
      <c r="A24">
        <v>6</v>
      </c>
      <c r="B24" t="s">
        <v>237</v>
      </c>
      <c r="C24" s="2">
        <v>62670.696000000004</v>
      </c>
      <c r="D24" s="2">
        <v>22843717.160000004</v>
      </c>
      <c r="E24" s="2">
        <v>27041.342000000004</v>
      </c>
      <c r="F24" s="2">
        <f>IFERROR(ROUND('DEI Sales by Rate'!Q8*C24/D24,0),0)</f>
        <v>75930</v>
      </c>
      <c r="G24" s="30">
        <f>IFERROR(ROUND('DEI Sales by Rate'!Q8*E24/D24,1),0)</f>
        <v>32762.7</v>
      </c>
      <c r="I24" s="2">
        <v>129928.94600000001</v>
      </c>
      <c r="J24" s="2">
        <v>52843563.734000005</v>
      </c>
      <c r="K24" s="2">
        <v>67601.956999999995</v>
      </c>
      <c r="L24" s="2">
        <f>IFERROR(ROUND('DEI Sales by Rate'!R8*I24/J24,0),0)</f>
        <v>155603</v>
      </c>
      <c r="M24" s="30">
        <f>IFERROR(ROUND('DEI Sales by Rate'!R8*K24/J24,1),0)</f>
        <v>80959.899999999994</v>
      </c>
      <c r="O24" s="5">
        <v>1079437</v>
      </c>
      <c r="P24" s="2">
        <v>354889326.72800022</v>
      </c>
      <c r="Q24" s="2">
        <v>530218.81899999897</v>
      </c>
      <c r="R24" s="2">
        <f>IFERROR(ROUND('DEI Sales by Rate'!S8*O24/P24,0),0)</f>
        <v>1173281</v>
      </c>
      <c r="S24" s="30">
        <f>IFERROR(ROUND('DEI Sales by Rate'!#REF!*Q24/P24,1),0)</f>
        <v>0</v>
      </c>
      <c r="U24" s="2"/>
      <c r="V24" s="2"/>
      <c r="W24" s="2"/>
      <c r="X24" s="2"/>
      <c r="Y24" s="30"/>
      <c r="AA24" s="2"/>
      <c r="AB24" s="2"/>
      <c r="AC24" s="2"/>
      <c r="AD24" s="2"/>
      <c r="AE24" s="30"/>
    </row>
    <row r="25" spans="1:31" x14ac:dyDescent="0.2">
      <c r="A25">
        <v>7</v>
      </c>
      <c r="B25" t="s">
        <v>238</v>
      </c>
      <c r="C25" s="2">
        <v>61965.006000000001</v>
      </c>
      <c r="D25" s="2">
        <v>19779239.238999996</v>
      </c>
      <c r="E25" s="2">
        <v>24530.885999999999</v>
      </c>
      <c r="F25" s="2">
        <f>IFERROR(ROUND('DEI Sales by Rate'!Q9*C25/D25,0),0)</f>
        <v>71551</v>
      </c>
      <c r="G25" s="30">
        <f>IFERROR(ROUND('DEI Sales by Rate'!Q9*E25/D25,1),0)</f>
        <v>28326</v>
      </c>
      <c r="I25" s="2">
        <v>131693.95899999997</v>
      </c>
      <c r="J25" s="2">
        <v>49230207.733000003</v>
      </c>
      <c r="K25" s="2">
        <v>67607.187999999995</v>
      </c>
      <c r="L25" s="2">
        <f>IFERROR(ROUND('DEI Sales by Rate'!R9*I25/J25,0),0)</f>
        <v>162847</v>
      </c>
      <c r="M25" s="30">
        <f>IFERROR(ROUND('DEI Sales by Rate'!R9*K25/J25,1),0)</f>
        <v>83600.2</v>
      </c>
      <c r="O25" s="5">
        <v>1080505</v>
      </c>
      <c r="P25" s="2">
        <v>366037278.63900006</v>
      </c>
      <c r="Q25" s="2">
        <v>290981.79100000142</v>
      </c>
      <c r="R25" s="2">
        <f>IFERROR(ROUND('DEI Sales by Rate'!S9*O25/P25,0),0)</f>
        <v>1312552</v>
      </c>
      <c r="S25" s="30">
        <f>IFERROR(ROUND('DEI Sales by Rate'!#REF!*Q25/P25,1),0)</f>
        <v>0</v>
      </c>
      <c r="U25" s="2"/>
      <c r="V25" s="2"/>
      <c r="W25" s="2"/>
      <c r="X25" s="2"/>
      <c r="Y25" s="30"/>
      <c r="AA25" s="2"/>
      <c r="AB25" s="2"/>
      <c r="AC25" s="2"/>
      <c r="AD25" s="2"/>
      <c r="AE25" s="30"/>
    </row>
    <row r="26" spans="1:31" x14ac:dyDescent="0.2">
      <c r="A26">
        <v>8</v>
      </c>
      <c r="B26" t="s">
        <v>239</v>
      </c>
      <c r="C26" s="2">
        <v>63721.568000000007</v>
      </c>
      <c r="D26" s="2">
        <v>20603184.645</v>
      </c>
      <c r="E26" s="2">
        <v>25541.612000000001</v>
      </c>
      <c r="F26" s="2">
        <f>IFERROR(ROUND('DEI Sales by Rate'!Q10*C26/D26,0),0)</f>
        <v>72424</v>
      </c>
      <c r="G26" s="30">
        <f>IFERROR(ROUND('DEI Sales by Rate'!Q10*E26/D26,1),0)</f>
        <v>29029.8</v>
      </c>
      <c r="I26" s="2">
        <v>136804.87</v>
      </c>
      <c r="J26" s="2">
        <v>56812414.092</v>
      </c>
      <c r="K26" s="2">
        <v>70877.264999999999</v>
      </c>
      <c r="L26" s="2">
        <f>IFERROR(ROUND('DEI Sales by Rate'!R10*I26/J26,0),0)</f>
        <v>152755</v>
      </c>
      <c r="M26" s="30">
        <f>IFERROR(ROUND('DEI Sales by Rate'!R10*K26/J26,1),0)</f>
        <v>79140.899999999994</v>
      </c>
      <c r="O26" s="5">
        <v>1148074</v>
      </c>
      <c r="P26" s="2">
        <v>403869428.87300032</v>
      </c>
      <c r="Q26" s="2">
        <v>329604.41399999964</v>
      </c>
      <c r="R26" s="2">
        <f>IFERROR(ROUND('DEI Sales by Rate'!S10*O26/P26,0),0)</f>
        <v>1129994</v>
      </c>
      <c r="S26" s="30">
        <f>IFERROR(ROUND('DEI Sales by Rate'!#REF!*Q26/P26,1),0)</f>
        <v>0</v>
      </c>
      <c r="U26" s="2"/>
      <c r="V26" s="2"/>
      <c r="W26" s="2"/>
      <c r="X26" s="2"/>
      <c r="Y26" s="30"/>
      <c r="AA26" s="2"/>
      <c r="AB26" s="2"/>
      <c r="AC26" s="2"/>
      <c r="AD26" s="2"/>
      <c r="AE26" s="30"/>
    </row>
    <row r="27" spans="1:31" x14ac:dyDescent="0.2">
      <c r="A27">
        <v>9</v>
      </c>
      <c r="B27" t="s">
        <v>240</v>
      </c>
      <c r="C27" s="2">
        <v>48513.703999999991</v>
      </c>
      <c r="D27" s="2">
        <v>21640280.471000001</v>
      </c>
      <c r="E27" s="2">
        <v>24774.403999999999</v>
      </c>
      <c r="F27" s="2">
        <f>IFERROR(ROUND('DEI Sales by Rate'!Q11*C27/D27,0),0)</f>
        <v>62682</v>
      </c>
      <c r="G27" s="30">
        <f>IFERROR(ROUND('DEI Sales by Rate'!Q11*E27/D27,1),0)</f>
        <v>32009.599999999999</v>
      </c>
      <c r="I27" s="2">
        <v>133463.85299999997</v>
      </c>
      <c r="J27" s="2">
        <v>53525401.708999999</v>
      </c>
      <c r="K27" s="2">
        <v>69367.360999999975</v>
      </c>
      <c r="L27" s="2">
        <f>IFERROR(ROUND('DEI Sales by Rate'!R11*I27/J27,0),0)</f>
        <v>170228</v>
      </c>
      <c r="M27" s="30">
        <f>IFERROR(ROUND('DEI Sales by Rate'!R11*K27/J27,1),0)</f>
        <v>88475.6</v>
      </c>
      <c r="O27" s="5">
        <v>1172234</v>
      </c>
      <c r="P27" s="2">
        <v>396670506.85299987</v>
      </c>
      <c r="Q27" s="2">
        <v>586258.45600000059</v>
      </c>
      <c r="R27" s="2">
        <f>IFERROR(ROUND('DEI Sales by Rate'!S11*O27/P27,0),0)</f>
        <v>1267189</v>
      </c>
      <c r="S27" s="30">
        <f>IFERROR(ROUND('DEI Sales by Rate'!#REF!*Q27/P27,1),0)</f>
        <v>0</v>
      </c>
      <c r="U27" s="2"/>
      <c r="V27" s="2"/>
      <c r="W27" s="2"/>
      <c r="X27" s="2"/>
      <c r="Y27" s="30"/>
      <c r="AA27" s="2"/>
      <c r="AB27" s="2"/>
      <c r="AC27" s="2"/>
      <c r="AD27" s="2"/>
      <c r="AE27" s="30"/>
    </row>
    <row r="28" spans="1:31" x14ac:dyDescent="0.2">
      <c r="A28">
        <v>10</v>
      </c>
      <c r="B28" t="s">
        <v>241</v>
      </c>
      <c r="C28" s="2">
        <v>48469.759999999995</v>
      </c>
      <c r="D28" s="2">
        <v>21610684.642000001</v>
      </c>
      <c r="E28" s="2">
        <v>23104.376</v>
      </c>
      <c r="F28" s="2">
        <f>IFERROR(ROUND('DEI Sales by Rate'!Q12*C28/D28,0),0)</f>
        <v>55775</v>
      </c>
      <c r="G28" s="30">
        <f>IFERROR(ROUND('DEI Sales by Rate'!Q12*E28/D28,1),0)</f>
        <v>26586.6</v>
      </c>
      <c r="I28" s="2">
        <v>129288.02799999999</v>
      </c>
      <c r="J28" s="2">
        <v>49425271.740000002</v>
      </c>
      <c r="K28" s="2">
        <v>65686.466000000015</v>
      </c>
      <c r="L28" s="2">
        <f>IFERROR(ROUND('DEI Sales by Rate'!R12*I28/J28,0),0)</f>
        <v>148719</v>
      </c>
      <c r="M28" s="30">
        <f>IFERROR(ROUND('DEI Sales by Rate'!R12*K28/J28,1),0)</f>
        <v>75558.399999999994</v>
      </c>
      <c r="O28" s="5">
        <v>1180802</v>
      </c>
      <c r="P28" s="2">
        <v>325819118.66599971</v>
      </c>
      <c r="Q28" s="2">
        <v>546613.58299999998</v>
      </c>
      <c r="R28" s="2">
        <f>IFERROR(ROUND('DEI Sales by Rate'!S12*O28/P28,0),0)+4</f>
        <v>1240405</v>
      </c>
      <c r="S28" s="30">
        <f>IFERROR(ROUND('DEI Sales by Rate'!#REF!*Q28/P28,1),0)</f>
        <v>0</v>
      </c>
      <c r="U28" s="2"/>
      <c r="V28" s="2"/>
      <c r="W28" s="2"/>
      <c r="X28" s="2"/>
      <c r="Y28" s="30"/>
      <c r="AA28" s="2"/>
      <c r="AB28" s="2"/>
      <c r="AC28" s="2"/>
      <c r="AD28" s="2"/>
      <c r="AE28" s="30"/>
    </row>
    <row r="29" spans="1:31" x14ac:dyDescent="0.2">
      <c r="A29">
        <v>11</v>
      </c>
      <c r="B29" t="s">
        <v>242</v>
      </c>
      <c r="C29" s="2">
        <v>46678.009999999995</v>
      </c>
      <c r="D29" s="2">
        <v>20038456.401999999</v>
      </c>
      <c r="E29" s="2">
        <v>24774.403999999999</v>
      </c>
      <c r="F29" s="2">
        <f>IFERROR(ROUND('DEI Sales by Rate'!Q13*C29/D29,0),0)</f>
        <v>54199</v>
      </c>
      <c r="G29" s="30">
        <f>IFERROR(ROUND('DEI Sales by Rate'!Q13*E29/D29,1),0)</f>
        <v>28766.1</v>
      </c>
      <c r="I29" s="2">
        <v>127020.64099999999</v>
      </c>
      <c r="J29" s="2">
        <v>47772718.922000006</v>
      </c>
      <c r="K29" s="2">
        <v>65075.176000000007</v>
      </c>
      <c r="L29" s="2">
        <f>IFERROR(ROUND('DEI Sales by Rate'!R13*I29/J29,0),0)</f>
        <v>146386</v>
      </c>
      <c r="M29" s="30">
        <f>IFERROR(ROUND('DEI Sales by Rate'!R13*K29/J29,1),0)</f>
        <v>74996.5</v>
      </c>
      <c r="O29" s="5">
        <v>1222667</v>
      </c>
      <c r="P29" s="2">
        <v>317632217.35100001</v>
      </c>
      <c r="Q29" s="2">
        <v>482496.36000000028</v>
      </c>
      <c r="R29" s="2">
        <f>IFERROR(ROUND('DEI Sales by Rate'!S13*O29/P29,0),0)</f>
        <v>1224799</v>
      </c>
      <c r="S29" s="30">
        <f>IFERROR(ROUND('DEI Sales by Rate'!#REF!*Q29/P29,1),0)</f>
        <v>0</v>
      </c>
      <c r="U29" s="2"/>
      <c r="V29" s="2"/>
      <c r="W29" s="2"/>
      <c r="X29" s="2"/>
      <c r="Y29" s="30"/>
      <c r="AA29" s="2"/>
      <c r="AB29" s="2"/>
      <c r="AC29" s="2"/>
      <c r="AD29" s="2"/>
      <c r="AE29" s="30"/>
    </row>
    <row r="30" spans="1:31" ht="15" x14ac:dyDescent="0.35">
      <c r="A30">
        <v>12</v>
      </c>
      <c r="B30" t="s">
        <v>243</v>
      </c>
      <c r="C30" s="86">
        <v>46615.343999999997</v>
      </c>
      <c r="D30" s="86">
        <v>21050293.631999999</v>
      </c>
      <c r="E30" s="86">
        <v>24653.036</v>
      </c>
      <c r="F30" s="63">
        <f>IFERROR(ROUND('DEI Sales by Rate'!Q14*C30/D30,0),0)</f>
        <v>53583</v>
      </c>
      <c r="G30" s="64">
        <f>IFERROR(ROUND('DEI Sales by Rate'!Q14*E30/D30,1),0)</f>
        <v>28338.1</v>
      </c>
      <c r="I30" s="86">
        <v>123930.25</v>
      </c>
      <c r="J30" s="86">
        <v>47102167.883000001</v>
      </c>
      <c r="K30" s="86">
        <v>65047.860999999997</v>
      </c>
      <c r="L30" s="63">
        <f>IFERROR(ROUND('DEI Sales by Rate'!R14*I30/J30,0),0)</f>
        <v>141744</v>
      </c>
      <c r="M30" s="64">
        <f>IFERROR(ROUND('DEI Sales by Rate'!R14*K30/J30,1),0)</f>
        <v>74398</v>
      </c>
      <c r="O30" s="5">
        <v>1354988</v>
      </c>
      <c r="P30" s="86">
        <v>327638626.04200017</v>
      </c>
      <c r="Q30" s="86">
        <v>424719.37800000014</v>
      </c>
      <c r="R30" s="2">
        <f>IFERROR(ROUND('DEI Sales by Rate'!S14*O30/P30,0),0)</f>
        <v>1455427</v>
      </c>
      <c r="S30" s="64">
        <f>IFERROR(ROUND('DEI Sales by Rate'!#REF!*Q30/P30,1),0)</f>
        <v>0</v>
      </c>
      <c r="U30" s="2"/>
      <c r="V30" s="2"/>
      <c r="W30" s="2"/>
      <c r="X30" s="63"/>
      <c r="Y30" s="64"/>
      <c r="AA30" s="2"/>
      <c r="AB30" s="2"/>
      <c r="AC30" s="2"/>
      <c r="AD30" s="63"/>
      <c r="AE30" s="64"/>
    </row>
    <row r="31" spans="1:31" x14ac:dyDescent="0.2">
      <c r="C31" s="3">
        <f>SUM(C19:C30)</f>
        <v>672172.86400000006</v>
      </c>
      <c r="D31" s="3">
        <f>SUM(D19:D30)</f>
        <v>253313143.57700002</v>
      </c>
      <c r="E31" s="3">
        <f>SUM(E19:E30)</f>
        <v>298368.08199999999</v>
      </c>
      <c r="F31" s="3">
        <f>SUM(F19:F30)</f>
        <v>788427</v>
      </c>
      <c r="G31" s="3">
        <f>SUM(G19:G30)</f>
        <v>352252.79999999993</v>
      </c>
      <c r="I31" s="3">
        <f>SUM(I19:I30)</f>
        <v>1544679.879</v>
      </c>
      <c r="J31" s="3">
        <f>SUM(J19:J30)</f>
        <v>590579544.73900008</v>
      </c>
      <c r="K31" s="3">
        <f>SUM(K19:K30)</f>
        <v>783934.5</v>
      </c>
      <c r="L31" s="3">
        <f>SUM(L19:L30)</f>
        <v>1815603</v>
      </c>
      <c r="M31" s="3">
        <f>SUM(M19:M30)</f>
        <v>921541.2</v>
      </c>
      <c r="P31" s="3">
        <f>SUM(P19:P30)</f>
        <v>4072467270.0709996</v>
      </c>
      <c r="Q31" s="3">
        <f>SUM(Q19:Q30)</f>
        <v>5301277.740000003</v>
      </c>
      <c r="R31" s="3">
        <f>SUM(R19:R30)</f>
        <v>14983004</v>
      </c>
      <c r="S31" s="3">
        <f>SUM(S19:S30)</f>
        <v>0</v>
      </c>
      <c r="X31" s="3"/>
      <c r="Y31" s="3"/>
      <c r="AD31" s="3"/>
      <c r="AE31" s="3"/>
    </row>
    <row r="33" spans="2:25" x14ac:dyDescent="0.2">
      <c r="C33" s="344" t="s">
        <v>277</v>
      </c>
      <c r="D33" s="344"/>
      <c r="E33" s="344"/>
      <c r="F33" s="344"/>
      <c r="G33" s="344"/>
      <c r="I33" s="344"/>
      <c r="J33" s="344"/>
      <c r="K33" s="344"/>
      <c r="L33" s="344"/>
      <c r="M33" s="344"/>
      <c r="O33" s="344" t="s">
        <v>50</v>
      </c>
      <c r="P33" s="344"/>
      <c r="Q33" s="344"/>
      <c r="R33" s="344"/>
      <c r="S33" s="344"/>
      <c r="U33" s="344" t="s">
        <v>50</v>
      </c>
      <c r="V33" s="344"/>
      <c r="W33" s="344"/>
      <c r="X33" s="344"/>
      <c r="Y33" s="344"/>
    </row>
    <row r="34" spans="2:25" x14ac:dyDescent="0.2">
      <c r="B34" s="9" t="s">
        <v>269</v>
      </c>
      <c r="C34" s="9" t="s">
        <v>270</v>
      </c>
      <c r="D34" s="9" t="s">
        <v>271</v>
      </c>
      <c r="E34" s="9" t="s">
        <v>272</v>
      </c>
      <c r="F34" s="9" t="s">
        <v>273</v>
      </c>
      <c r="G34" s="9" t="s">
        <v>274</v>
      </c>
      <c r="I34" s="9"/>
      <c r="J34" s="9"/>
      <c r="K34" s="9"/>
      <c r="L34" s="9"/>
      <c r="M34" s="9"/>
      <c r="O34" s="67" t="s">
        <v>278</v>
      </c>
      <c r="P34" s="67" t="s">
        <v>279</v>
      </c>
      <c r="Q34" s="67" t="s">
        <v>272</v>
      </c>
      <c r="R34" s="67" t="s">
        <v>280</v>
      </c>
      <c r="S34" s="67" t="s">
        <v>274</v>
      </c>
      <c r="U34" s="67" t="s">
        <v>281</v>
      </c>
      <c r="V34" s="67" t="s">
        <v>282</v>
      </c>
      <c r="W34" s="67"/>
      <c r="X34" s="67" t="s">
        <v>283</v>
      </c>
      <c r="Y34" s="67"/>
    </row>
    <row r="35" spans="2:25" x14ac:dyDescent="0.2">
      <c r="B35" t="s">
        <v>232</v>
      </c>
      <c r="C35" s="2">
        <v>39447.263999999988</v>
      </c>
      <c r="D35" s="2">
        <v>15526786.511999998</v>
      </c>
      <c r="E35" s="2">
        <v>0</v>
      </c>
      <c r="F35" s="2">
        <f>IFERROR(ROUND('DEI Sales by Rate'!T3*C35/D35,0),0)</f>
        <v>42642</v>
      </c>
      <c r="G35" s="30">
        <f>IFERROR(ROUND('DEI Sales by Rate'!#REF!*E35/D35,1),0)</f>
        <v>0</v>
      </c>
      <c r="I35" s="2"/>
      <c r="J35" s="2"/>
      <c r="K35" s="2"/>
      <c r="L35" s="2"/>
      <c r="M35" s="30"/>
      <c r="O35" s="2">
        <v>889</v>
      </c>
      <c r="P35" s="2">
        <v>135264</v>
      </c>
      <c r="Q35" s="2">
        <v>531.19999999999993</v>
      </c>
      <c r="R35" s="2">
        <f>IFERROR(ROUND('DEI Sales by Rate'!U3*O35/P35,0),0)</f>
        <v>128</v>
      </c>
      <c r="S35" s="30">
        <f>IFERROR(ROUND('DEI Sales by Rate'!U3*Q35/P35,1),0)</f>
        <v>76.400000000000006</v>
      </c>
      <c r="U35" s="2">
        <v>851.6</v>
      </c>
      <c r="V35" s="2">
        <v>411644</v>
      </c>
      <c r="W35" s="2"/>
      <c r="X35" s="2">
        <f>IFERROR(ROUND('DEI Sales by Rate'!V3*U35/V35,0),0)</f>
        <v>1005</v>
      </c>
      <c r="Y35" s="2"/>
    </row>
    <row r="36" spans="2:25" x14ac:dyDescent="0.2">
      <c r="B36" t="s">
        <v>233</v>
      </c>
      <c r="C36" s="2">
        <v>37536.373999999996</v>
      </c>
      <c r="D36" s="2">
        <v>14219171.936000001</v>
      </c>
      <c r="E36" s="2">
        <v>0</v>
      </c>
      <c r="F36" s="2">
        <f>IFERROR(ROUND('DEI Sales by Rate'!T4*C36/D36,0),0)</f>
        <v>37276</v>
      </c>
      <c r="G36" s="30">
        <f>IFERROR(ROUND('DEI Sales by Rate'!#REF!*E36/D36,1),0)</f>
        <v>0</v>
      </c>
      <c r="I36" s="2"/>
      <c r="J36" s="2"/>
      <c r="K36" s="2"/>
      <c r="L36" s="2"/>
      <c r="M36" s="30"/>
      <c r="O36" s="2">
        <v>868.59999999999991</v>
      </c>
      <c r="P36" s="2">
        <v>148965</v>
      </c>
      <c r="Q36" s="2">
        <v>507.2</v>
      </c>
      <c r="R36" s="2">
        <f>IFERROR(ROUND('DEI Sales by Rate'!U4*O36/P36,0),0)</f>
        <v>219</v>
      </c>
      <c r="S36" s="30">
        <f>IFERROR(ROUND('DEI Sales by Rate'!U4*Q36/P36,1),0)</f>
        <v>127.6</v>
      </c>
      <c r="U36" s="2">
        <v>866.8</v>
      </c>
      <c r="V36" s="2">
        <v>407381</v>
      </c>
      <c r="W36" s="2"/>
      <c r="X36" s="2">
        <f>IFERROR(ROUND('DEI Sales by Rate'!V4*U36/V36,0),0)</f>
        <v>940</v>
      </c>
      <c r="Y36" s="2"/>
    </row>
    <row r="37" spans="2:25" x14ac:dyDescent="0.2">
      <c r="B37" t="s">
        <v>234</v>
      </c>
      <c r="C37" s="2">
        <v>34409.215999999993</v>
      </c>
      <c r="D37" s="2">
        <v>13210931.706</v>
      </c>
      <c r="E37" s="2">
        <v>0</v>
      </c>
      <c r="F37" s="2">
        <f>IFERROR(ROUND('DEI Sales by Rate'!T5*C37/D37,0),0)</f>
        <v>32878</v>
      </c>
      <c r="G37" s="30">
        <f>IFERROR(ROUND('DEI Sales by Rate'!#REF!*E37/D37,1),0)</f>
        <v>0</v>
      </c>
      <c r="I37" s="2"/>
      <c r="J37" s="2"/>
      <c r="K37" s="2"/>
      <c r="L37" s="2"/>
      <c r="M37" s="30"/>
      <c r="O37" s="2">
        <v>858.19999999999993</v>
      </c>
      <c r="P37" s="2">
        <v>135360</v>
      </c>
      <c r="Q37" s="2">
        <v>517.69999999999993</v>
      </c>
      <c r="R37" s="2">
        <f>IFERROR(ROUND('DEI Sales by Rate'!U5*O37/P37,0),0)</f>
        <v>230</v>
      </c>
      <c r="S37" s="30">
        <f>IFERROR(ROUND('DEI Sales by Rate'!U5*Q37/P37,1),0)</f>
        <v>138.69999999999999</v>
      </c>
      <c r="U37" s="2">
        <v>866.69999999999993</v>
      </c>
      <c r="V37" s="2">
        <v>363341</v>
      </c>
      <c r="W37" s="2"/>
      <c r="X37" s="2">
        <f>IFERROR(ROUND('DEI Sales by Rate'!V5*U37/V37,0),0)</f>
        <v>1465</v>
      </c>
      <c r="Y37" s="2"/>
    </row>
    <row r="38" spans="2:25" x14ac:dyDescent="0.2">
      <c r="B38" t="s">
        <v>235</v>
      </c>
      <c r="C38" s="2">
        <v>33715.412000000004</v>
      </c>
      <c r="D38" s="2">
        <v>12359106.251</v>
      </c>
      <c r="E38" s="2">
        <v>0</v>
      </c>
      <c r="F38" s="2">
        <f>IFERROR(ROUND('DEI Sales by Rate'!T6*C38/D38,0),0)</f>
        <v>30480</v>
      </c>
      <c r="G38" s="30">
        <f>IFERROR(ROUND('DEI Sales by Rate'!#REF!*E38/D38,1),0)</f>
        <v>0</v>
      </c>
      <c r="I38" s="2"/>
      <c r="J38" s="2"/>
      <c r="K38" s="2"/>
      <c r="L38" s="2"/>
      <c r="M38" s="30"/>
      <c r="O38" s="2">
        <v>948.8</v>
      </c>
      <c r="P38" s="2">
        <v>534457</v>
      </c>
      <c r="Q38" s="2">
        <v>544.09999999999991</v>
      </c>
      <c r="R38" s="2">
        <f>IFERROR(ROUND('DEI Sales by Rate'!U6*O38/P38,0),0)</f>
        <v>1310</v>
      </c>
      <c r="S38" s="30">
        <f>IFERROR(ROUND('DEI Sales by Rate'!U6*Q38/P38,1),0)</f>
        <v>751.1</v>
      </c>
      <c r="U38" s="2">
        <v>0</v>
      </c>
      <c r="V38" s="2">
        <v>0</v>
      </c>
      <c r="W38" s="2"/>
      <c r="X38" s="2">
        <f>IFERROR(ROUND('DEI Sales by Rate'!V6*U38/V38,0),0)</f>
        <v>0</v>
      </c>
      <c r="Y38" s="2"/>
    </row>
    <row r="39" spans="2:25" x14ac:dyDescent="0.2">
      <c r="B39" t="s">
        <v>236</v>
      </c>
      <c r="C39" s="2">
        <v>30265.202000000005</v>
      </c>
      <c r="D39" s="2">
        <v>11407797.821999999</v>
      </c>
      <c r="E39" s="2">
        <v>0</v>
      </c>
      <c r="F39" s="2">
        <f>IFERROR(ROUND('DEI Sales by Rate'!T7*C39/D39,0),0)</f>
        <v>31230</v>
      </c>
      <c r="G39" s="30">
        <f>IFERROR(ROUND('DEI Sales by Rate'!#REF!*E39/D39,1),0)</f>
        <v>0</v>
      </c>
      <c r="I39" s="2"/>
      <c r="J39" s="2"/>
      <c r="K39" s="2"/>
      <c r="L39" s="2"/>
      <c r="M39" s="30"/>
      <c r="O39" s="2">
        <v>909.4</v>
      </c>
      <c r="P39" s="2">
        <v>550165</v>
      </c>
      <c r="Q39" s="2">
        <v>513.79999999999995</v>
      </c>
      <c r="R39" s="2">
        <f>IFERROR(ROUND('DEI Sales by Rate'!U7*O39/P39,0),0)</f>
        <v>1678</v>
      </c>
      <c r="S39" s="30">
        <f>IFERROR(ROUND('DEI Sales by Rate'!U7*Q39/P39,1),0)</f>
        <v>947.8</v>
      </c>
      <c r="U39" s="2">
        <v>0</v>
      </c>
      <c r="V39" s="2">
        <v>0</v>
      </c>
      <c r="W39" s="2"/>
      <c r="X39" s="2">
        <f>IFERROR(ROUND('DEI Sales by Rate'!V7*U39/V39,0),0)</f>
        <v>0</v>
      </c>
      <c r="Y39" s="2"/>
    </row>
    <row r="40" spans="2:25" x14ac:dyDescent="0.2">
      <c r="B40" t="s">
        <v>237</v>
      </c>
      <c r="C40" s="2">
        <v>28577.798000000006</v>
      </c>
      <c r="D40" s="2">
        <v>12850823.908999998</v>
      </c>
      <c r="E40" s="2">
        <v>0</v>
      </c>
      <c r="F40" s="2">
        <f>IFERROR(ROUND('DEI Sales by Rate'!T8*C40/D40,0),0)</f>
        <v>30181</v>
      </c>
      <c r="G40" s="30">
        <f>IFERROR(ROUND('DEI Sales by Rate'!#REF!*E40/D40,1),0)</f>
        <v>0</v>
      </c>
      <c r="I40" s="2"/>
      <c r="J40" s="2"/>
      <c r="K40" s="2"/>
      <c r="L40" s="2"/>
      <c r="M40" s="30"/>
      <c r="O40" s="2">
        <v>888.69999999999993</v>
      </c>
      <c r="P40" s="2">
        <v>545412</v>
      </c>
      <c r="Q40" s="2">
        <v>545.49999999999989</v>
      </c>
      <c r="R40" s="2">
        <f>IFERROR(ROUND('DEI Sales by Rate'!U8*O40/P40,0),0)</f>
        <v>2952</v>
      </c>
      <c r="S40" s="30">
        <f>IFERROR(ROUND('DEI Sales by Rate'!U8*Q40/P40,1),0)</f>
        <v>1811.9</v>
      </c>
      <c r="U40" s="2">
        <v>0</v>
      </c>
      <c r="V40" s="2">
        <v>0</v>
      </c>
      <c r="W40" s="2"/>
      <c r="X40" s="2">
        <f>IFERROR(ROUND('DEI Sales by Rate'!V8*U40/V40,0),0)</f>
        <v>0</v>
      </c>
      <c r="Y40" s="2"/>
    </row>
    <row r="41" spans="2:25" x14ac:dyDescent="0.2">
      <c r="B41" t="s">
        <v>238</v>
      </c>
      <c r="C41" s="2">
        <v>29962.358</v>
      </c>
      <c r="D41" s="2">
        <v>12794037.560999997</v>
      </c>
      <c r="E41" s="2">
        <v>0</v>
      </c>
      <c r="F41" s="2">
        <f>IFERROR(ROUND('DEI Sales by Rate'!T9*C41/D41,0),0)</f>
        <v>32177</v>
      </c>
      <c r="G41" s="30">
        <f>IFERROR(ROUND('DEI Sales by Rate'!#REF!*E41/D41,1),0)</f>
        <v>0</v>
      </c>
      <c r="I41" s="2"/>
      <c r="J41" s="2"/>
      <c r="K41" s="2"/>
      <c r="L41" s="2"/>
      <c r="M41" s="30"/>
      <c r="O41" s="2">
        <v>1033.5999999999999</v>
      </c>
      <c r="P41" s="2">
        <v>142878</v>
      </c>
      <c r="Q41" s="2">
        <v>563.69999999999993</v>
      </c>
      <c r="R41" s="2">
        <f>IFERROR(ROUND('DEI Sales by Rate'!U9*O41/P41,0),0)</f>
        <v>14079</v>
      </c>
      <c r="S41" s="30">
        <f>IFERROR(ROUND('DEI Sales by Rate'!U9*Q41/P41,1),0)</f>
        <v>7678.2</v>
      </c>
      <c r="U41" s="2">
        <v>1013.4</v>
      </c>
      <c r="V41" s="2">
        <v>444805</v>
      </c>
      <c r="W41" s="2"/>
      <c r="X41" s="2">
        <f>IFERROR(ROUND('DEI Sales by Rate'!V9*U41/V41,0),0)</f>
        <v>1294</v>
      </c>
      <c r="Y41" s="2"/>
    </row>
    <row r="42" spans="2:25" x14ac:dyDescent="0.2">
      <c r="B42" t="s">
        <v>239</v>
      </c>
      <c r="C42" s="2">
        <v>30508.396000000004</v>
      </c>
      <c r="D42" s="2">
        <v>13626520.321000002</v>
      </c>
      <c r="E42" s="2">
        <v>0</v>
      </c>
      <c r="F42" s="2">
        <f>IFERROR(ROUND('DEI Sales by Rate'!T10*C42/D42,0),0)</f>
        <v>28805</v>
      </c>
      <c r="G42" s="30">
        <f>IFERROR(ROUND('DEI Sales by Rate'!#REF!*E42/D42,1),0)</f>
        <v>0</v>
      </c>
      <c r="I42" s="2"/>
      <c r="J42" s="2"/>
      <c r="K42" s="2"/>
      <c r="L42" s="2"/>
      <c r="M42" s="30"/>
      <c r="O42" s="2">
        <v>1014.1999999999999</v>
      </c>
      <c r="P42" s="2">
        <v>130159</v>
      </c>
      <c r="Q42" s="2">
        <v>564.4</v>
      </c>
      <c r="R42" s="2">
        <f>IFERROR(ROUND('DEI Sales by Rate'!U10*O42/P42,0),0)</f>
        <v>10788</v>
      </c>
      <c r="S42" s="30">
        <f>IFERROR(ROUND('DEI Sales by Rate'!U10*Q42/P42,1),0)</f>
        <v>6003.4</v>
      </c>
      <c r="U42" s="2">
        <v>983.8</v>
      </c>
      <c r="V42" s="2">
        <v>458698</v>
      </c>
      <c r="W42" s="2"/>
      <c r="X42" s="2">
        <f>IFERROR(ROUND('DEI Sales by Rate'!V10*U42/V42,0),0)</f>
        <v>2</v>
      </c>
      <c r="Y42" s="2"/>
    </row>
    <row r="43" spans="2:25" x14ac:dyDescent="0.2">
      <c r="B43" t="s">
        <v>240</v>
      </c>
      <c r="C43" s="2">
        <v>30394.779999999988</v>
      </c>
      <c r="D43" s="2">
        <v>13063081.163999999</v>
      </c>
      <c r="E43" s="2">
        <v>0</v>
      </c>
      <c r="F43" s="2">
        <f>IFERROR(ROUND('DEI Sales by Rate'!T11*C43/D43,0),0)</f>
        <v>30620</v>
      </c>
      <c r="G43" s="30">
        <f>IFERROR(ROUND('DEI Sales by Rate'!#REF!*E43/D43,1),0)</f>
        <v>0</v>
      </c>
      <c r="I43" s="2"/>
      <c r="J43" s="2"/>
      <c r="K43" s="2"/>
      <c r="L43" s="2"/>
      <c r="M43" s="30"/>
      <c r="O43" s="2">
        <v>953.09999999999991</v>
      </c>
      <c r="P43" s="2">
        <v>135961</v>
      </c>
      <c r="Q43" s="2">
        <v>515.69999999999993</v>
      </c>
      <c r="R43" s="2">
        <f>IFERROR(ROUND('DEI Sales by Rate'!U11*O43/P43,0),0)</f>
        <v>0</v>
      </c>
      <c r="S43" s="30">
        <f>IFERROR(ROUND('DEI Sales by Rate'!U11*Q43/P43,1),0)</f>
        <v>0</v>
      </c>
      <c r="U43" s="2">
        <v>1095.6999999999998</v>
      </c>
      <c r="V43" s="2">
        <v>385127.00000000006</v>
      </c>
      <c r="W43" s="2"/>
      <c r="X43" s="2">
        <f>IFERROR(ROUND('DEI Sales by Rate'!V11*U43/V43,0),0)</f>
        <v>1548</v>
      </c>
      <c r="Y43" s="2"/>
    </row>
    <row r="44" spans="2:25" x14ac:dyDescent="0.2">
      <c r="B44" t="s">
        <v>241</v>
      </c>
      <c r="C44" s="2">
        <v>29974.891999999996</v>
      </c>
      <c r="D44" s="2">
        <v>11369611.860000003</v>
      </c>
      <c r="E44" s="2">
        <v>0</v>
      </c>
      <c r="F44" s="2">
        <f>IFERROR(ROUND('DEI Sales by Rate'!T12*C44/D44,0),0)</f>
        <v>29701</v>
      </c>
      <c r="G44" s="30">
        <f>IFERROR(ROUND('DEI Sales by Rate'!#REF!*E44/D44,1),0)</f>
        <v>0</v>
      </c>
      <c r="I44" s="2"/>
      <c r="J44" s="2"/>
      <c r="K44" s="2"/>
      <c r="L44" s="2"/>
      <c r="M44" s="30"/>
      <c r="O44" s="2">
        <v>983.6</v>
      </c>
      <c r="P44" s="2">
        <v>129696</v>
      </c>
      <c r="Q44" s="2">
        <v>560.19999999999993</v>
      </c>
      <c r="R44" s="2">
        <f>IFERROR(ROUND('DEI Sales by Rate'!U12*O44/P44,0),0)</f>
        <v>0</v>
      </c>
      <c r="S44" s="30">
        <f>IFERROR(ROUND('DEI Sales by Rate'!U12*Q44/P44,1),0)</f>
        <v>0</v>
      </c>
      <c r="U44" s="2">
        <v>995</v>
      </c>
      <c r="V44" s="2">
        <v>443899</v>
      </c>
      <c r="W44" s="2"/>
      <c r="X44" s="2">
        <f>IFERROR(ROUND('DEI Sales by Rate'!V12*U44/V44,0),0)</f>
        <v>933</v>
      </c>
      <c r="Y44" s="2"/>
    </row>
    <row r="45" spans="2:25" x14ac:dyDescent="0.2">
      <c r="B45" t="s">
        <v>242</v>
      </c>
      <c r="C45" s="2">
        <v>33793.410000000003</v>
      </c>
      <c r="D45" s="2">
        <v>12501319.418</v>
      </c>
      <c r="E45" s="2">
        <v>0</v>
      </c>
      <c r="F45" s="2">
        <f>IFERROR(ROUND('DEI Sales by Rate'!T13*C45/D45,0),0)</f>
        <v>31563</v>
      </c>
      <c r="G45" s="30">
        <f>IFERROR(ROUND('DEI Sales by Rate'!#REF!*E45/D45,1),0)</f>
        <v>0</v>
      </c>
      <c r="I45" s="2"/>
      <c r="J45" s="2"/>
      <c r="K45" s="2"/>
      <c r="L45" s="2"/>
      <c r="M45" s="30"/>
      <c r="O45" s="2">
        <v>1009.3</v>
      </c>
      <c r="P45" s="2">
        <v>565803</v>
      </c>
      <c r="Q45" s="2">
        <v>544.29999999999995</v>
      </c>
      <c r="R45" s="2">
        <f>IFERROR(ROUND('DEI Sales by Rate'!U13*O45/P45,0),0)</f>
        <v>0</v>
      </c>
      <c r="S45" s="30">
        <f>IFERROR(ROUND('DEI Sales by Rate'!U13*Q45/P45,1),0)</f>
        <v>0</v>
      </c>
      <c r="U45" s="2">
        <v>0</v>
      </c>
      <c r="V45" s="2">
        <v>0</v>
      </c>
      <c r="W45" s="2"/>
      <c r="X45" s="2">
        <f>IFERROR(ROUND('DEI Sales by Rate'!V13*U45/V45,0),0)</f>
        <v>0</v>
      </c>
      <c r="Y45" s="2"/>
    </row>
    <row r="46" spans="2:25" ht="15" x14ac:dyDescent="0.35">
      <c r="B46" t="s">
        <v>243</v>
      </c>
      <c r="C46" s="86">
        <v>38168.971999999994</v>
      </c>
      <c r="D46" s="86">
        <v>14766862.452000001</v>
      </c>
      <c r="E46" s="2">
        <v>0</v>
      </c>
      <c r="F46" s="2">
        <f>IFERROR(ROUND('DEI Sales by Rate'!T14*C46/D46,0),0)</f>
        <v>39997</v>
      </c>
      <c r="G46" s="64">
        <f>IFERROR(ROUND('DEI Sales by Rate'!#REF!*E46/D46,1),0)</f>
        <v>0</v>
      </c>
      <c r="I46" s="2"/>
      <c r="J46" s="2"/>
      <c r="K46" s="2"/>
      <c r="L46" s="63"/>
      <c r="M46" s="64"/>
      <c r="O46" s="2">
        <v>861.4</v>
      </c>
      <c r="P46" s="2">
        <v>466264</v>
      </c>
      <c r="Q46" s="2">
        <v>519.79999999999995</v>
      </c>
      <c r="R46" s="63">
        <f>IFERROR(ROUND('DEI Sales by Rate'!U14*O46/P46,0),0)</f>
        <v>36</v>
      </c>
      <c r="S46" s="64">
        <f>IFERROR(ROUND('DEI Sales by Rate'!U14*Q46/P46,1),0)</f>
        <v>21.5</v>
      </c>
      <c r="U46" s="2">
        <v>0</v>
      </c>
      <c r="V46" s="2">
        <v>0</v>
      </c>
      <c r="W46" s="2"/>
      <c r="X46" s="63">
        <f>IFERROR(ROUND('DEI Sales by Rate'!V14*U46/V46,0),0)</f>
        <v>0</v>
      </c>
      <c r="Y46" s="63"/>
    </row>
    <row r="47" spans="2:25" x14ac:dyDescent="0.2">
      <c r="C47" s="2">
        <f>SUM(C35:C46)</f>
        <v>396754.07399999996</v>
      </c>
      <c r="D47" s="2">
        <f>SUM(D35:D46)</f>
        <v>157696050.912</v>
      </c>
      <c r="E47" s="2"/>
      <c r="F47" s="2">
        <f>SUM(F35:F46)</f>
        <v>397550</v>
      </c>
      <c r="G47" s="30">
        <f>SUM(G35:G46)</f>
        <v>0</v>
      </c>
      <c r="I47" s="2"/>
      <c r="J47" s="2"/>
      <c r="K47" s="2"/>
      <c r="L47" s="2"/>
      <c r="M47" s="30"/>
      <c r="O47" s="2"/>
      <c r="P47" s="2"/>
      <c r="Q47" s="2"/>
      <c r="R47" s="2">
        <f>SUM(R35:R46)</f>
        <v>31420</v>
      </c>
      <c r="S47" s="30">
        <f>SUM(S35:S46)</f>
        <v>17556.599999999999</v>
      </c>
      <c r="U47" s="2"/>
      <c r="V47" s="2"/>
      <c r="W47" s="2"/>
      <c r="X47" s="2">
        <f>SUM(X35:X46)</f>
        <v>7187</v>
      </c>
      <c r="Y47" s="2"/>
    </row>
    <row r="48" spans="2:25" x14ac:dyDescent="0.2">
      <c r="C48" s="2"/>
      <c r="D48" s="2"/>
      <c r="E48" s="2"/>
      <c r="F48" s="2"/>
      <c r="G48" s="30"/>
      <c r="I48" s="2"/>
      <c r="J48" s="2"/>
      <c r="K48" s="2"/>
      <c r="L48" s="2"/>
      <c r="M48" s="30"/>
      <c r="O48" s="2"/>
      <c r="P48" s="2"/>
      <c r="Q48" s="2"/>
      <c r="R48" s="2"/>
      <c r="S48" s="30"/>
    </row>
    <row r="49" spans="3:19" x14ac:dyDescent="0.2">
      <c r="C49" s="2"/>
      <c r="D49" s="2"/>
      <c r="E49" s="2"/>
      <c r="F49" s="2"/>
      <c r="G49" s="30"/>
      <c r="I49" s="2"/>
      <c r="J49" s="2"/>
      <c r="K49" s="2"/>
      <c r="L49" s="2"/>
      <c r="M49" s="30"/>
      <c r="O49" s="2"/>
      <c r="P49" s="2"/>
      <c r="Q49" s="2"/>
      <c r="R49" s="2"/>
      <c r="S49" s="30"/>
    </row>
    <row r="51" spans="3:19" x14ac:dyDescent="0.2">
      <c r="C51" t="s">
        <v>164</v>
      </c>
      <c r="D51" s="3">
        <f>D3+J3+P3+V3+AB3+D19+J19+P19+V19+AB19+D35+J35+P35</f>
        <v>427643611.18899995</v>
      </c>
      <c r="H51">
        <f>D51-J51</f>
        <v>-17038737.811000049</v>
      </c>
      <c r="I51" t="s">
        <v>164</v>
      </c>
      <c r="J51" s="24">
        <f>'Allocators Data orig'!AJ77</f>
        <v>444682349</v>
      </c>
    </row>
    <row r="52" spans="3:19" x14ac:dyDescent="0.2">
      <c r="D52" s="3">
        <f>D4+J4+P4+V4+AB4+D20+J20+P20+V20+AB20+D36+J36+P36</f>
        <v>417252555.42400014</v>
      </c>
      <c r="H52">
        <f t="shared" ref="H52:H62" si="0">D52-J52</f>
        <v>4815437.4240002036</v>
      </c>
      <c r="J52" s="24">
        <f>'Allocators Data orig'!AJ78</f>
        <v>412437117.99999994</v>
      </c>
    </row>
    <row r="53" spans="3:19" x14ac:dyDescent="0.2">
      <c r="D53" s="3">
        <f t="shared" ref="D53:D62" si="1">D5+J5+P5+V5+AB5+D21+J21+P21+V21+AB21+D37+J37+P37</f>
        <v>405866464.66399992</v>
      </c>
      <c r="H53">
        <f t="shared" si="0"/>
        <v>15485337.663999856</v>
      </c>
      <c r="J53" s="24">
        <f>'Allocators Data orig'!AJ79</f>
        <v>390381127.00000006</v>
      </c>
    </row>
    <row r="54" spans="3:19" x14ac:dyDescent="0.2">
      <c r="D54" s="3">
        <f t="shared" si="1"/>
        <v>395883989.89799988</v>
      </c>
      <c r="H54">
        <f t="shared" si="0"/>
        <v>-4573666.1020002365</v>
      </c>
      <c r="J54" s="24">
        <f>'Allocators Data orig'!AJ80</f>
        <v>400457656.00000012</v>
      </c>
    </row>
    <row r="55" spans="3:19" x14ac:dyDescent="0.2">
      <c r="D55" s="3">
        <f t="shared" si="1"/>
        <v>402205455.93800014</v>
      </c>
      <c r="H55">
        <f t="shared" si="0"/>
        <v>9243364.9380001426</v>
      </c>
      <c r="J55" s="24">
        <f>'Allocators Data orig'!AJ81</f>
        <v>392962091</v>
      </c>
    </row>
    <row r="56" spans="3:19" x14ac:dyDescent="0.2">
      <c r="D56" s="3">
        <f t="shared" si="1"/>
        <v>465496428.67600018</v>
      </c>
      <c r="H56">
        <f t="shared" si="0"/>
        <v>17275433.676000178</v>
      </c>
      <c r="J56" s="24">
        <f>'Allocators Data orig'!AJ82</f>
        <v>448220995</v>
      </c>
    </row>
    <row r="57" spans="3:19" x14ac:dyDescent="0.2">
      <c r="D57" s="3">
        <f t="shared" si="1"/>
        <v>458457799.60400003</v>
      </c>
      <c r="H57">
        <f t="shared" si="0"/>
        <v>16990285.603999972</v>
      </c>
      <c r="J57" s="24">
        <f>'Allocators Data orig'!AJ83</f>
        <v>441467514.00000006</v>
      </c>
    </row>
    <row r="58" spans="3:19" x14ac:dyDescent="0.2">
      <c r="D58" s="3">
        <f t="shared" si="1"/>
        <v>505226618.32100034</v>
      </c>
      <c r="H58">
        <f t="shared" si="0"/>
        <v>56671344.321000636</v>
      </c>
      <c r="J58" s="24">
        <f>'Allocators Data orig'!AJ84</f>
        <v>448555273.9999997</v>
      </c>
    </row>
    <row r="59" spans="3:19" x14ac:dyDescent="0.2">
      <c r="D59" s="3">
        <f t="shared" si="1"/>
        <v>495444997.97299987</v>
      </c>
      <c r="H59">
        <f t="shared" si="0"/>
        <v>54067106.972999871</v>
      </c>
      <c r="J59" s="24">
        <f>'Allocators Data orig'!AJ85</f>
        <v>441377891</v>
      </c>
    </row>
    <row r="60" spans="3:19" x14ac:dyDescent="0.2">
      <c r="D60" s="3">
        <f t="shared" si="1"/>
        <v>419477840.62999976</v>
      </c>
      <c r="H60">
        <f t="shared" si="0"/>
        <v>-7799484.3700001836</v>
      </c>
      <c r="J60" s="24">
        <f>'Allocators Data orig'!AJ86</f>
        <v>427277324.99999994</v>
      </c>
    </row>
    <row r="61" spans="3:19" x14ac:dyDescent="0.2">
      <c r="D61" s="3">
        <f t="shared" si="1"/>
        <v>409475192.35399997</v>
      </c>
      <c r="H61">
        <f t="shared" si="0"/>
        <v>17799554.353999853</v>
      </c>
      <c r="J61" s="24">
        <f>'Allocators Data orig'!AJ87</f>
        <v>391675638.00000012</v>
      </c>
    </row>
    <row r="62" spans="3:19" x14ac:dyDescent="0.2">
      <c r="D62" s="3">
        <f t="shared" si="1"/>
        <v>422007725.8360002</v>
      </c>
      <c r="H62">
        <f t="shared" si="0"/>
        <v>16384360.836000204</v>
      </c>
      <c r="J62" s="24">
        <f>'Allocators Data orig'!AJ88</f>
        <v>405623365</v>
      </c>
    </row>
    <row r="63" spans="3:19" x14ac:dyDescent="0.2">
      <c r="D63" s="3"/>
      <c r="J63" s="24"/>
    </row>
  </sheetData>
  <mergeCells count="14">
    <mergeCell ref="C33:G33"/>
    <mergeCell ref="I33:M33"/>
    <mergeCell ref="O33:S33"/>
    <mergeCell ref="U33:Y33"/>
    <mergeCell ref="AA1:AD1"/>
    <mergeCell ref="C17:G17"/>
    <mergeCell ref="I17:M17"/>
    <mergeCell ref="O17:S17"/>
    <mergeCell ref="U17:Y17"/>
    <mergeCell ref="I1:M1"/>
    <mergeCell ref="O1:S1"/>
    <mergeCell ref="U1:Y1"/>
    <mergeCell ref="C1:G1"/>
    <mergeCell ref="AA17:AE17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50"/>
  <sheetViews>
    <sheetView workbookViewId="0">
      <selection activeCell="V17" sqref="V17"/>
    </sheetView>
  </sheetViews>
  <sheetFormatPr defaultColWidth="8.85546875" defaultRowHeight="12.75" x14ac:dyDescent="0.2"/>
  <cols>
    <col min="3" max="3" width="14.42578125" customWidth="1"/>
    <col min="4" max="4" width="16.5703125" bestFit="1" customWidth="1"/>
    <col min="5" max="5" width="13" customWidth="1"/>
    <col min="6" max="6" width="11.28515625" bestFit="1" customWidth="1"/>
    <col min="7" max="7" width="12.5703125" customWidth="1"/>
    <col min="8" max="8" width="2" bestFit="1" customWidth="1"/>
    <col min="9" max="9" width="10.42578125" bestFit="1" customWidth="1"/>
    <col min="10" max="10" width="14.140625" bestFit="1" customWidth="1"/>
    <col min="11" max="11" width="10.42578125" customWidth="1"/>
    <col min="12" max="12" width="11.28515625" bestFit="1" customWidth="1"/>
    <col min="13" max="13" width="12.5703125" bestFit="1" customWidth="1"/>
    <col min="14" max="14" width="3.85546875" customWidth="1"/>
    <col min="15" max="15" width="11.28515625" bestFit="1" customWidth="1"/>
    <col min="16" max="16" width="14.140625" bestFit="1" customWidth="1"/>
    <col min="17" max="17" width="10.42578125" customWidth="1"/>
    <col min="18" max="18" width="11.28515625" bestFit="1" customWidth="1"/>
    <col min="19" max="19" width="12.5703125" customWidth="1"/>
    <col min="20" max="21" width="3.85546875" customWidth="1"/>
    <col min="22" max="22" width="11.85546875" bestFit="1" customWidth="1"/>
    <col min="23" max="23" width="13.140625" bestFit="1" customWidth="1"/>
    <col min="24" max="24" width="12" customWidth="1"/>
    <col min="25" max="25" width="13.140625" customWidth="1"/>
    <col min="26" max="26" width="12.5703125" customWidth="1"/>
    <col min="27" max="27" width="20.28515625" bestFit="1" customWidth="1"/>
    <col min="28" max="28" width="12.42578125" bestFit="1" customWidth="1"/>
    <col min="29" max="29" width="20.42578125" bestFit="1" customWidth="1"/>
    <col min="30" max="30" width="24" bestFit="1" customWidth="1"/>
    <col min="31" max="31" width="3.85546875" customWidth="1"/>
    <col min="33" max="33" width="12.42578125" bestFit="1" customWidth="1"/>
    <col min="35" max="35" width="11.42578125" bestFit="1" customWidth="1"/>
    <col min="36" max="36" width="3.85546875" customWidth="1"/>
    <col min="38" max="38" width="12.42578125" bestFit="1" customWidth="1"/>
    <col min="40" max="40" width="11.42578125" bestFit="1" customWidth="1"/>
    <col min="41" max="41" width="3.85546875" customWidth="1"/>
    <col min="43" max="43" width="11.42578125" bestFit="1" customWidth="1"/>
    <col min="45" max="45" width="11.42578125" bestFit="1" customWidth="1"/>
  </cols>
  <sheetData>
    <row r="1" spans="1:31" x14ac:dyDescent="0.2">
      <c r="C1" s="344" t="s">
        <v>284</v>
      </c>
      <c r="D1" s="344"/>
      <c r="E1" s="344"/>
      <c r="F1" s="344"/>
      <c r="G1" s="126"/>
      <c r="I1" s="344" t="s">
        <v>285</v>
      </c>
      <c r="J1" s="344"/>
      <c r="K1" s="344"/>
      <c r="L1" s="344"/>
      <c r="M1" s="344"/>
      <c r="O1" s="344" t="s">
        <v>286</v>
      </c>
      <c r="P1" s="344"/>
      <c r="Q1" s="344"/>
      <c r="R1" s="344"/>
      <c r="S1" s="344"/>
      <c r="V1" s="344" t="s">
        <v>287</v>
      </c>
      <c r="W1" s="344"/>
      <c r="X1" s="344"/>
      <c r="Y1" s="344"/>
    </row>
    <row r="2" spans="1:31" x14ac:dyDescent="0.2">
      <c r="B2" s="9" t="s">
        <v>269</v>
      </c>
      <c r="C2" s="9" t="s">
        <v>270</v>
      </c>
      <c r="D2" s="9" t="s">
        <v>271</v>
      </c>
      <c r="E2" s="9" t="s">
        <v>272</v>
      </c>
      <c r="F2" s="9" t="s">
        <v>273</v>
      </c>
      <c r="G2" s="9" t="s">
        <v>274</v>
      </c>
      <c r="I2" s="9" t="s">
        <v>270</v>
      </c>
      <c r="J2" s="9" t="s">
        <v>271</v>
      </c>
      <c r="K2" s="9" t="s">
        <v>272</v>
      </c>
      <c r="L2" s="9" t="s">
        <v>273</v>
      </c>
      <c r="M2" s="9" t="s">
        <v>274</v>
      </c>
      <c r="O2" s="9" t="s">
        <v>270</v>
      </c>
      <c r="P2" s="9" t="s">
        <v>271</v>
      </c>
      <c r="Q2" s="9" t="s">
        <v>272</v>
      </c>
      <c r="R2" s="9" t="s">
        <v>273</v>
      </c>
      <c r="S2" s="9" t="s">
        <v>274</v>
      </c>
      <c r="V2" s="9" t="s">
        <v>270</v>
      </c>
      <c r="W2" s="9" t="s">
        <v>271</v>
      </c>
      <c r="X2" s="9" t="s">
        <v>272</v>
      </c>
      <c r="Y2" s="9" t="s">
        <v>273</v>
      </c>
      <c r="Z2" s="9" t="s">
        <v>274</v>
      </c>
      <c r="AA2" s="9" t="s">
        <v>8</v>
      </c>
      <c r="AB2" s="9" t="s">
        <v>8</v>
      </c>
      <c r="AC2" s="9" t="s">
        <v>8</v>
      </c>
      <c r="AD2" s="9" t="s">
        <v>8</v>
      </c>
      <c r="AE2" s="9" t="s">
        <v>8</v>
      </c>
    </row>
    <row r="3" spans="1:31" x14ac:dyDescent="0.2">
      <c r="A3">
        <v>1</v>
      </c>
      <c r="B3" t="s">
        <v>232</v>
      </c>
      <c r="C3" s="2">
        <v>175741.50399999999</v>
      </c>
      <c r="D3" s="2">
        <v>101632402.296</v>
      </c>
      <c r="E3" s="2">
        <v>54329.487999999998</v>
      </c>
      <c r="F3" s="2">
        <f>ROUND('DEI Sales by Rate'!I3*C3/D3,0)</f>
        <v>224206</v>
      </c>
      <c r="G3" s="2">
        <f>ROUND('DEI Sales by Rate'!J3*E3/D3,0)</f>
        <v>53926</v>
      </c>
      <c r="H3" s="28"/>
      <c r="I3" s="2">
        <v>134639.435</v>
      </c>
      <c r="J3" s="2">
        <v>80205114.843999997</v>
      </c>
      <c r="K3" s="30">
        <v>66505.614000000001</v>
      </c>
      <c r="L3" s="2">
        <f>ROUND('DEI Sales by Rate'!J3*I3/J3,0)</f>
        <v>169341</v>
      </c>
      <c r="M3" s="30">
        <f>ROUND('DEI Sales by Rate'!J3*K3/J3,1)</f>
        <v>83646.5</v>
      </c>
      <c r="O3" s="2">
        <v>20952</v>
      </c>
      <c r="P3" s="2">
        <v>8457804</v>
      </c>
      <c r="Q3" s="2">
        <v>12960</v>
      </c>
      <c r="R3" s="2">
        <f>ROUND('DEI Sales by Rate'!K3*O3/P3,0)</f>
        <v>26730</v>
      </c>
      <c r="S3" s="30">
        <f>ROUND('DEI Sales by Rate'!K3*Q3/P3,1)</f>
        <v>16534</v>
      </c>
      <c r="V3" s="2">
        <v>167</v>
      </c>
      <c r="W3" s="2">
        <v>53194</v>
      </c>
      <c r="X3" s="2">
        <v>16</v>
      </c>
      <c r="Y3" s="2">
        <f>ROUND('DEI Sales by Rate'!L3*V3/W3,0)</f>
        <v>181</v>
      </c>
      <c r="Z3" s="2">
        <f>ROUND('DEI Sales by Rate'!L3*X3/W3,0)</f>
        <v>17</v>
      </c>
      <c r="AA3" s="2" t="s">
        <v>8</v>
      </c>
      <c r="AB3" s="30" t="s">
        <v>8</v>
      </c>
      <c r="AC3" s="2" t="s">
        <v>8</v>
      </c>
      <c r="AD3" s="3" t="s">
        <v>8</v>
      </c>
      <c r="AE3" s="3" t="s">
        <v>8</v>
      </c>
    </row>
    <row r="4" spans="1:31" x14ac:dyDescent="0.2">
      <c r="A4">
        <v>2</v>
      </c>
      <c r="B4" t="s">
        <v>233</v>
      </c>
      <c r="C4" s="2">
        <v>177576.09600000002</v>
      </c>
      <c r="D4" s="2">
        <v>97411930.824000001</v>
      </c>
      <c r="E4" s="2">
        <v>55190.608</v>
      </c>
      <c r="F4" s="2">
        <f>ROUND('DEI Sales by Rate'!I4*C4/D4,0)</f>
        <v>221366</v>
      </c>
      <c r="G4" s="2">
        <f>ROUND('DEI Sales by Rate'!J4*E4/D4,0)</f>
        <v>54508</v>
      </c>
      <c r="H4" s="28"/>
      <c r="I4" s="2">
        <v>133914.91899999999</v>
      </c>
      <c r="J4" s="2">
        <v>78157087.997999996</v>
      </c>
      <c r="K4" s="2">
        <v>63070.239000000001</v>
      </c>
      <c r="L4" s="2">
        <f>ROUND('DEI Sales by Rate'!J4*I4/J4,0)</f>
        <v>164842</v>
      </c>
      <c r="M4" s="30">
        <f>ROUND('DEI Sales by Rate'!J4*K4/J4,1)</f>
        <v>77636</v>
      </c>
      <c r="O4" s="2">
        <v>20952</v>
      </c>
      <c r="P4" s="2">
        <v>7744644</v>
      </c>
      <c r="Q4" s="2">
        <v>8568</v>
      </c>
      <c r="R4" s="2">
        <f>ROUND('DEI Sales by Rate'!K4*O4/P4,0)</f>
        <v>26119</v>
      </c>
      <c r="S4" s="30">
        <f>ROUND('DEI Sales by Rate'!K4*Q4/P4,1)</f>
        <v>10680.8</v>
      </c>
      <c r="V4" s="2">
        <v>153</v>
      </c>
      <c r="W4" s="2">
        <v>48707</v>
      </c>
      <c r="X4" s="2">
        <v>18</v>
      </c>
      <c r="Y4" s="2">
        <f>ROUND('DEI Sales by Rate'!L4*V4/W4,0)</f>
        <v>151</v>
      </c>
      <c r="Z4" s="2">
        <f>ROUND('DEI Sales by Rate'!L4*X4/W4,0)</f>
        <v>18</v>
      </c>
      <c r="AA4" s="2" t="s">
        <v>8</v>
      </c>
      <c r="AB4" s="30" t="s">
        <v>8</v>
      </c>
      <c r="AC4" s="2" t="s">
        <v>8</v>
      </c>
      <c r="AD4" s="3" t="s">
        <v>8</v>
      </c>
      <c r="AE4" s="3" t="s">
        <v>8</v>
      </c>
    </row>
    <row r="5" spans="1:31" x14ac:dyDescent="0.2">
      <c r="A5">
        <v>3</v>
      </c>
      <c r="B5" t="s">
        <v>234</v>
      </c>
      <c r="C5" s="2">
        <v>179089.88800000001</v>
      </c>
      <c r="D5" s="2">
        <v>95002101.088</v>
      </c>
      <c r="E5" s="2">
        <v>49414.512000000002</v>
      </c>
      <c r="F5" s="2">
        <f>ROUND('DEI Sales by Rate'!I5*C5/D5,0)</f>
        <v>211258</v>
      </c>
      <c r="G5" s="2">
        <f>ROUND('DEI Sales by Rate'!J5*E5/D5,0)</f>
        <v>49632</v>
      </c>
      <c r="H5" s="28"/>
      <c r="I5" s="2">
        <v>130554.15399999999</v>
      </c>
      <c r="J5" s="2">
        <v>82002300.348000005</v>
      </c>
      <c r="K5" s="2">
        <v>65190.66</v>
      </c>
      <c r="L5" s="2">
        <f>ROUND('DEI Sales by Rate'!J5*I5/J5,0)</f>
        <v>151916</v>
      </c>
      <c r="M5" s="30">
        <f>ROUND('DEI Sales by Rate'!J5*K5/J5,1)</f>
        <v>75857.399999999994</v>
      </c>
      <c r="O5" s="2">
        <v>21888</v>
      </c>
      <c r="P5" s="2">
        <v>8651700</v>
      </c>
      <c r="Q5" s="2">
        <v>10368</v>
      </c>
      <c r="R5" s="2">
        <f>ROUND('DEI Sales by Rate'!K5*O5/P5,0)</f>
        <v>25820</v>
      </c>
      <c r="S5" s="30">
        <f>ROUND('DEI Sales by Rate'!K5*Q5/P5,1)</f>
        <v>12230.3</v>
      </c>
      <c r="V5" s="2">
        <v>307</v>
      </c>
      <c r="W5" s="2">
        <v>42492</v>
      </c>
      <c r="X5" s="2">
        <v>49</v>
      </c>
      <c r="Y5" s="2">
        <f>ROUND('DEI Sales by Rate'!L5*V5/W5,0)</f>
        <v>293</v>
      </c>
      <c r="Z5" s="2">
        <f>ROUND('DEI Sales by Rate'!L5*X5/W5,0)</f>
        <v>47</v>
      </c>
      <c r="AA5" s="2" t="s">
        <v>8</v>
      </c>
      <c r="AB5" s="30" t="s">
        <v>8</v>
      </c>
      <c r="AC5" s="2" t="s">
        <v>8</v>
      </c>
      <c r="AD5" s="3" t="s">
        <v>8</v>
      </c>
      <c r="AE5" s="3" t="s">
        <v>8</v>
      </c>
    </row>
    <row r="6" spans="1:31" x14ac:dyDescent="0.2">
      <c r="A6">
        <v>4</v>
      </c>
      <c r="B6" t="s">
        <v>235</v>
      </c>
      <c r="C6" s="2">
        <v>172978</v>
      </c>
      <c r="D6" s="2">
        <v>89079178.011000007</v>
      </c>
      <c r="E6" s="2">
        <v>55458.703999999998</v>
      </c>
      <c r="F6" s="2">
        <f>ROUND('DEI Sales by Rate'!I6*C6/D6,0)</f>
        <v>179375</v>
      </c>
      <c r="G6" s="2">
        <f>ROUND('DEI Sales by Rate'!J6*E6/D6,0)</f>
        <v>49363</v>
      </c>
      <c r="H6" s="28"/>
      <c r="I6" s="2">
        <v>134725.954</v>
      </c>
      <c r="J6" s="2">
        <v>77365130.225999996</v>
      </c>
      <c r="K6" s="2">
        <v>65373.676000000007</v>
      </c>
      <c r="L6" s="2">
        <f>ROUND('DEI Sales by Rate'!J6*I6/J6,0)</f>
        <v>138075</v>
      </c>
      <c r="M6" s="30">
        <f>ROUND('DEI Sales by Rate'!J6*K6/J6,1)</f>
        <v>66998.899999999994</v>
      </c>
      <c r="O6" s="2">
        <v>21312</v>
      </c>
      <c r="P6" s="2">
        <v>7402896</v>
      </c>
      <c r="Q6" s="2">
        <v>9000</v>
      </c>
      <c r="R6" s="2">
        <f>ROUND('DEI Sales by Rate'!K6*O6/P6,0)</f>
        <v>22100</v>
      </c>
      <c r="S6" s="30">
        <f>ROUND('DEI Sales by Rate'!K6*Q6/P6,1)</f>
        <v>9332.7999999999993</v>
      </c>
      <c r="V6" s="2">
        <v>168</v>
      </c>
      <c r="W6" s="2">
        <v>60426</v>
      </c>
      <c r="X6" s="2">
        <v>32</v>
      </c>
      <c r="Y6" s="2">
        <f>ROUND('DEI Sales by Rate'!L6*V6/W6,0)</f>
        <v>152</v>
      </c>
      <c r="Z6" s="2">
        <f>ROUND('DEI Sales by Rate'!L6*X6/W6,0)</f>
        <v>29</v>
      </c>
      <c r="AA6" s="2" t="s">
        <v>8</v>
      </c>
      <c r="AB6" s="30" t="s">
        <v>8</v>
      </c>
      <c r="AC6" s="2" t="s">
        <v>8</v>
      </c>
      <c r="AD6" s="3" t="s">
        <v>8</v>
      </c>
    </row>
    <row r="7" spans="1:31" x14ac:dyDescent="0.2">
      <c r="A7">
        <v>5</v>
      </c>
      <c r="B7" t="s">
        <v>236</v>
      </c>
      <c r="C7" s="2">
        <v>167846.592</v>
      </c>
      <c r="D7" s="2">
        <v>96862169.071999997</v>
      </c>
      <c r="E7" s="2">
        <v>49250.063999999998</v>
      </c>
      <c r="F7" s="2">
        <f>ROUND('DEI Sales by Rate'!I7*C7/D7,0)</f>
        <v>209619</v>
      </c>
      <c r="G7" s="2">
        <f>ROUND('DEI Sales by Rate'!J7*E7/D7,0)</f>
        <v>48260</v>
      </c>
      <c r="H7" s="28"/>
      <c r="I7" s="2">
        <v>131330.505</v>
      </c>
      <c r="J7" s="2">
        <v>77219161.434</v>
      </c>
      <c r="K7" s="2">
        <v>60567.987000000001</v>
      </c>
      <c r="L7" s="2">
        <f>ROUND('DEI Sales by Rate'!J7*I7/J7,0)</f>
        <v>161425</v>
      </c>
      <c r="M7" s="30">
        <f>ROUND('DEI Sales by Rate'!J7*K7/J7,1)</f>
        <v>74447.399999999994</v>
      </c>
      <c r="O7" s="2">
        <v>20952</v>
      </c>
      <c r="P7" s="2">
        <v>8394912</v>
      </c>
      <c r="Q7" s="2">
        <v>8280</v>
      </c>
      <c r="R7" s="2">
        <f>ROUND('DEI Sales by Rate'!K7*O7/P7,0)</f>
        <v>26166</v>
      </c>
      <c r="S7" s="30">
        <f>ROUND('DEI Sales by Rate'!K7*Q7/P7,1)</f>
        <v>10340.700000000001</v>
      </c>
      <c r="V7" s="2">
        <v>369</v>
      </c>
      <c r="W7" s="2">
        <v>51787</v>
      </c>
      <c r="X7" s="2">
        <v>101</v>
      </c>
      <c r="Y7" s="2">
        <f>ROUND('DEI Sales by Rate'!L7*V7/W7,0)</f>
        <v>381</v>
      </c>
      <c r="Z7" s="2">
        <f>ROUND('DEI Sales by Rate'!L7*X7/W7,0)</f>
        <v>104</v>
      </c>
      <c r="AA7" s="2" t="s">
        <v>8</v>
      </c>
      <c r="AB7" s="30" t="s">
        <v>8</v>
      </c>
      <c r="AC7" s="2" t="s">
        <v>8</v>
      </c>
      <c r="AD7" s="3" t="s">
        <v>8</v>
      </c>
    </row>
    <row r="8" spans="1:31" x14ac:dyDescent="0.2">
      <c r="A8">
        <v>6</v>
      </c>
      <c r="B8" t="s">
        <v>237</v>
      </c>
      <c r="C8" s="2">
        <v>165730</v>
      </c>
      <c r="D8" s="2">
        <v>94047241.835999995</v>
      </c>
      <c r="E8" s="2">
        <v>50440.031999999999</v>
      </c>
      <c r="F8" s="2">
        <f>ROUND('DEI Sales by Rate'!I8*C8/D8,0)</f>
        <v>203761</v>
      </c>
      <c r="G8" s="2">
        <f>ROUND('DEI Sales by Rate'!J8*E8/D8,0)</f>
        <v>54648</v>
      </c>
      <c r="H8" s="28"/>
      <c r="I8" s="2">
        <v>132391.726</v>
      </c>
      <c r="J8" s="2">
        <v>84216969.717999995</v>
      </c>
      <c r="K8" s="2">
        <v>60390.046000000002</v>
      </c>
      <c r="L8" s="2">
        <f>ROUND('DEI Sales by Rate'!J8*I8/J8,0)</f>
        <v>160178</v>
      </c>
      <c r="M8" s="30">
        <f>ROUND('DEI Sales by Rate'!J8*K8/J8,1)</f>
        <v>73064.7</v>
      </c>
      <c r="O8" s="2">
        <v>20880</v>
      </c>
      <c r="P8" s="2">
        <v>8028540</v>
      </c>
      <c r="Q8" s="2">
        <v>16560</v>
      </c>
      <c r="R8" s="2">
        <f>ROUND('DEI Sales by Rate'!K8*O8/P8,0)</f>
        <v>25671</v>
      </c>
      <c r="S8" s="30">
        <f>ROUND('DEI Sales by Rate'!K8*Q8/P8,1)</f>
        <v>20360.099999999999</v>
      </c>
      <c r="V8" s="2">
        <v>195</v>
      </c>
      <c r="W8" s="2">
        <v>70131</v>
      </c>
      <c r="X8" s="2">
        <v>63</v>
      </c>
      <c r="Y8" s="2">
        <f>ROUND('DEI Sales by Rate'!L8*V8/W8,0)</f>
        <v>207</v>
      </c>
      <c r="Z8" s="2">
        <f>ROUND('DEI Sales by Rate'!L8*X8/W8,0)</f>
        <v>67</v>
      </c>
      <c r="AA8" s="2" t="s">
        <v>8</v>
      </c>
      <c r="AB8" s="30" t="s">
        <v>8</v>
      </c>
      <c r="AC8" s="2" t="s">
        <v>8</v>
      </c>
      <c r="AD8" s="3" t="s">
        <v>8</v>
      </c>
    </row>
    <row r="9" spans="1:31" x14ac:dyDescent="0.2">
      <c r="A9">
        <v>7</v>
      </c>
      <c r="B9" t="s">
        <v>238</v>
      </c>
      <c r="C9" s="2">
        <v>166236.576</v>
      </c>
      <c r="D9" s="2">
        <v>92521538.599999994</v>
      </c>
      <c r="E9" s="2">
        <v>55978.544000000002</v>
      </c>
      <c r="F9" s="2">
        <f>ROUND('DEI Sales by Rate'!I9*C9/D9,0)</f>
        <v>195277</v>
      </c>
      <c r="G9" s="2">
        <v>58000</v>
      </c>
      <c r="H9" s="28"/>
      <c r="I9" s="2">
        <v>137732.94200000001</v>
      </c>
      <c r="J9" s="2">
        <v>79519008.194000006</v>
      </c>
      <c r="K9" s="2">
        <v>64231.402000000002</v>
      </c>
      <c r="L9" s="2">
        <v>145000</v>
      </c>
      <c r="M9" s="30">
        <v>75000</v>
      </c>
      <c r="O9" s="2">
        <v>21384</v>
      </c>
      <c r="P9" s="2">
        <v>7099344</v>
      </c>
      <c r="Q9" s="2">
        <v>16488</v>
      </c>
      <c r="R9" s="2">
        <f>ROUND('DEI Sales by Rate'!K9*O9/P9,0)</f>
        <v>25120</v>
      </c>
      <c r="S9" s="30">
        <f>ROUND('DEI Sales by Rate'!K9*Q9/P9,1)</f>
        <v>19368.3</v>
      </c>
      <c r="V9" s="2">
        <v>194</v>
      </c>
      <c r="W9" s="2">
        <v>74376</v>
      </c>
      <c r="X9" s="2">
        <v>62</v>
      </c>
      <c r="Y9" s="2">
        <f>ROUND('DEI Sales by Rate'!L9*V9/W9,0)</f>
        <v>195</v>
      </c>
      <c r="Z9" s="2">
        <f>ROUND('DEI Sales by Rate'!L9*X9/W9,0)</f>
        <v>62</v>
      </c>
      <c r="AA9" s="2" t="s">
        <v>8</v>
      </c>
      <c r="AB9" s="30" t="s">
        <v>8</v>
      </c>
      <c r="AC9" s="2" t="s">
        <v>8</v>
      </c>
      <c r="AD9" s="3" t="s">
        <v>8</v>
      </c>
    </row>
    <row r="10" spans="1:31" x14ac:dyDescent="0.2">
      <c r="A10">
        <v>8</v>
      </c>
      <c r="B10" t="s">
        <v>239</v>
      </c>
      <c r="C10" s="2">
        <v>171224</v>
      </c>
      <c r="D10" s="2">
        <v>100641479.23999999</v>
      </c>
      <c r="E10" s="2">
        <v>60946.368000000002</v>
      </c>
      <c r="F10" s="2">
        <f>ROUND('DEI Sales by Rate'!I10*C10/D10,0)</f>
        <v>199022</v>
      </c>
      <c r="G10" s="2">
        <f>ROUND('DEI Sales by Rate'!J10*E10/D10,0)</f>
        <v>57999</v>
      </c>
      <c r="H10" s="28"/>
      <c r="I10" s="2">
        <v>137730.30100000001</v>
      </c>
      <c r="J10" s="2">
        <v>84289546.840000004</v>
      </c>
      <c r="K10" s="2">
        <v>67248.317999999999</v>
      </c>
      <c r="L10" s="2">
        <f>ROUND('DEI Sales by Rate'!J10*I10/J10,0)</f>
        <v>156496</v>
      </c>
      <c r="M10" s="30">
        <f>ROUND('DEI Sales by Rate'!J10*K10/J10,1)</f>
        <v>76410.8</v>
      </c>
      <c r="O10" s="2">
        <v>21888</v>
      </c>
      <c r="P10" s="2">
        <v>8922888</v>
      </c>
      <c r="Q10" s="2">
        <v>10728</v>
      </c>
      <c r="R10" s="2">
        <f>ROUND('DEI Sales by Rate'!K10*O10/P10,0)</f>
        <v>25441</v>
      </c>
      <c r="S10" s="30">
        <f>ROUND('DEI Sales by Rate'!K10*Q10/P10,1)</f>
        <v>12469.7</v>
      </c>
      <c r="V10" s="2">
        <v>204</v>
      </c>
      <c r="W10" s="2">
        <v>78803.555000000008</v>
      </c>
      <c r="X10" s="2">
        <v>66</v>
      </c>
      <c r="Y10" s="2">
        <f>ROUND('DEI Sales by Rate'!L10*V10/W10,0)</f>
        <v>193</v>
      </c>
      <c r="Z10" s="2">
        <f>ROUND('DEI Sales by Rate'!L10*X10/W10,0)</f>
        <v>63</v>
      </c>
      <c r="AA10" s="2" t="s">
        <v>8</v>
      </c>
      <c r="AB10" s="30" t="s">
        <v>8</v>
      </c>
      <c r="AC10" s="2" t="s">
        <v>8</v>
      </c>
      <c r="AD10" s="3" t="s">
        <v>8</v>
      </c>
    </row>
    <row r="11" spans="1:31" x14ac:dyDescent="0.2">
      <c r="A11">
        <v>9</v>
      </c>
      <c r="B11" t="s">
        <v>240</v>
      </c>
      <c r="C11" s="2">
        <v>183541.05599999998</v>
      </c>
      <c r="D11" s="2">
        <v>107191188.824</v>
      </c>
      <c r="E11" s="2">
        <v>58816.688000000002</v>
      </c>
      <c r="F11" s="2">
        <f>ROUND('DEI Sales by Rate'!I11*C11/D11,0)</f>
        <v>244629</v>
      </c>
      <c r="G11" s="2">
        <f>ROUND('DEI Sales by Rate'!J11*E11/D11,0)</f>
        <v>65876</v>
      </c>
      <c r="H11" s="28"/>
      <c r="I11" s="2">
        <v>145194.258</v>
      </c>
      <c r="J11" s="2">
        <v>91677868.96100001</v>
      </c>
      <c r="K11" s="2">
        <v>69617.05</v>
      </c>
      <c r="L11" s="2">
        <f>ROUND('DEI Sales by Rate'!J11*I11/J11,0)</f>
        <v>190138</v>
      </c>
      <c r="M11" s="30">
        <f>ROUND('DEI Sales by Rate'!J11*K11/J11,1)</f>
        <v>91166.3</v>
      </c>
      <c r="O11" s="2">
        <v>21240</v>
      </c>
      <c r="P11" s="2">
        <v>7973712</v>
      </c>
      <c r="Q11" s="2">
        <v>12024</v>
      </c>
      <c r="R11" s="2">
        <f>ROUND('DEI Sales by Rate'!K11*O11/P11,0)</f>
        <v>28309</v>
      </c>
      <c r="S11" s="30">
        <f>ROUND('DEI Sales by Rate'!K11*Q11/P11,1)</f>
        <v>16026</v>
      </c>
      <c r="V11" s="2">
        <v>207</v>
      </c>
      <c r="W11" s="2">
        <v>37208</v>
      </c>
      <c r="X11" s="2">
        <v>54</v>
      </c>
      <c r="Y11" s="2">
        <f>ROUND('DEI Sales by Rate'!L11*V11/W11,0)</f>
        <v>208</v>
      </c>
      <c r="Z11" s="2">
        <f>ROUND('DEI Sales by Rate'!L11*X11/W11,0)</f>
        <v>54</v>
      </c>
      <c r="AA11" s="2" t="s">
        <v>8</v>
      </c>
      <c r="AB11" s="30" t="s">
        <v>8</v>
      </c>
      <c r="AC11" s="2" t="s">
        <v>8</v>
      </c>
      <c r="AD11" s="3" t="s">
        <v>8</v>
      </c>
    </row>
    <row r="12" spans="1:31" x14ac:dyDescent="0.2">
      <c r="A12">
        <v>10</v>
      </c>
      <c r="B12" t="s">
        <v>241</v>
      </c>
      <c r="C12" s="2">
        <v>181762.576</v>
      </c>
      <c r="D12" s="2">
        <v>102126152.92</v>
      </c>
      <c r="E12" s="2">
        <v>57088.544000000002</v>
      </c>
      <c r="F12" s="2">
        <f>ROUND('DEI Sales by Rate'!I12*C12/D12,0)</f>
        <v>212865</v>
      </c>
      <c r="G12" s="2">
        <f>ROUND('DEI Sales by Rate'!J12*E12/D12,0)</f>
        <v>52157</v>
      </c>
      <c r="H12" s="28"/>
      <c r="I12" s="2">
        <v>136332.93</v>
      </c>
      <c r="J12" s="2">
        <v>79932847.071999997</v>
      </c>
      <c r="K12" s="2">
        <v>68340.244999999995</v>
      </c>
      <c r="L12" s="2">
        <f>ROUND('DEI Sales by Rate'!J12*I12/J12,0)</f>
        <v>159138</v>
      </c>
      <c r="M12" s="30">
        <f>ROUND('DEI Sales by Rate'!J12*K12/J12,1)</f>
        <v>79771.899999999994</v>
      </c>
      <c r="O12" s="2">
        <v>22032</v>
      </c>
      <c r="P12" s="2">
        <v>8108964</v>
      </c>
      <c r="Q12" s="2">
        <v>9648</v>
      </c>
      <c r="R12" s="2">
        <f>ROUND('DEI Sales by Rate'!K12*O12/P12,0)</f>
        <v>25802</v>
      </c>
      <c r="S12" s="30">
        <f>ROUND('DEI Sales by Rate'!K12*Q12/P12,1)</f>
        <v>11298.9</v>
      </c>
      <c r="V12" s="2">
        <v>112</v>
      </c>
      <c r="W12" s="2">
        <v>35780</v>
      </c>
      <c r="X12" s="2">
        <v>28</v>
      </c>
      <c r="Y12" s="2">
        <f>ROUND('DEI Sales by Rate'!L12*V12/W12,0)</f>
        <v>122</v>
      </c>
      <c r="Z12" s="2">
        <f>ROUND('DEI Sales by Rate'!L12*X12/W12,0)</f>
        <v>30</v>
      </c>
      <c r="AA12" s="2" t="s">
        <v>8</v>
      </c>
      <c r="AB12" s="30" t="s">
        <v>8</v>
      </c>
      <c r="AC12" s="2" t="s">
        <v>8</v>
      </c>
      <c r="AD12" s="3" t="s">
        <v>8</v>
      </c>
    </row>
    <row r="13" spans="1:31" x14ac:dyDescent="0.2">
      <c r="A13">
        <v>11</v>
      </c>
      <c r="B13" t="s">
        <v>242</v>
      </c>
      <c r="C13" s="2">
        <v>181056.06400000001</v>
      </c>
      <c r="D13" s="2">
        <v>103607259.016</v>
      </c>
      <c r="E13" s="2">
        <v>53160.847999999904</v>
      </c>
      <c r="F13" s="2">
        <f>ROUND('DEI Sales by Rate'!I13*C13/D13,0)</f>
        <v>215085</v>
      </c>
      <c r="G13" s="2">
        <f>ROUND('DEI Sales by Rate'!J13*E13/D13,0)</f>
        <v>49285</v>
      </c>
      <c r="H13" s="28"/>
      <c r="I13" s="2">
        <v>136719.27000000002</v>
      </c>
      <c r="J13" s="2">
        <v>81939992.645999998</v>
      </c>
      <c r="K13" s="2">
        <v>67555.228000000003</v>
      </c>
      <c r="L13" s="2">
        <f>ROUND('DEI Sales by Rate'!J13*I13/J13,0)</f>
        <v>160266</v>
      </c>
      <c r="M13" s="30">
        <f>ROUND('DEI Sales by Rate'!J13*K13/J13,1)</f>
        <v>79190.3</v>
      </c>
      <c r="O13" s="2">
        <v>20880</v>
      </c>
      <c r="P13" s="2">
        <v>7943148</v>
      </c>
      <c r="Q13" s="2">
        <v>10368</v>
      </c>
      <c r="R13" s="2">
        <f>ROUND('DEI Sales by Rate'!K13*O13/P13,0)</f>
        <v>24804</v>
      </c>
      <c r="S13" s="30">
        <f>ROUND('DEI Sales by Rate'!K13*Q13/P13,1)</f>
        <v>12316.6</v>
      </c>
      <c r="V13" s="2">
        <v>240</v>
      </c>
      <c r="W13" s="2">
        <v>36184</v>
      </c>
      <c r="X13" s="2">
        <v>54</v>
      </c>
      <c r="Y13" s="2">
        <f>ROUND('DEI Sales by Rate'!L13*V13/W13,0)</f>
        <v>223</v>
      </c>
      <c r="Z13" s="2">
        <f>ROUND('DEI Sales by Rate'!L13*X13/W13,0)</f>
        <v>50</v>
      </c>
      <c r="AA13" s="2" t="s">
        <v>8</v>
      </c>
      <c r="AB13" s="30" t="s">
        <v>8</v>
      </c>
      <c r="AC13" s="2" t="s">
        <v>8</v>
      </c>
      <c r="AD13" s="3" t="s">
        <v>8</v>
      </c>
    </row>
    <row r="14" spans="1:31" x14ac:dyDescent="0.2">
      <c r="A14">
        <v>12</v>
      </c>
      <c r="B14" t="s">
        <v>243</v>
      </c>
      <c r="C14" s="2">
        <v>180933.68</v>
      </c>
      <c r="D14" s="2">
        <v>101255756.624</v>
      </c>
      <c r="E14" s="2">
        <v>55330.512000000002</v>
      </c>
      <c r="F14" s="2">
        <f>ROUND('DEI Sales by Rate'!I14*C14/D14,0)</f>
        <v>210018</v>
      </c>
      <c r="G14" s="2">
        <f>ROUND('DEI Sales by Rate'!J14*E14/D14,0)</f>
        <v>52441</v>
      </c>
      <c r="H14" s="28"/>
      <c r="I14" s="2">
        <v>136380.51</v>
      </c>
      <c r="J14" s="2">
        <v>83297848.486000001</v>
      </c>
      <c r="K14" s="2">
        <v>70760.021000000008</v>
      </c>
      <c r="L14" s="2">
        <f>ROUND('DEI Sales by Rate'!J14*I14/J14,0)</f>
        <v>157124</v>
      </c>
      <c r="M14" s="30">
        <f>ROUND('DEI Sales by Rate'!J14*K14/J14,1)</f>
        <v>81522.399999999994</v>
      </c>
      <c r="O14" s="2">
        <v>21168</v>
      </c>
      <c r="P14" s="2">
        <v>7266852</v>
      </c>
      <c r="Q14" s="2">
        <v>8784</v>
      </c>
      <c r="R14" s="2">
        <f>ROUND('DEI Sales by Rate'!K14*O14/P14,0)</f>
        <v>24571</v>
      </c>
      <c r="S14" s="30">
        <f>ROUND('DEI Sales by Rate'!K14*Q14/P14,1)</f>
        <v>10196</v>
      </c>
      <c r="V14" s="2">
        <v>130</v>
      </c>
      <c r="W14" s="2">
        <v>43061</v>
      </c>
      <c r="X14" s="2">
        <v>15</v>
      </c>
      <c r="Y14" s="2">
        <f>ROUND('DEI Sales by Rate'!L14*V14/W14,0)</f>
        <v>136</v>
      </c>
      <c r="Z14" s="2">
        <f>ROUND('DEI Sales by Rate'!L14*X14/W14,0)</f>
        <v>16</v>
      </c>
      <c r="AA14" s="2" t="s">
        <v>8</v>
      </c>
      <c r="AB14" s="30" t="s">
        <v>8</v>
      </c>
      <c r="AC14" s="2" t="s">
        <v>8</v>
      </c>
      <c r="AD14" s="3" t="s">
        <v>8</v>
      </c>
    </row>
    <row r="15" spans="1:31" x14ac:dyDescent="0.2">
      <c r="C15" s="3">
        <f>SUM(C3:C14)</f>
        <v>2103716.0319999997</v>
      </c>
      <c r="D15" s="3">
        <f>SUM(D3:D14)</f>
        <v>1181378398.3510001</v>
      </c>
      <c r="E15" s="3">
        <f>SUM(E3:E14)</f>
        <v>655404.91199999989</v>
      </c>
      <c r="F15" s="2">
        <f>SUM(F3:F14)</f>
        <v>2526481</v>
      </c>
      <c r="G15" s="2">
        <f>SUM(G3:G14)</f>
        <v>646095</v>
      </c>
      <c r="I15" s="3">
        <f>SUM(I3:I14)</f>
        <v>1627646.9039999999</v>
      </c>
      <c r="J15" s="3">
        <f>SUM(J3:J14)</f>
        <v>979822876.7670002</v>
      </c>
      <c r="K15" s="3">
        <f>SUM(K3:K14)</f>
        <v>788850.48600000003</v>
      </c>
      <c r="L15" s="3">
        <f>SUM(L3:L14)</f>
        <v>1913939</v>
      </c>
      <c r="M15" s="3">
        <f>SUM(M3:M14)</f>
        <v>934712.60000000009</v>
      </c>
      <c r="O15" s="3">
        <f>SUM(O3:O14)</f>
        <v>255528</v>
      </c>
      <c r="P15" s="3">
        <f>SUM(P3:P14)</f>
        <v>95995404</v>
      </c>
      <c r="Q15" s="3">
        <f>SUM(Q3:Q14)</f>
        <v>133776</v>
      </c>
      <c r="R15" s="2">
        <f>SUM(R3:R14)</f>
        <v>306653</v>
      </c>
      <c r="S15" s="30">
        <v>152790.5</v>
      </c>
      <c r="V15" s="3">
        <f t="shared" ref="V15:AD15" si="0">SUM(V3:V14)</f>
        <v>2446</v>
      </c>
      <c r="W15" s="3">
        <f t="shared" si="0"/>
        <v>632149.55499999993</v>
      </c>
      <c r="X15" s="3">
        <f t="shared" si="0"/>
        <v>558</v>
      </c>
      <c r="Y15" s="2">
        <f>SUM(Y3:Y14)</f>
        <v>2442</v>
      </c>
      <c r="Z15" s="2">
        <v>559</v>
      </c>
      <c r="AA15" s="3">
        <f t="shared" si="0"/>
        <v>0</v>
      </c>
      <c r="AB15" s="62">
        <f t="shared" si="0"/>
        <v>0</v>
      </c>
      <c r="AC15" s="3">
        <f t="shared" si="0"/>
        <v>0</v>
      </c>
      <c r="AD15" s="3">
        <f t="shared" si="0"/>
        <v>0</v>
      </c>
    </row>
    <row r="16" spans="1:31" x14ac:dyDescent="0.2">
      <c r="F16" s="98" t="s">
        <v>8</v>
      </c>
    </row>
    <row r="17" spans="1:23" x14ac:dyDescent="0.2">
      <c r="C17" s="344" t="s">
        <v>173</v>
      </c>
      <c r="D17" s="344"/>
      <c r="E17" s="344"/>
      <c r="F17" s="344"/>
      <c r="G17" s="344"/>
      <c r="I17" s="344" t="s">
        <v>54</v>
      </c>
      <c r="J17" s="344"/>
      <c r="K17" s="344"/>
      <c r="L17" s="344"/>
      <c r="M17" s="344"/>
      <c r="O17" s="344" t="s">
        <v>288</v>
      </c>
      <c r="P17" s="344"/>
      <c r="Q17" s="344"/>
      <c r="R17" s="344"/>
      <c r="S17" s="344"/>
    </row>
    <row r="18" spans="1:23" x14ac:dyDescent="0.2">
      <c r="B18" s="9" t="s">
        <v>269</v>
      </c>
      <c r="C18" s="9" t="s">
        <v>270</v>
      </c>
      <c r="D18" s="9" t="s">
        <v>271</v>
      </c>
      <c r="E18" s="9" t="s">
        <v>272</v>
      </c>
      <c r="F18" s="9" t="s">
        <v>273</v>
      </c>
      <c r="G18" s="9" t="s">
        <v>274</v>
      </c>
      <c r="I18" s="9" t="s">
        <v>270</v>
      </c>
      <c r="J18" s="9" t="s">
        <v>271</v>
      </c>
      <c r="K18" s="9" t="s">
        <v>272</v>
      </c>
      <c r="L18" s="9" t="s">
        <v>273</v>
      </c>
      <c r="M18" s="9" t="s">
        <v>274</v>
      </c>
      <c r="O18" s="9" t="s">
        <v>270</v>
      </c>
      <c r="P18" s="9" t="s">
        <v>271</v>
      </c>
      <c r="Q18" s="9" t="s">
        <v>272</v>
      </c>
      <c r="R18" s="9" t="s">
        <v>273</v>
      </c>
      <c r="S18" s="9" t="s">
        <v>274</v>
      </c>
    </row>
    <row r="19" spans="1:23" x14ac:dyDescent="0.2">
      <c r="A19">
        <v>1</v>
      </c>
      <c r="B19" t="s">
        <v>232</v>
      </c>
      <c r="C19" s="2">
        <v>257070.55999999997</v>
      </c>
      <c r="D19" s="2">
        <v>107551705.51999998</v>
      </c>
      <c r="E19" s="2">
        <v>103906.08000000002</v>
      </c>
      <c r="F19" s="2">
        <f>ROUND('DEI Sales by Rate'!M3*C19/D19,0)</f>
        <v>371040</v>
      </c>
      <c r="G19" s="30">
        <f>ROUND('DEI Sales by Rate'!M3*E19/D19,1)</f>
        <v>149971.5</v>
      </c>
      <c r="I19" s="2">
        <v>231127.88999999984</v>
      </c>
      <c r="J19" s="2">
        <v>127408999.3</v>
      </c>
      <c r="K19" s="2">
        <v>89678.179999999949</v>
      </c>
      <c r="L19" s="2">
        <f>ROUND('DEI Sales by Rate'!N3*I19/J19,0)</f>
        <v>275606</v>
      </c>
      <c r="M19" s="30">
        <f>ROUND('DEI Sales by Rate'!N3*K19/J19,1)</f>
        <v>106935.8</v>
      </c>
      <c r="O19" s="2">
        <v>570488.43099999882</v>
      </c>
      <c r="P19" s="2">
        <v>271308507.46999997</v>
      </c>
      <c r="Q19" s="30">
        <v>211239.98000000004</v>
      </c>
      <c r="R19" s="2">
        <f>ROUND('DEI Sales by Rate'!O3*O19/P19,0)</f>
        <v>656133</v>
      </c>
      <c r="S19" s="30">
        <f>ROUND('DEI Sales by Rate'!O3*Q19/P19,1)</f>
        <v>242952.4</v>
      </c>
      <c r="W19" s="3">
        <f>+P3+W3</f>
        <v>8510998</v>
      </c>
    </row>
    <row r="20" spans="1:23" x14ac:dyDescent="0.2">
      <c r="A20">
        <v>2</v>
      </c>
      <c r="B20" t="s">
        <v>233</v>
      </c>
      <c r="C20" s="2">
        <v>257373.76</v>
      </c>
      <c r="D20" s="2">
        <v>122370301.04000001</v>
      </c>
      <c r="E20" s="2">
        <v>116576.64000000001</v>
      </c>
      <c r="F20" s="2">
        <f>ROUND('DEI Sales by Rate'!M4*C20/D20,0)</f>
        <v>320498</v>
      </c>
      <c r="G20" s="30">
        <f>ROUND('DEI Sales by Rate'!M4*E20/D20,1)</f>
        <v>145168.4</v>
      </c>
      <c r="I20" s="2">
        <v>234119.88</v>
      </c>
      <c r="J20" s="2">
        <v>129786516.97500001</v>
      </c>
      <c r="K20" s="2">
        <v>89814.3</v>
      </c>
      <c r="L20" s="2">
        <f>ROUND('DEI Sales by Rate'!N4*I20/J20,0)</f>
        <v>270836</v>
      </c>
      <c r="M20" s="30">
        <f>ROUND('DEI Sales by Rate'!N4*K20/J20,1)</f>
        <v>103899.4</v>
      </c>
      <c r="O20" s="2">
        <v>553092.13100000028</v>
      </c>
      <c r="P20" s="2">
        <v>262364161.8180002</v>
      </c>
      <c r="Q20" s="2">
        <v>205388.64499999987</v>
      </c>
      <c r="R20" s="2">
        <f>ROUND('DEI Sales by Rate'!O4*O20/P20,0)</f>
        <v>603228</v>
      </c>
      <c r="S20" s="30">
        <f>ROUND('DEI Sales by Rate'!O4*Q20/P20,1)</f>
        <v>224006.5</v>
      </c>
      <c r="W20" s="3">
        <f t="shared" ref="W20:W31" si="1">+P4+W4</f>
        <v>7793351</v>
      </c>
    </row>
    <row r="21" spans="1:23" x14ac:dyDescent="0.2">
      <c r="A21">
        <v>3</v>
      </c>
      <c r="B21" t="s">
        <v>234</v>
      </c>
      <c r="C21" s="2">
        <v>242200.64</v>
      </c>
      <c r="D21" s="2">
        <v>122370301.04000001</v>
      </c>
      <c r="E21" s="2">
        <v>112174.23999999999</v>
      </c>
      <c r="F21" s="2">
        <f>ROUND('DEI Sales by Rate'!M5*C21/D21,0)</f>
        <v>289029</v>
      </c>
      <c r="G21" s="30">
        <f>ROUND('DEI Sales by Rate'!M5*E21/D21,1)</f>
        <v>133862.79999999999</v>
      </c>
      <c r="I21" s="2">
        <v>236649.13</v>
      </c>
      <c r="J21" s="2">
        <v>129488272.72500001</v>
      </c>
      <c r="K21" s="2">
        <v>93743.479999999981</v>
      </c>
      <c r="L21" s="2">
        <f>ROUND('DEI Sales by Rate'!N5*I21/J21,0)</f>
        <v>259722</v>
      </c>
      <c r="M21" s="30">
        <f>ROUND('DEI Sales by Rate'!N5*K21/J21,1)</f>
        <v>102883.2</v>
      </c>
      <c r="O21" s="2">
        <v>550426.37699999975</v>
      </c>
      <c r="P21" s="2">
        <v>262737767.49100006</v>
      </c>
      <c r="Q21" s="2">
        <v>212792.55600000013</v>
      </c>
      <c r="R21" s="2">
        <f>ROUND('DEI Sales by Rate'!O5*O21/P21,0)</f>
        <v>573927</v>
      </c>
      <c r="S21" s="30">
        <f>ROUND('DEI Sales by Rate'!O5*Q21/P21,1)</f>
        <v>221878</v>
      </c>
      <c r="W21" s="3">
        <f t="shared" si="1"/>
        <v>8694192</v>
      </c>
    </row>
    <row r="22" spans="1:23" x14ac:dyDescent="0.2">
      <c r="A22">
        <v>4</v>
      </c>
      <c r="B22" t="s">
        <v>235</v>
      </c>
      <c r="C22" s="2">
        <v>259055.52</v>
      </c>
      <c r="D22" s="2">
        <v>131499541.66</v>
      </c>
      <c r="E22" s="2">
        <v>122142.55999999998</v>
      </c>
      <c r="F22" s="2">
        <f>ROUND('DEI Sales by Rate'!M6*C22/D22,0)</f>
        <v>268448</v>
      </c>
      <c r="G22" s="30">
        <f>ROUND('DEI Sales by Rate'!M6*E22/D22,1)</f>
        <v>126571.2</v>
      </c>
      <c r="I22" s="2">
        <v>245710.98000000004</v>
      </c>
      <c r="J22" s="2">
        <v>129546299.59500001</v>
      </c>
      <c r="K22" s="2">
        <v>97231.580000000016</v>
      </c>
      <c r="L22" s="2">
        <f>ROUND('DEI Sales by Rate'!N6*I22/J22,0)</f>
        <v>240668</v>
      </c>
      <c r="M22" s="30">
        <f>ROUND('DEI Sales by Rate'!N6*K22/J22,1)</f>
        <v>95235.9</v>
      </c>
      <c r="O22" s="2">
        <v>570616.24900000019</v>
      </c>
      <c r="P22" s="2">
        <v>262377561.53100029</v>
      </c>
      <c r="Q22" s="2">
        <v>231718.56099999993</v>
      </c>
      <c r="R22" s="2">
        <f>ROUND('DEI Sales by Rate'!O6*O22/P22,0)</f>
        <v>544386</v>
      </c>
      <c r="S22" s="30">
        <f>ROUND('DEI Sales by Rate'!O6*Q22/P22,1)</f>
        <v>221066.8</v>
      </c>
      <c r="W22" s="3">
        <f t="shared" si="1"/>
        <v>7463322</v>
      </c>
    </row>
    <row r="23" spans="1:23" x14ac:dyDescent="0.2">
      <c r="A23">
        <v>5</v>
      </c>
      <c r="B23" t="s">
        <v>236</v>
      </c>
      <c r="C23" s="2">
        <v>242872.8</v>
      </c>
      <c r="D23" s="2">
        <v>121761558.2</v>
      </c>
      <c r="E23" s="2">
        <v>106469.44</v>
      </c>
      <c r="F23" s="2">
        <f>ROUND('DEI Sales by Rate'!M7*C23/D23,0)</f>
        <v>302944</v>
      </c>
      <c r="G23" s="30">
        <f>ROUND('DEI Sales by Rate'!M7*E23/D23,1)</f>
        <v>132803</v>
      </c>
      <c r="I23" s="2">
        <v>244225.05000000002</v>
      </c>
      <c r="J23" s="2">
        <v>130372587.17500003</v>
      </c>
      <c r="K23" s="2">
        <v>99238.989999999976</v>
      </c>
      <c r="L23" s="2">
        <f>ROUND('DEI Sales by Rate'!N7*I23/J23,0)</f>
        <v>282879</v>
      </c>
      <c r="M23" s="30">
        <f>ROUND('DEI Sales by Rate'!N7*K23/J23,1)</f>
        <v>114945.8</v>
      </c>
      <c r="O23" s="2">
        <v>570558.98699999985</v>
      </c>
      <c r="P23" s="2">
        <v>260678448.69300005</v>
      </c>
      <c r="Q23" s="2">
        <v>241517.05400000003</v>
      </c>
      <c r="R23" s="2">
        <f>ROUND('DEI Sales by Rate'!O7*O23/P23,0)</f>
        <v>636509</v>
      </c>
      <c r="S23" s="30">
        <f>ROUND('DEI Sales by Rate'!O7*Q23/P23,1)</f>
        <v>269433.8</v>
      </c>
      <c r="W23" s="3">
        <f t="shared" si="1"/>
        <v>8446699</v>
      </c>
    </row>
    <row r="24" spans="1:23" x14ac:dyDescent="0.2">
      <c r="A24">
        <v>6</v>
      </c>
      <c r="B24" t="s">
        <v>237</v>
      </c>
      <c r="C24" s="2">
        <v>250365.44</v>
      </c>
      <c r="D24" s="2">
        <v>132424130.56000002</v>
      </c>
      <c r="E24" s="2">
        <v>98953.76</v>
      </c>
      <c r="F24" s="2">
        <f>ROUND('DEI Sales by Rate'!M8*C24/D24,0)</f>
        <v>307549</v>
      </c>
      <c r="G24" s="30">
        <f>ROUND('DEI Sales by Rate'!M8*E24/D24,1)</f>
        <v>121554.9</v>
      </c>
      <c r="I24" s="2">
        <v>258463.37999999998</v>
      </c>
      <c r="J24" s="2">
        <v>150193183.86000001</v>
      </c>
      <c r="K24" s="2">
        <v>106570.00000000001</v>
      </c>
      <c r="L24" s="2">
        <f>ROUND('DEI Sales by Rate'!N8*I24/J24,0)</f>
        <v>295223</v>
      </c>
      <c r="M24" s="30">
        <f>ROUND('DEI Sales by Rate'!N8*K24/J24,1)</f>
        <v>121726.6</v>
      </c>
      <c r="O24" s="2">
        <v>600954.42300000077</v>
      </c>
      <c r="P24" s="2">
        <v>304027550.3119998</v>
      </c>
      <c r="Q24" s="2">
        <v>263608.04700000043</v>
      </c>
      <c r="R24" s="2">
        <f>ROUND('DEI Sales by Rate'!O8*O24/P24,0)</f>
        <v>672019</v>
      </c>
      <c r="S24" s="30">
        <f>ROUND('DEI Sales by Rate'!O8*Q24/P24,1)</f>
        <v>294780.59999999998</v>
      </c>
      <c r="W24" s="3">
        <f t="shared" si="1"/>
        <v>8098671</v>
      </c>
    </row>
    <row r="25" spans="1:23" x14ac:dyDescent="0.2">
      <c r="A25">
        <v>7</v>
      </c>
      <c r="B25" t="s">
        <v>238</v>
      </c>
      <c r="C25" s="2">
        <v>256204.32000000004</v>
      </c>
      <c r="D25" s="2">
        <v>126256527.5</v>
      </c>
      <c r="E25" s="2">
        <v>126655.03999999999</v>
      </c>
      <c r="F25" s="2">
        <v>300000</v>
      </c>
      <c r="G25" s="30">
        <v>100000</v>
      </c>
      <c r="I25" s="2">
        <v>275290.98999999993</v>
      </c>
      <c r="J25" s="2">
        <v>148982073.04000002</v>
      </c>
      <c r="K25" s="2">
        <v>113978.77000000005</v>
      </c>
      <c r="L25" s="2">
        <v>270000</v>
      </c>
      <c r="M25" s="30">
        <v>100000</v>
      </c>
      <c r="O25" s="2">
        <v>628245.10100000072</v>
      </c>
      <c r="P25" s="2">
        <v>304826655.21600008</v>
      </c>
      <c r="Q25" s="2">
        <v>274775.67199999996</v>
      </c>
      <c r="R25" s="2">
        <v>620000</v>
      </c>
      <c r="S25" s="30">
        <f>ROUND('DEI Sales by Rate'!O9*Q25/P25,1)</f>
        <v>270841.5</v>
      </c>
      <c r="W25" s="3">
        <f t="shared" si="1"/>
        <v>7173720</v>
      </c>
    </row>
    <row r="26" spans="1:23" x14ac:dyDescent="0.2">
      <c r="A26">
        <v>8</v>
      </c>
      <c r="B26" t="s">
        <v>239</v>
      </c>
      <c r="C26" s="2">
        <v>271589.92</v>
      </c>
      <c r="D26" s="2">
        <v>139193312.56</v>
      </c>
      <c r="E26" s="2">
        <v>108926.08000000002</v>
      </c>
      <c r="F26" s="2">
        <f>ROUND('DEI Sales by Rate'!M10*C26/D26,0)</f>
        <v>315296</v>
      </c>
      <c r="G26" s="30">
        <f>ROUND('DEI Sales by Rate'!M10*E26/D26,1)</f>
        <v>126455.1</v>
      </c>
      <c r="I26" s="2">
        <v>287627.68999999994</v>
      </c>
      <c r="J26" s="2">
        <v>163652960.18700004</v>
      </c>
      <c r="K26" s="2">
        <v>114293.73</v>
      </c>
      <c r="L26" s="2">
        <f>ROUND('DEI Sales by Rate'!N10*I26/J26,0)</f>
        <v>302696</v>
      </c>
      <c r="M26" s="30">
        <f>ROUND('DEI Sales by Rate'!N10*K26/J26,1)</f>
        <v>120281.3</v>
      </c>
      <c r="O26" s="2">
        <v>642923.97200000018</v>
      </c>
      <c r="P26" s="2">
        <v>323873335.44300002</v>
      </c>
      <c r="Q26" s="2">
        <v>280672.804</v>
      </c>
      <c r="R26" s="2">
        <f>ROUND('DEI Sales by Rate'!O10*O26/P26,0)</f>
        <v>655943</v>
      </c>
      <c r="S26" s="30">
        <f>ROUND('DEI Sales by Rate'!O10*Q26/P26,1)</f>
        <v>286356.5</v>
      </c>
      <c r="W26" s="3">
        <f t="shared" si="1"/>
        <v>9001691.5549999997</v>
      </c>
    </row>
    <row r="27" spans="1:23" x14ac:dyDescent="0.2">
      <c r="A27">
        <v>9</v>
      </c>
      <c r="B27" t="s">
        <v>240</v>
      </c>
      <c r="C27" s="2">
        <v>281607.67999999999</v>
      </c>
      <c r="D27" s="2">
        <v>154559792.24000001</v>
      </c>
      <c r="E27" s="2">
        <v>125237.6</v>
      </c>
      <c r="F27" s="2">
        <f>ROUND('DEI Sales by Rate'!M11*C27/D27,0)</f>
        <v>374804</v>
      </c>
      <c r="G27" s="30">
        <f>ROUND('DEI Sales by Rate'!M11*E27/D27,1)</f>
        <v>166684.20000000001</v>
      </c>
      <c r="I27" s="2">
        <v>282496.77999999997</v>
      </c>
      <c r="J27" s="2">
        <v>159690317.18499997</v>
      </c>
      <c r="K27" s="2">
        <v>116245.95</v>
      </c>
      <c r="L27" s="2">
        <f>ROUND('DEI Sales by Rate'!N11*I27/J27,0)</f>
        <v>337667</v>
      </c>
      <c r="M27" s="30">
        <f>ROUND('DEI Sales by Rate'!N11*K27/J27,1)</f>
        <v>138948.29999999999</v>
      </c>
      <c r="O27" s="2">
        <v>633874.66199999989</v>
      </c>
      <c r="P27" s="2">
        <v>326170280.39000005</v>
      </c>
      <c r="Q27" s="2">
        <v>279430.80400000018</v>
      </c>
      <c r="R27" s="2">
        <f>ROUND('DEI Sales by Rate'!O11*O27/P27,0)</f>
        <v>713505</v>
      </c>
      <c r="S27" s="30">
        <f>ROUND('DEI Sales by Rate'!O11*Q27/P27,1)</f>
        <v>314534.09999999998</v>
      </c>
      <c r="W27" s="3">
        <f t="shared" si="1"/>
        <v>8010920</v>
      </c>
    </row>
    <row r="28" spans="1:23" x14ac:dyDescent="0.2">
      <c r="A28">
        <v>10</v>
      </c>
      <c r="B28" t="s">
        <v>241</v>
      </c>
      <c r="C28" s="2">
        <v>284691.36</v>
      </c>
      <c r="D28" s="2">
        <v>137794171.68000001</v>
      </c>
      <c r="E28" s="2">
        <v>131607.67999999999</v>
      </c>
      <c r="F28" s="2">
        <f>ROUND('DEI Sales by Rate'!M12*C28/D28,0)</f>
        <v>333109</v>
      </c>
      <c r="G28" s="30">
        <f>ROUND('DEI Sales by Rate'!M12*E28/D28,1)</f>
        <v>153990.29999999999</v>
      </c>
      <c r="I28" s="2">
        <v>263945.36000000004</v>
      </c>
      <c r="J28" s="2">
        <v>139411423.20500001</v>
      </c>
      <c r="K28" s="2">
        <v>107844.11000000002</v>
      </c>
      <c r="L28" s="2">
        <f>ROUND('DEI Sales by Rate'!N12*I28/J28,0)</f>
        <v>296567</v>
      </c>
      <c r="M28" s="30">
        <f>ROUND('DEI Sales by Rate'!N12*K28/J28,1)</f>
        <v>121173</v>
      </c>
      <c r="O28" s="2">
        <v>593638.92700000049</v>
      </c>
      <c r="P28" s="2">
        <v>274974801.37500024</v>
      </c>
      <c r="Q28" s="2">
        <v>255545.03500000003</v>
      </c>
      <c r="R28" s="2">
        <f>ROUND('DEI Sales by Rate'!O12*O28/P28,0)</f>
        <v>631870</v>
      </c>
      <c r="S28" s="30">
        <f>ROUND('DEI Sales by Rate'!O12*Q28/P28,1)</f>
        <v>272002.40000000002</v>
      </c>
      <c r="W28" s="3">
        <f t="shared" si="1"/>
        <v>8144744</v>
      </c>
    </row>
    <row r="29" spans="1:23" x14ac:dyDescent="0.2">
      <c r="A29">
        <v>11</v>
      </c>
      <c r="B29" t="s">
        <v>242</v>
      </c>
      <c r="C29" s="2">
        <v>270920.15999999997</v>
      </c>
      <c r="D29" s="2">
        <v>119325684.23999999</v>
      </c>
      <c r="E29" s="2">
        <v>121198.71999999997</v>
      </c>
      <c r="F29" s="2">
        <f>ROUND('DEI Sales by Rate'!M13*C29/D29,0)</f>
        <v>321346</v>
      </c>
      <c r="G29" s="30">
        <f>ROUND('DEI Sales by Rate'!M13*E29/D29,1)</f>
        <v>143757.1</v>
      </c>
      <c r="I29" s="2">
        <v>244442.38</v>
      </c>
      <c r="J29" s="2">
        <v>133881218.09000002</v>
      </c>
      <c r="K29" s="2">
        <v>96197.419999999984</v>
      </c>
      <c r="L29" s="2">
        <f>ROUND('DEI Sales by Rate'!N13*I29/J29,0)</f>
        <v>268060</v>
      </c>
      <c r="M29" s="30">
        <f>ROUND('DEI Sales by Rate'!N13*K29/J29,1)</f>
        <v>105491.9</v>
      </c>
      <c r="O29" s="2">
        <v>554959.7150000002</v>
      </c>
      <c r="P29" s="2">
        <v>265554283.85600007</v>
      </c>
      <c r="Q29" s="2">
        <v>224962.01499999996</v>
      </c>
      <c r="R29" s="2">
        <f>ROUND('DEI Sales by Rate'!O13*O29/P29,0)</f>
        <v>573294</v>
      </c>
      <c r="S29" s="30">
        <f>ROUND('DEI Sales by Rate'!O13*Q29/P29,1)</f>
        <v>232394.2</v>
      </c>
      <c r="W29" s="3">
        <f t="shared" si="1"/>
        <v>7979332</v>
      </c>
    </row>
    <row r="30" spans="1:23" x14ac:dyDescent="0.2">
      <c r="A30">
        <v>12</v>
      </c>
      <c r="B30" t="s">
        <v>243</v>
      </c>
      <c r="C30" s="2">
        <v>258513.12</v>
      </c>
      <c r="D30" s="2">
        <v>118519725.76000001</v>
      </c>
      <c r="E30" s="2">
        <v>114078.24</v>
      </c>
      <c r="F30" s="2">
        <f>ROUND('DEI Sales by Rate'!M14*C30/D30,0)</f>
        <v>299892</v>
      </c>
      <c r="G30" s="30">
        <f>ROUND('DEI Sales by Rate'!M14*E30/D30,1)</f>
        <v>132338.1</v>
      </c>
      <c r="I30" s="2">
        <v>231984.42999999996</v>
      </c>
      <c r="J30" s="2">
        <v>126698666.48999999</v>
      </c>
      <c r="K30" s="2">
        <v>91671.020000000019</v>
      </c>
      <c r="L30" s="2">
        <f>ROUND('DEI Sales by Rate'!N14*I30/J30,0)</f>
        <v>258809</v>
      </c>
      <c r="M30" s="30">
        <f>ROUND('DEI Sales by Rate'!N14*K30/J30,1)</f>
        <v>102271</v>
      </c>
      <c r="O30" s="2">
        <v>554543.18900000025</v>
      </c>
      <c r="P30" s="2">
        <v>267026750.85399997</v>
      </c>
      <c r="Q30" s="2">
        <v>213349.32099999982</v>
      </c>
      <c r="R30" s="2">
        <f>ROUND('DEI Sales by Rate'!O14*O30/P30,0)</f>
        <v>604317</v>
      </c>
      <c r="S30" s="30">
        <f>ROUND('DEI Sales by Rate'!O14*Q30/P30,1)</f>
        <v>232498.8</v>
      </c>
      <c r="W30" s="3">
        <f t="shared" si="1"/>
        <v>7309913</v>
      </c>
    </row>
    <row r="31" spans="1:23" x14ac:dyDescent="0.2">
      <c r="B31" s="3">
        <f t="shared" ref="B31:E31" si="2">SUM(B19:B30)</f>
        <v>0</v>
      </c>
      <c r="C31" s="3">
        <f t="shared" si="2"/>
        <v>3132465.2800000003</v>
      </c>
      <c r="D31" s="3">
        <f t="shared" si="2"/>
        <v>1533626752.0000002</v>
      </c>
      <c r="E31" s="3">
        <f t="shared" si="2"/>
        <v>1387926.08</v>
      </c>
      <c r="F31" s="3">
        <f>SUM(F19:F30)</f>
        <v>3803955</v>
      </c>
      <c r="G31" s="3">
        <f>SUM(G19:G30)</f>
        <v>1633156.6000000003</v>
      </c>
      <c r="I31" s="3">
        <f>SUM(I19:I30)</f>
        <v>3036083.9399999995</v>
      </c>
      <c r="J31" s="3">
        <f>SUM(J19:J30)</f>
        <v>1669112517.8269999</v>
      </c>
      <c r="K31" s="3">
        <f>SUM(K19:K30)</f>
        <v>1216507.53</v>
      </c>
      <c r="L31" s="3">
        <f>SUM(L19:L30)</f>
        <v>3358733</v>
      </c>
      <c r="M31" s="3">
        <f>SUM(M19:M30)</f>
        <v>1333792.2</v>
      </c>
      <c r="O31" s="3">
        <f>SUM(O19:O30)</f>
        <v>7024322.1640000008</v>
      </c>
      <c r="P31" s="3">
        <f>SUM(P19:P30)</f>
        <v>3385920104.4490004</v>
      </c>
      <c r="Q31" s="3">
        <f>SUM(Q19:Q30)</f>
        <v>2895000.4940000009</v>
      </c>
      <c r="R31" s="3">
        <f>SUM(R19:R30)</f>
        <v>7485131</v>
      </c>
      <c r="S31" s="3">
        <f>SUM(S19:S30)</f>
        <v>3082745.6</v>
      </c>
      <c r="W31" s="3">
        <f t="shared" si="1"/>
        <v>96627553.555000007</v>
      </c>
    </row>
    <row r="32" spans="1:23" x14ac:dyDescent="0.2">
      <c r="B32" s="3"/>
      <c r="C32" s="3"/>
      <c r="D32" s="3"/>
      <c r="E32" s="3"/>
      <c r="F32" s="3"/>
      <c r="G32" s="3"/>
      <c r="I32" s="3"/>
      <c r="J32" s="3"/>
      <c r="K32" s="3"/>
      <c r="L32" s="3"/>
      <c r="M32" s="3"/>
      <c r="O32" s="3"/>
      <c r="P32" s="3"/>
      <c r="Q32" s="3"/>
      <c r="R32" s="3"/>
      <c r="S32" s="3"/>
    </row>
    <row r="33" spans="2:24" x14ac:dyDescent="0.2">
      <c r="D33" s="126" t="s">
        <v>271</v>
      </c>
    </row>
    <row r="34" spans="2:24" x14ac:dyDescent="0.2">
      <c r="C34" t="s">
        <v>164</v>
      </c>
      <c r="D34" s="3">
        <f>D3+J3+P3+D19+J19+P19</f>
        <v>696564533.42999995</v>
      </c>
      <c r="E34" s="3">
        <f>E3+K3+Q3+E19+K19+Q19</f>
        <v>538619.34199999995</v>
      </c>
      <c r="F34" s="3">
        <f>C3+I3+O3+C19+I19+O19</f>
        <v>1390019.8199999984</v>
      </c>
      <c r="H34">
        <f>D34-J34</f>
        <v>-139291718.57000005</v>
      </c>
      <c r="I34" t="s">
        <v>164</v>
      </c>
      <c r="J34" s="24">
        <f>'Allocators Data orig'!Y77+'Allocators Data orig'!AC77</f>
        <v>835856252</v>
      </c>
      <c r="O34" s="3">
        <f t="shared" ref="O34:O45" si="3">+O19+I19+C19+C3+I3+O3+V3</f>
        <v>1390186.8199999987</v>
      </c>
      <c r="R34" s="3">
        <f>+R19+L19+F19+F3+L3+R3</f>
        <v>1723056</v>
      </c>
    </row>
    <row r="35" spans="2:24" x14ac:dyDescent="0.2">
      <c r="D35" s="3">
        <f t="shared" ref="D35:D45" si="4">D4+J4+P4+D20+J20+P20</f>
        <v>697834642.65500021</v>
      </c>
      <c r="E35" s="3"/>
      <c r="H35">
        <f t="shared" ref="H35:H45" si="5">D35-J35</f>
        <v>-98418986.34499979</v>
      </c>
      <c r="J35" s="24">
        <f>'Allocators Data orig'!Y78+'Allocators Data orig'!AC78</f>
        <v>796253629</v>
      </c>
      <c r="O35" s="3">
        <f t="shared" si="3"/>
        <v>1377181.7860000003</v>
      </c>
      <c r="R35" s="3">
        <f t="shared" ref="R35:R45" si="6">+R20+L20+F20+F4+L4+R4</f>
        <v>1606889</v>
      </c>
    </row>
    <row r="36" spans="2:24" x14ac:dyDescent="0.2">
      <c r="D36" s="3">
        <f t="shared" si="4"/>
        <v>700252442.69200015</v>
      </c>
      <c r="E36" s="3"/>
      <c r="H36">
        <f t="shared" si="5"/>
        <v>-92086410.307999849</v>
      </c>
      <c r="J36" s="24">
        <f>'Allocators Data orig'!Y79+'Allocators Data orig'!AC79</f>
        <v>792338853</v>
      </c>
      <c r="O36" s="3">
        <f t="shared" si="3"/>
        <v>1361115.1889999998</v>
      </c>
      <c r="R36" s="3">
        <f t="shared" si="6"/>
        <v>1511672</v>
      </c>
      <c r="W36" s="2">
        <v>2176561</v>
      </c>
    </row>
    <row r="37" spans="2:24" x14ac:dyDescent="0.2">
      <c r="D37" s="3">
        <f t="shared" si="4"/>
        <v>697270607.02300024</v>
      </c>
      <c r="E37" s="3"/>
      <c r="H37">
        <f t="shared" si="5"/>
        <v>-118516589.97699976</v>
      </c>
      <c r="J37" s="24">
        <f>'Allocators Data orig'!Y80+'Allocators Data orig'!AC80</f>
        <v>815787197</v>
      </c>
      <c r="O37" s="3">
        <f t="shared" si="3"/>
        <v>1404566.7030000002</v>
      </c>
      <c r="R37" s="3">
        <f t="shared" si="6"/>
        <v>1393052</v>
      </c>
      <c r="W37" s="2">
        <v>1850398</v>
      </c>
    </row>
    <row r="38" spans="2:24" x14ac:dyDescent="0.2">
      <c r="D38" s="3">
        <f t="shared" si="4"/>
        <v>695288836.574</v>
      </c>
      <c r="E38" s="3"/>
      <c r="H38">
        <f t="shared" si="5"/>
        <v>-136536019.426</v>
      </c>
      <c r="J38" s="24">
        <f>'Allocators Data orig'!Y81+'Allocators Data orig'!AC81</f>
        <v>831824856</v>
      </c>
      <c r="O38" s="3">
        <f t="shared" si="3"/>
        <v>1378154.9339999999</v>
      </c>
      <c r="R38" s="3">
        <f t="shared" si="6"/>
        <v>1619542</v>
      </c>
      <c r="W38" s="2">
        <v>3790121</v>
      </c>
    </row>
    <row r="39" spans="2:24" x14ac:dyDescent="0.2">
      <c r="D39" s="3">
        <f t="shared" si="4"/>
        <v>772937616.28599977</v>
      </c>
      <c r="E39" s="3"/>
      <c r="H39">
        <f t="shared" si="5"/>
        <v>-139119873.71400023</v>
      </c>
      <c r="J39" s="24">
        <f>'Allocators Data orig'!Y82+'Allocators Data orig'!AC82</f>
        <v>912057490</v>
      </c>
      <c r="O39" s="3">
        <f t="shared" si="3"/>
        <v>1428979.9690000007</v>
      </c>
      <c r="R39" s="3">
        <f t="shared" si="6"/>
        <v>1664401</v>
      </c>
      <c r="W39" s="2">
        <v>4143527</v>
      </c>
    </row>
    <row r="40" spans="2:24" x14ac:dyDescent="0.2">
      <c r="D40" s="3">
        <f t="shared" si="4"/>
        <v>759205146.55000019</v>
      </c>
      <c r="E40" s="3"/>
      <c r="H40">
        <f t="shared" si="5"/>
        <v>-167070325.44999981</v>
      </c>
      <c r="J40" s="24">
        <f>'Allocators Data orig'!Y83+'Allocators Data orig'!AC83</f>
        <v>926275472</v>
      </c>
      <c r="O40" s="3">
        <f t="shared" si="3"/>
        <v>1485287.9290000007</v>
      </c>
      <c r="R40" s="3">
        <f t="shared" si="6"/>
        <v>1555397</v>
      </c>
      <c r="W40" s="86">
        <v>8248383</v>
      </c>
      <c r="X40" s="2">
        <v>7024322</v>
      </c>
    </row>
    <row r="41" spans="2:24" x14ac:dyDescent="0.2">
      <c r="D41" s="3">
        <f t="shared" si="4"/>
        <v>820573522.26999998</v>
      </c>
      <c r="E41" s="3"/>
      <c r="H41">
        <f t="shared" si="5"/>
        <v>-87763143.730000019</v>
      </c>
      <c r="J41" s="24">
        <f>'Allocators Data orig'!Y84+'Allocators Data orig'!AC84</f>
        <v>908336666</v>
      </c>
      <c r="O41" s="3">
        <f t="shared" si="3"/>
        <v>1533187.8830000001</v>
      </c>
      <c r="R41" s="3">
        <f t="shared" si="6"/>
        <v>1654894</v>
      </c>
      <c r="W41" s="2">
        <f>SUM(W36:W40)</f>
        <v>20208990</v>
      </c>
    </row>
    <row r="42" spans="2:24" x14ac:dyDescent="0.2">
      <c r="D42" s="3">
        <f t="shared" si="4"/>
        <v>847263159.60000014</v>
      </c>
      <c r="E42" s="3"/>
      <c r="H42">
        <f t="shared" si="5"/>
        <v>-56623244.399999857</v>
      </c>
      <c r="J42" s="24">
        <f>'Allocators Data orig'!Y85+'Allocators Data orig'!AC85</f>
        <v>903886404</v>
      </c>
      <c r="O42" s="3">
        <f t="shared" si="3"/>
        <v>1548161.4359999998</v>
      </c>
      <c r="R42" s="3">
        <f t="shared" si="6"/>
        <v>1889052</v>
      </c>
      <c r="W42" s="2"/>
    </row>
    <row r="43" spans="2:24" x14ac:dyDescent="0.2">
      <c r="D43" s="3">
        <f t="shared" si="4"/>
        <v>742348360.25200021</v>
      </c>
      <c r="E43" s="3"/>
      <c r="H43">
        <f t="shared" si="5"/>
        <v>-120918674.74799979</v>
      </c>
      <c r="J43" s="24">
        <f>'Allocators Data orig'!Y86+'Allocators Data orig'!AC86</f>
        <v>863267035</v>
      </c>
      <c r="O43" s="3">
        <f t="shared" si="3"/>
        <v>1482515.1530000002</v>
      </c>
      <c r="R43" s="3">
        <f t="shared" si="6"/>
        <v>1659351</v>
      </c>
    </row>
    <row r="44" spans="2:24" x14ac:dyDescent="0.2">
      <c r="D44" s="3">
        <f t="shared" si="4"/>
        <v>712251585.84800005</v>
      </c>
      <c r="E44" s="3"/>
      <c r="H44">
        <f t="shared" si="5"/>
        <v>-119481044.15199995</v>
      </c>
      <c r="J44" s="24">
        <f>'Allocators Data orig'!Y87+'Allocators Data orig'!AC87</f>
        <v>831732630</v>
      </c>
      <c r="O44" s="3">
        <f t="shared" si="3"/>
        <v>1409217.5890000002</v>
      </c>
      <c r="R44" s="3">
        <f t="shared" si="6"/>
        <v>1562855</v>
      </c>
    </row>
    <row r="45" spans="2:24" x14ac:dyDescent="0.2">
      <c r="D45" s="3">
        <f t="shared" si="4"/>
        <v>704065600.21399999</v>
      </c>
      <c r="E45" s="3"/>
      <c r="H45">
        <f t="shared" si="5"/>
        <v>-111932116.78600001</v>
      </c>
      <c r="J45" s="24">
        <f>'Allocators Data orig'!Y88+'Allocators Data orig'!AC88</f>
        <v>815997717</v>
      </c>
      <c r="O45" s="113">
        <f t="shared" si="3"/>
        <v>1383652.9290000002</v>
      </c>
      <c r="R45" s="113">
        <f t="shared" si="6"/>
        <v>1554731</v>
      </c>
    </row>
    <row r="46" spans="2:24" x14ac:dyDescent="0.2">
      <c r="C46" t="s">
        <v>260</v>
      </c>
      <c r="D46" s="3">
        <f>SUM(D34:D45)</f>
        <v>8845856053.394001</v>
      </c>
      <c r="O46" s="3">
        <f>+O31+I31+C31+C15+I15+O15+V15</f>
        <v>17182208.32</v>
      </c>
      <c r="R46" s="3">
        <f>SUM(R34:R45)</f>
        <v>19394892</v>
      </c>
    </row>
    <row r="48" spans="2:24" x14ac:dyDescent="0.2">
      <c r="B48" t="s">
        <v>289</v>
      </c>
      <c r="D48" s="2">
        <v>8420694148</v>
      </c>
    </row>
    <row r="50" spans="4:4" x14ac:dyDescent="0.2">
      <c r="D50" s="3">
        <f>+D48-D46</f>
        <v>-425161905.39400101</v>
      </c>
    </row>
  </sheetData>
  <mergeCells count="7">
    <mergeCell ref="V1:Y1"/>
    <mergeCell ref="C17:G17"/>
    <mergeCell ref="I17:M17"/>
    <mergeCell ref="O17:S17"/>
    <mergeCell ref="C1:F1"/>
    <mergeCell ref="I1:M1"/>
    <mergeCell ref="O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D18"/>
  <sheetViews>
    <sheetView workbookViewId="0">
      <selection activeCell="C6" sqref="C6"/>
    </sheetView>
  </sheetViews>
  <sheetFormatPr defaultColWidth="8.85546875" defaultRowHeight="12.75" x14ac:dyDescent="0.2"/>
  <cols>
    <col min="1" max="1" width="9.7109375" bestFit="1" customWidth="1"/>
    <col min="3" max="3" width="11.42578125" bestFit="1" customWidth="1"/>
    <col min="4" max="4" width="11.28515625" bestFit="1" customWidth="1"/>
  </cols>
  <sheetData>
    <row r="4" spans="1:4" x14ac:dyDescent="0.2">
      <c r="B4" s="344" t="str">
        <f>'DEI Sales by Rate'!D2</f>
        <v>CSN2</v>
      </c>
      <c r="C4" s="344"/>
      <c r="D4" s="344"/>
    </row>
    <row r="5" spans="1:4" x14ac:dyDescent="0.2">
      <c r="B5" s="9" t="s">
        <v>270</v>
      </c>
      <c r="C5" s="9" t="s">
        <v>271</v>
      </c>
      <c r="D5" s="9" t="s">
        <v>273</v>
      </c>
    </row>
    <row r="6" spans="1:4" x14ac:dyDescent="0.2">
      <c r="A6" s="332" t="s">
        <v>290</v>
      </c>
      <c r="B6" s="2">
        <v>1177.4700000000003</v>
      </c>
      <c r="C6" s="2">
        <v>7406010</v>
      </c>
      <c r="D6" s="2">
        <f>ROUND('DEI Sales by Rate'!D3*B6/C6,0)+B6</f>
        <v>1259.4700000000003</v>
      </c>
    </row>
    <row r="7" spans="1:4" x14ac:dyDescent="0.2">
      <c r="A7" s="332" t="s">
        <v>291</v>
      </c>
      <c r="B7" s="2">
        <v>1168.6999999999998</v>
      </c>
      <c r="C7" s="2">
        <v>7907350</v>
      </c>
      <c r="D7" s="2">
        <f>ROUND('DEI Sales by Rate'!D4*B7/C7,0)+B7</f>
        <v>1233.6999999999998</v>
      </c>
    </row>
    <row r="8" spans="1:4" x14ac:dyDescent="0.2">
      <c r="A8" s="332" t="s">
        <v>292</v>
      </c>
      <c r="B8" s="2">
        <v>1146.96</v>
      </c>
      <c r="C8" s="2">
        <v>8109480</v>
      </c>
      <c r="D8" s="2">
        <f>ROUND('DEI Sales by Rate'!D5*B8/C8,0)+B8</f>
        <v>1201.96</v>
      </c>
    </row>
    <row r="9" spans="1:4" x14ac:dyDescent="0.2">
      <c r="A9" s="332" t="s">
        <v>293</v>
      </c>
      <c r="B9" s="2">
        <v>1157.3399999999997</v>
      </c>
      <c r="C9" s="2">
        <v>9187060</v>
      </c>
      <c r="D9" s="2">
        <f>ROUND('DEI Sales by Rate'!D6*B9/C9,0)+B9</f>
        <v>1201.3399999999997</v>
      </c>
    </row>
    <row r="10" spans="1:4" x14ac:dyDescent="0.2">
      <c r="A10" s="332" t="s">
        <v>294</v>
      </c>
      <c r="B10" s="7">
        <v>1223.01</v>
      </c>
      <c r="C10" s="7">
        <v>7472876</v>
      </c>
      <c r="D10" s="2">
        <f>ROUND('DEI Sales by Rate'!D7*B10/C10,0)+B10</f>
        <v>1285.01</v>
      </c>
    </row>
    <row r="11" spans="1:4" x14ac:dyDescent="0.2">
      <c r="A11" s="332" t="s">
        <v>295</v>
      </c>
      <c r="B11" s="7">
        <v>1225.3800000000001</v>
      </c>
      <c r="C11" s="7">
        <v>7862397</v>
      </c>
      <c r="D11" s="2">
        <f>ROUND('DEI Sales by Rate'!D8*B11/C11,0)+B11</f>
        <v>1297.3800000000001</v>
      </c>
    </row>
    <row r="12" spans="1:4" x14ac:dyDescent="0.2">
      <c r="A12" s="332" t="s">
        <v>296</v>
      </c>
      <c r="B12" s="7">
        <v>1290.51</v>
      </c>
      <c r="C12" s="7">
        <v>7866864</v>
      </c>
      <c r="D12" s="2">
        <f>ROUND('DEI Sales by Rate'!D9*B12/C12,0)+B12</f>
        <v>1363.51</v>
      </c>
    </row>
    <row r="13" spans="1:4" x14ac:dyDescent="0.2">
      <c r="A13" s="332" t="s">
        <v>297</v>
      </c>
      <c r="B13" s="7">
        <v>1548.07</v>
      </c>
      <c r="C13" s="7">
        <v>6810552</v>
      </c>
      <c r="D13" s="2">
        <f>ROUND('DEI Sales by Rate'!D10*B13/C13,0)+B13</f>
        <v>1647.07</v>
      </c>
    </row>
    <row r="14" spans="1:4" x14ac:dyDescent="0.2">
      <c r="A14" s="332" t="s">
        <v>298</v>
      </c>
      <c r="B14" s="7">
        <v>1476.8700000000001</v>
      </c>
      <c r="C14" s="7">
        <v>8420868</v>
      </c>
      <c r="D14" s="2">
        <f>ROUND('DEI Sales by Rate'!D11*B14/C14,0)+B14</f>
        <v>1558.8700000000001</v>
      </c>
    </row>
    <row r="15" spans="1:4" x14ac:dyDescent="0.2">
      <c r="A15" s="332" t="s">
        <v>299</v>
      </c>
      <c r="B15" s="7">
        <v>1315.35</v>
      </c>
      <c r="C15" s="7">
        <v>7516224</v>
      </c>
      <c r="D15" s="2">
        <f>ROUND('DEI Sales by Rate'!D12*B15/C15,0)+B15</f>
        <v>1378.35</v>
      </c>
    </row>
    <row r="16" spans="1:4" x14ac:dyDescent="0.2">
      <c r="A16" s="332" t="s">
        <v>236</v>
      </c>
      <c r="B16" s="7">
        <v>1262.73</v>
      </c>
      <c r="C16" s="7">
        <v>8636868</v>
      </c>
      <c r="D16" s="2">
        <f>ROUND('DEI Sales by Rate'!D13*B16/C16,0)+B16</f>
        <v>1310.73</v>
      </c>
    </row>
    <row r="17" spans="1:4" x14ac:dyDescent="0.2">
      <c r="A17" s="332" t="s">
        <v>300</v>
      </c>
      <c r="B17" s="7">
        <v>1120.0000000000002</v>
      </c>
      <c r="C17" s="7">
        <v>7899890</v>
      </c>
      <c r="D17" s="2">
        <f>ROUND('DEI Sales by Rate'!D14*B17/C17,0)+B17</f>
        <v>1183.0000000000002</v>
      </c>
    </row>
    <row r="18" spans="1:4" x14ac:dyDescent="0.2">
      <c r="B18" s="3">
        <f>SUM(B6:B17)</f>
        <v>15112.39</v>
      </c>
      <c r="C18" s="3">
        <f>SUM(C6:C17)</f>
        <v>95096439</v>
      </c>
      <c r="D18" s="2">
        <f>ROUND('DEI Sales by Rate'!D15*B18/C18,0)+B18</f>
        <v>15909.39</v>
      </c>
    </row>
  </sheetData>
  <mergeCells count="1">
    <mergeCell ref="B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33"/>
  <sheetViews>
    <sheetView workbookViewId="0">
      <selection activeCell="D46" sqref="D46"/>
    </sheetView>
  </sheetViews>
  <sheetFormatPr defaultColWidth="8.85546875" defaultRowHeight="12.75" x14ac:dyDescent="0.2"/>
  <cols>
    <col min="3" max="3" width="8.85546875" customWidth="1"/>
    <col min="4" max="4" width="12.42578125" customWidth="1"/>
    <col min="5" max="5" width="3.85546875" customWidth="1"/>
    <col min="6" max="6" width="13.140625" bestFit="1" customWidth="1"/>
    <col min="7" max="7" width="11.7109375" bestFit="1" customWidth="1"/>
    <col min="8" max="8" width="3.5703125" customWidth="1"/>
    <col min="9" max="9" width="8.7109375" bestFit="1" customWidth="1"/>
    <col min="10" max="10" width="12.28515625" bestFit="1" customWidth="1"/>
    <col min="11" max="11" width="11.7109375" bestFit="1" customWidth="1"/>
    <col min="12" max="12" width="3.85546875" customWidth="1"/>
    <col min="13" max="13" width="10.28515625" bestFit="1" customWidth="1"/>
    <col min="14" max="14" width="14" bestFit="1" customWidth="1"/>
    <col min="15" max="15" width="13.140625" bestFit="1" customWidth="1"/>
    <col min="16" max="16" width="2.85546875" customWidth="1"/>
    <col min="17" max="17" width="10.28515625" bestFit="1" customWidth="1"/>
    <col min="18" max="18" width="12.28515625" bestFit="1" customWidth="1"/>
    <col min="19" max="19" width="11.7109375" bestFit="1" customWidth="1"/>
    <col min="20" max="20" width="3.140625" customWidth="1"/>
    <col min="21" max="21" width="8.85546875" bestFit="1" customWidth="1"/>
    <col min="22" max="22" width="12.28515625" bestFit="1" customWidth="1"/>
    <col min="23" max="23" width="11.7109375" bestFit="1" customWidth="1"/>
    <col min="24" max="24" width="3.85546875" customWidth="1"/>
    <col min="25" max="25" width="8.7109375" bestFit="1" customWidth="1"/>
    <col min="26" max="26" width="12.28515625" bestFit="1" customWidth="1"/>
    <col min="27" max="27" width="13.42578125" bestFit="1" customWidth="1"/>
    <col min="28" max="28" width="11.42578125" customWidth="1"/>
    <col min="29" max="29" width="12.5703125" customWidth="1"/>
    <col min="30" max="30" width="8.7109375"/>
    <col min="31" max="31" width="12.42578125" bestFit="1" customWidth="1"/>
    <col min="32" max="32" width="8.7109375"/>
    <col min="33" max="33" width="11.42578125" bestFit="1" customWidth="1"/>
    <col min="34" max="34" width="3.85546875" customWidth="1"/>
    <col min="36" max="36" width="12.42578125" bestFit="1" customWidth="1"/>
    <col min="38" max="38" width="11.42578125" bestFit="1" customWidth="1"/>
    <col min="39" max="39" width="3.85546875" customWidth="1"/>
    <col min="41" max="41" width="12.42578125" bestFit="1" customWidth="1"/>
    <col min="43" max="43" width="11.42578125" bestFit="1" customWidth="1"/>
    <col min="44" max="44" width="3.85546875" customWidth="1"/>
    <col min="46" max="46" width="11.42578125" bestFit="1" customWidth="1"/>
    <col min="48" max="48" width="11.42578125" bestFit="1" customWidth="1"/>
  </cols>
  <sheetData>
    <row r="1" spans="1:27" x14ac:dyDescent="0.2">
      <c r="C1" s="360" t="s">
        <v>182</v>
      </c>
      <c r="D1" s="344"/>
      <c r="F1" s="360" t="s">
        <v>183</v>
      </c>
      <c r="G1" s="344"/>
      <c r="H1" s="126"/>
      <c r="I1" s="360" t="s">
        <v>185</v>
      </c>
      <c r="J1" s="344"/>
      <c r="K1" s="344"/>
      <c r="M1" s="360" t="s">
        <v>255</v>
      </c>
      <c r="N1" s="344"/>
      <c r="O1" s="344"/>
      <c r="Q1" s="360" t="s">
        <v>180</v>
      </c>
      <c r="R1" s="344"/>
      <c r="S1" s="344"/>
      <c r="U1" s="360" t="s">
        <v>186</v>
      </c>
      <c r="V1" s="344"/>
      <c r="W1" s="344"/>
      <c r="Y1" s="360"/>
      <c r="Z1" s="344"/>
      <c r="AA1" s="344"/>
    </row>
    <row r="2" spans="1:27" x14ac:dyDescent="0.2">
      <c r="B2" s="9" t="s">
        <v>269</v>
      </c>
      <c r="C2" s="9" t="s">
        <v>270</v>
      </c>
      <c r="D2" s="9" t="s">
        <v>273</v>
      </c>
      <c r="F2" s="9" t="s">
        <v>270</v>
      </c>
      <c r="G2" s="9" t="s">
        <v>273</v>
      </c>
      <c r="H2" s="9"/>
      <c r="I2" s="9" t="s">
        <v>270</v>
      </c>
      <c r="J2" s="9" t="s">
        <v>271</v>
      </c>
      <c r="K2" s="9" t="s">
        <v>273</v>
      </c>
      <c r="M2" s="9" t="s">
        <v>301</v>
      </c>
      <c r="N2" s="9" t="s">
        <v>271</v>
      </c>
      <c r="O2" s="9" t="s">
        <v>302</v>
      </c>
      <c r="Q2" s="9" t="s">
        <v>270</v>
      </c>
      <c r="R2" s="9" t="s">
        <v>271</v>
      </c>
      <c r="S2" s="9" t="s">
        <v>273</v>
      </c>
      <c r="U2" s="9" t="s">
        <v>270</v>
      </c>
      <c r="V2" s="9" t="s">
        <v>271</v>
      </c>
      <c r="W2" s="9" t="s">
        <v>273</v>
      </c>
      <c r="Y2" s="9"/>
      <c r="Z2" s="9"/>
      <c r="AA2" s="9"/>
    </row>
    <row r="3" spans="1:27" x14ac:dyDescent="0.2">
      <c r="A3">
        <v>1</v>
      </c>
      <c r="B3" t="s">
        <v>232</v>
      </c>
      <c r="C3" s="2">
        <v>18000</v>
      </c>
      <c r="D3" s="2">
        <f>C3</f>
        <v>18000</v>
      </c>
      <c r="E3" s="28"/>
      <c r="F3" s="2">
        <v>132000</v>
      </c>
      <c r="G3" s="2">
        <f>F3</f>
        <v>132000</v>
      </c>
      <c r="H3" s="2"/>
      <c r="I3" s="2">
        <f t="shared" ref="I3:I11" si="0">+M3-150000</f>
        <v>74104.859999999986</v>
      </c>
      <c r="J3" s="2">
        <v>14556897.67</v>
      </c>
      <c r="K3" s="71">
        <f>ROUND('DEI Sales by Rate'!AB3*I3/J3,0)</f>
        <v>0</v>
      </c>
      <c r="M3" s="2">
        <v>224104.86</v>
      </c>
      <c r="N3" s="2">
        <v>88814188.5</v>
      </c>
      <c r="O3" s="71">
        <f>ROUND(SUM('DEI Sales by Rate'!Y3:AB3)*M3/N3,0)</f>
        <v>0</v>
      </c>
      <c r="Q3" s="2">
        <v>23482</v>
      </c>
      <c r="R3" s="2">
        <v>14226614</v>
      </c>
      <c r="S3" s="71">
        <v>24854</v>
      </c>
      <c r="U3" s="2">
        <v>11000</v>
      </c>
      <c r="V3" s="2">
        <v>7818372</v>
      </c>
      <c r="W3" s="71">
        <f>ROUND('DEI Sales by Rate'!AC3*U3/V3,0)</f>
        <v>0</v>
      </c>
      <c r="Y3" s="2"/>
      <c r="Z3" s="2" t="s">
        <v>303</v>
      </c>
    </row>
    <row r="4" spans="1:27" x14ac:dyDescent="0.2">
      <c r="A4">
        <v>2</v>
      </c>
      <c r="B4" t="s">
        <v>233</v>
      </c>
      <c r="C4" s="2">
        <v>18000</v>
      </c>
      <c r="D4" s="2">
        <f t="shared" ref="D4:D14" si="1">C4</f>
        <v>18000</v>
      </c>
      <c r="E4" s="28"/>
      <c r="F4" s="2">
        <v>132000</v>
      </c>
      <c r="G4" s="2">
        <f t="shared" ref="G4:G14" si="2">F4</f>
        <v>132000</v>
      </c>
      <c r="H4" s="2"/>
      <c r="I4" s="2">
        <f t="shared" si="0"/>
        <v>78177.179999999993</v>
      </c>
      <c r="J4" s="2">
        <v>17828615.579999998</v>
      </c>
      <c r="K4" s="71">
        <f>ROUND('DEI Sales by Rate'!AB4*I4/J4,0)</f>
        <v>0</v>
      </c>
      <c r="M4" s="2">
        <v>228177.18</v>
      </c>
      <c r="N4" s="2">
        <v>81767117.159999996</v>
      </c>
      <c r="O4" s="71">
        <f>ROUND(SUM('DEI Sales by Rate'!Y4:AB4)*M4/N4,0)</f>
        <v>0</v>
      </c>
      <c r="Q4" s="2">
        <v>23426</v>
      </c>
      <c r="R4" s="2">
        <v>13474723</v>
      </c>
      <c r="S4" s="71">
        <v>24911</v>
      </c>
      <c r="U4" s="2">
        <v>11000</v>
      </c>
      <c r="V4" s="2">
        <v>6145087</v>
      </c>
      <c r="W4" s="71">
        <f>ROUND('DEI Sales by Rate'!AC4*U4/V4,0)</f>
        <v>0</v>
      </c>
      <c r="Y4" s="2"/>
      <c r="Z4" s="2"/>
    </row>
    <row r="5" spans="1:27" x14ac:dyDescent="0.2">
      <c r="A5">
        <v>3</v>
      </c>
      <c r="B5" t="s">
        <v>234</v>
      </c>
      <c r="C5" s="2">
        <v>18000</v>
      </c>
      <c r="D5" s="2">
        <f t="shared" si="1"/>
        <v>18000</v>
      </c>
      <c r="E5" s="28"/>
      <c r="F5" s="2">
        <v>132000</v>
      </c>
      <c r="G5" s="2">
        <f t="shared" si="2"/>
        <v>132000</v>
      </c>
      <c r="H5" s="2"/>
      <c r="I5" s="2">
        <f t="shared" si="0"/>
        <v>78049.920000000013</v>
      </c>
      <c r="J5" s="2">
        <v>19854395.52</v>
      </c>
      <c r="K5" s="71">
        <f>ROUND('DEI Sales by Rate'!AB5*I5/J5,0)</f>
        <v>0</v>
      </c>
      <c r="M5" s="2">
        <v>228049.92000000001</v>
      </c>
      <c r="N5" s="2">
        <v>88931858.159999996</v>
      </c>
      <c r="O5" s="71">
        <f>ROUND(SUM('DEI Sales by Rate'!Y5:AB5)*M5/N5,0)</f>
        <v>0</v>
      </c>
      <c r="Q5" s="2">
        <v>25373</v>
      </c>
      <c r="R5" s="2">
        <v>15146962</v>
      </c>
      <c r="S5" s="71">
        <v>24083</v>
      </c>
      <c r="U5" s="2">
        <v>12000</v>
      </c>
      <c r="V5" s="2">
        <v>8190758</v>
      </c>
      <c r="W5" s="71">
        <f>ROUND('DEI Sales by Rate'!AC5*U5/V5,0)</f>
        <v>0</v>
      </c>
      <c r="Y5" s="2"/>
      <c r="Z5" s="2"/>
    </row>
    <row r="6" spans="1:27" x14ac:dyDescent="0.2">
      <c r="A6">
        <v>4</v>
      </c>
      <c r="B6" t="s">
        <v>235</v>
      </c>
      <c r="C6" s="2">
        <v>18000</v>
      </c>
      <c r="D6" s="2">
        <f t="shared" si="1"/>
        <v>18000</v>
      </c>
      <c r="E6" s="28"/>
      <c r="F6" s="2">
        <v>132000</v>
      </c>
      <c r="G6" s="2">
        <f t="shared" si="2"/>
        <v>132000</v>
      </c>
      <c r="H6" s="2"/>
      <c r="I6" s="2">
        <f t="shared" si="0"/>
        <v>75759.239999999991</v>
      </c>
      <c r="J6" s="2">
        <v>22008521.879999999</v>
      </c>
      <c r="K6" s="71">
        <f>ROUND('DEI Sales by Rate'!AB6*I6/J6,0)</f>
        <v>0</v>
      </c>
      <c r="M6" s="2">
        <v>225759.24</v>
      </c>
      <c r="N6" s="2">
        <v>89574477.120000005</v>
      </c>
      <c r="O6" s="71">
        <f>ROUND(SUM('DEI Sales by Rate'!Y6:AB6)*M6/N6,0)</f>
        <v>0</v>
      </c>
      <c r="Q6" s="2">
        <v>23368</v>
      </c>
      <c r="R6" s="2">
        <v>14074642</v>
      </c>
      <c r="S6" s="71">
        <v>24851</v>
      </c>
      <c r="U6" s="2">
        <v>12000</v>
      </c>
      <c r="V6" s="2">
        <v>7436321</v>
      </c>
      <c r="W6" s="71">
        <f>ROUND('DEI Sales by Rate'!AC6*U6/V6,0)</f>
        <v>0</v>
      </c>
      <c r="Y6" s="2"/>
      <c r="Z6" s="2"/>
    </row>
    <row r="7" spans="1:27" x14ac:dyDescent="0.2">
      <c r="A7">
        <v>5</v>
      </c>
      <c r="B7" t="s">
        <v>236</v>
      </c>
      <c r="C7" s="2">
        <v>18000</v>
      </c>
      <c r="D7" s="2">
        <f t="shared" si="1"/>
        <v>18000</v>
      </c>
      <c r="E7" s="28"/>
      <c r="F7" s="2">
        <v>132000</v>
      </c>
      <c r="G7" s="2">
        <f t="shared" si="2"/>
        <v>132000</v>
      </c>
      <c r="H7" s="2"/>
      <c r="I7" s="2">
        <f t="shared" si="0"/>
        <v>78060</v>
      </c>
      <c r="J7" s="2">
        <v>20782131.66</v>
      </c>
      <c r="K7" s="71">
        <f>ROUND('DEI Sales by Rate'!AB7*I7/J7,0)</f>
        <v>0</v>
      </c>
      <c r="M7" s="2">
        <v>228060</v>
      </c>
      <c r="N7" s="2">
        <v>90076211.760000005</v>
      </c>
      <c r="O7" s="71">
        <f>ROUND(SUM('DEI Sales by Rate'!Y7:AB7)*M7/N7,0)</f>
        <v>0</v>
      </c>
      <c r="Q7" s="2">
        <v>23616</v>
      </c>
      <c r="R7" s="2">
        <v>14970007</v>
      </c>
      <c r="S7" s="71">
        <v>24919</v>
      </c>
      <c r="U7" s="2">
        <v>12000</v>
      </c>
      <c r="V7" s="2">
        <v>8007836</v>
      </c>
      <c r="W7" s="71">
        <f>ROUND('DEI Sales by Rate'!AC7*U7/V7,0)</f>
        <v>0</v>
      </c>
      <c r="Y7" s="2"/>
      <c r="Z7" s="2"/>
    </row>
    <row r="8" spans="1:27" x14ac:dyDescent="0.2">
      <c r="A8">
        <v>6</v>
      </c>
      <c r="B8" t="s">
        <v>237</v>
      </c>
      <c r="C8" s="2">
        <v>18000</v>
      </c>
      <c r="D8" s="2">
        <f t="shared" si="1"/>
        <v>18000</v>
      </c>
      <c r="E8" s="28"/>
      <c r="F8" s="2">
        <v>132000</v>
      </c>
      <c r="G8" s="2">
        <f t="shared" si="2"/>
        <v>132000</v>
      </c>
      <c r="H8" s="2"/>
      <c r="I8" s="2">
        <f t="shared" si="0"/>
        <v>84031.140000000014</v>
      </c>
      <c r="J8" s="2">
        <v>17969018.699999999</v>
      </c>
      <c r="K8" s="71">
        <f>ROUND('DEI Sales by Rate'!AB8*I8/J8,0)</f>
        <v>0</v>
      </c>
      <c r="M8" s="2">
        <v>234031.14</v>
      </c>
      <c r="N8" s="2">
        <v>82454258.819999993</v>
      </c>
      <c r="O8" s="71">
        <f>ROUND(SUM('DEI Sales by Rate'!Y8:AB8)*M8/N8,0)</f>
        <v>0</v>
      </c>
      <c r="Q8" s="2">
        <v>23472</v>
      </c>
      <c r="R8" s="2">
        <v>14418350</v>
      </c>
      <c r="S8" s="71">
        <v>23702</v>
      </c>
      <c r="U8" s="2">
        <v>15000</v>
      </c>
      <c r="V8" s="2">
        <v>10261377</v>
      </c>
      <c r="W8" s="71">
        <f>ROUND('DEI Sales by Rate'!AC8*U8/V8,0)</f>
        <v>0</v>
      </c>
      <c r="Y8" s="2"/>
      <c r="Z8" s="2"/>
    </row>
    <row r="9" spans="1:27" x14ac:dyDescent="0.2">
      <c r="A9">
        <v>7</v>
      </c>
      <c r="B9" t="s">
        <v>238</v>
      </c>
      <c r="C9" s="2">
        <v>18000</v>
      </c>
      <c r="D9" s="2">
        <f t="shared" si="1"/>
        <v>18000</v>
      </c>
      <c r="E9" s="28"/>
      <c r="F9" s="2">
        <v>132000</v>
      </c>
      <c r="G9" s="2">
        <f t="shared" si="2"/>
        <v>132000</v>
      </c>
      <c r="H9" s="2"/>
      <c r="I9" s="2">
        <f t="shared" si="0"/>
        <v>83776.62</v>
      </c>
      <c r="J9" s="2">
        <v>20500754.82</v>
      </c>
      <c r="K9" s="71">
        <f>ROUND('DEI Sales by Rate'!AB9*I9/J9,0)</f>
        <v>0</v>
      </c>
      <c r="M9" s="2">
        <v>233776.62</v>
      </c>
      <c r="N9" s="2">
        <v>86493842.459999993</v>
      </c>
      <c r="O9" s="71">
        <f>ROUND(SUM('DEI Sales by Rate'!Y9:AB9)*M9/N9,0)</f>
        <v>0</v>
      </c>
      <c r="Q9" s="2">
        <v>23290</v>
      </c>
      <c r="R9" s="2">
        <v>14817394</v>
      </c>
      <c r="S9" s="71">
        <v>25040</v>
      </c>
      <c r="U9" s="2">
        <v>15000</v>
      </c>
      <c r="V9" s="2">
        <v>11155013</v>
      </c>
      <c r="W9" s="71">
        <f>ROUND('DEI Sales by Rate'!AC9*U9/V9,0)</f>
        <v>0</v>
      </c>
      <c r="Y9" s="2"/>
      <c r="Z9" s="2"/>
    </row>
    <row r="10" spans="1:27" x14ac:dyDescent="0.2">
      <c r="A10">
        <v>8</v>
      </c>
      <c r="B10" t="s">
        <v>239</v>
      </c>
      <c r="C10" s="2">
        <v>18000</v>
      </c>
      <c r="D10" s="2">
        <f t="shared" si="1"/>
        <v>18000</v>
      </c>
      <c r="E10" s="28"/>
      <c r="F10" s="2">
        <v>132000</v>
      </c>
      <c r="G10" s="2">
        <f t="shared" si="2"/>
        <v>132000</v>
      </c>
      <c r="H10" s="2"/>
      <c r="I10" s="2">
        <f t="shared" si="0"/>
        <v>81867.72</v>
      </c>
      <c r="J10" s="2">
        <v>18988000.260000002</v>
      </c>
      <c r="K10" s="71">
        <f>ROUND('DEI Sales by Rate'!AB10*I10/J10,0)</f>
        <v>0</v>
      </c>
      <c r="M10" s="2">
        <v>231867.72</v>
      </c>
      <c r="N10" s="2">
        <v>82216586.939999998</v>
      </c>
      <c r="O10" s="71">
        <f>ROUND(SUM('DEI Sales by Rate'!Y10:AB10)*M10/N10,0)</f>
        <v>0</v>
      </c>
      <c r="Q10" s="2">
        <v>23923</v>
      </c>
      <c r="R10" s="2">
        <v>15319435</v>
      </c>
      <c r="S10" s="71">
        <v>23374</v>
      </c>
      <c r="U10" s="2">
        <v>15000</v>
      </c>
      <c r="V10" s="2">
        <v>11159301</v>
      </c>
      <c r="W10" s="71">
        <f>ROUND('DEI Sales by Rate'!AC10*U10/V10,0)</f>
        <v>0</v>
      </c>
      <c r="Y10" s="2"/>
      <c r="Z10" s="2"/>
    </row>
    <row r="11" spans="1:27" x14ac:dyDescent="0.2">
      <c r="A11">
        <v>9</v>
      </c>
      <c r="B11" t="s">
        <v>240</v>
      </c>
      <c r="C11" s="2">
        <v>18000</v>
      </c>
      <c r="D11" s="2">
        <f t="shared" si="1"/>
        <v>18000</v>
      </c>
      <c r="E11" s="28"/>
      <c r="F11" s="2">
        <v>132000</v>
      </c>
      <c r="G11" s="2">
        <f t="shared" si="2"/>
        <v>132000</v>
      </c>
      <c r="H11" s="2"/>
      <c r="I11" s="2">
        <f t="shared" si="0"/>
        <v>73469</v>
      </c>
      <c r="J11" s="2">
        <v>13227987</v>
      </c>
      <c r="K11" s="71">
        <f>ROUND('DEI Sales by Rate'!AB11*I11/J11,0)</f>
        <v>0</v>
      </c>
      <c r="M11" s="2">
        <v>223469</v>
      </c>
      <c r="N11" s="2">
        <v>68189232</v>
      </c>
      <c r="O11" s="71">
        <f>ROUND(SUM('DEI Sales by Rate'!Y11:AB11)*M11/N11,0)</f>
        <v>0</v>
      </c>
      <c r="Q11" s="2">
        <v>27533</v>
      </c>
      <c r="R11" s="2">
        <v>15792871</v>
      </c>
      <c r="S11" s="71">
        <v>27539</v>
      </c>
      <c r="U11" s="2">
        <v>14000</v>
      </c>
      <c r="V11" s="2">
        <v>9979249</v>
      </c>
      <c r="W11" s="71">
        <f>ROUND('DEI Sales by Rate'!AC11*U11/V11,0)</f>
        <v>0</v>
      </c>
      <c r="Y11" s="2"/>
      <c r="Z11" s="2"/>
    </row>
    <row r="12" spans="1:27" x14ac:dyDescent="0.2">
      <c r="A12">
        <v>10</v>
      </c>
      <c r="B12" t="s">
        <v>241</v>
      </c>
      <c r="C12" s="2">
        <v>18000</v>
      </c>
      <c r="D12" s="2">
        <f t="shared" si="1"/>
        <v>18000</v>
      </c>
      <c r="E12" s="28"/>
      <c r="F12" s="2">
        <v>132000</v>
      </c>
      <c r="G12" s="2">
        <f t="shared" si="2"/>
        <v>132000</v>
      </c>
      <c r="H12" s="2"/>
      <c r="I12" s="2">
        <f>+M12-150000</f>
        <v>67106</v>
      </c>
      <c r="J12" s="2">
        <v>9980345</v>
      </c>
      <c r="K12" s="71">
        <f>ROUND('DEI Sales by Rate'!AB12*I12/J12,0)</f>
        <v>0</v>
      </c>
      <c r="M12" s="2">
        <v>217106</v>
      </c>
      <c r="N12" s="2">
        <v>64669086</v>
      </c>
      <c r="O12" s="71">
        <f>ROUND(SUM('DEI Sales by Rate'!Y12:AB12)*M12/N12,0)</f>
        <v>0</v>
      </c>
      <c r="Q12" s="2">
        <v>28378</v>
      </c>
      <c r="R12" s="2">
        <v>16598232</v>
      </c>
      <c r="S12" s="71">
        <v>24893</v>
      </c>
      <c r="U12" s="2">
        <v>12000</v>
      </c>
      <c r="V12" s="2">
        <v>8861026</v>
      </c>
      <c r="W12" s="71">
        <f>ROUND('DEI Sales by Rate'!AC12*U12/V12,0)</f>
        <v>0</v>
      </c>
      <c r="Y12" s="2"/>
      <c r="Z12" s="2"/>
    </row>
    <row r="13" spans="1:27" x14ac:dyDescent="0.2">
      <c r="A13">
        <v>11</v>
      </c>
      <c r="B13" t="s">
        <v>242</v>
      </c>
      <c r="C13" s="2">
        <v>18000</v>
      </c>
      <c r="D13" s="2">
        <f t="shared" si="1"/>
        <v>18000</v>
      </c>
      <c r="E13" s="28"/>
      <c r="F13" s="2">
        <v>132000</v>
      </c>
      <c r="G13" s="2">
        <f t="shared" si="2"/>
        <v>132000</v>
      </c>
      <c r="H13" s="2"/>
      <c r="I13" s="2">
        <f>+M13-150000</f>
        <v>70891</v>
      </c>
      <c r="J13" s="2">
        <v>15442776</v>
      </c>
      <c r="K13" s="71">
        <f>ROUND('DEI Sales by Rate'!AB13*I13/J13,0)</f>
        <v>0</v>
      </c>
      <c r="M13" s="2">
        <v>220891</v>
      </c>
      <c r="N13" s="2">
        <v>78742536</v>
      </c>
      <c r="O13" s="71">
        <f>ROUND(SUM('DEI Sales by Rate'!Y13:AB13)*M13/N13,0)</f>
        <v>0</v>
      </c>
      <c r="Q13" s="2">
        <v>28118</v>
      </c>
      <c r="R13" s="2">
        <v>15864691</v>
      </c>
      <c r="S13" s="71">
        <v>28235</v>
      </c>
      <c r="U13" s="2">
        <v>12000</v>
      </c>
      <c r="V13" s="2">
        <v>8621096</v>
      </c>
      <c r="W13" s="71">
        <f>ROUND('DEI Sales by Rate'!AC13*U13/V13,0)</f>
        <v>0</v>
      </c>
      <c r="Y13" s="2"/>
      <c r="Z13" s="2"/>
    </row>
    <row r="14" spans="1:27" x14ac:dyDescent="0.2">
      <c r="A14">
        <v>12</v>
      </c>
      <c r="B14" t="s">
        <v>243</v>
      </c>
      <c r="C14" s="2">
        <v>18000</v>
      </c>
      <c r="D14" s="2">
        <f t="shared" si="1"/>
        <v>18000</v>
      </c>
      <c r="E14" s="28"/>
      <c r="F14" s="2">
        <v>132000</v>
      </c>
      <c r="G14" s="2">
        <f t="shared" si="2"/>
        <v>132000</v>
      </c>
      <c r="H14" s="2"/>
      <c r="I14" s="2">
        <f>+M14-150000</f>
        <v>81401</v>
      </c>
      <c r="J14" s="2">
        <v>16890621</v>
      </c>
      <c r="K14" s="71">
        <f>ROUND('DEI Sales by Rate'!AB14*I14/J14,0)</f>
        <v>0</v>
      </c>
      <c r="M14" s="2">
        <v>231401</v>
      </c>
      <c r="N14" s="2">
        <v>81438194</v>
      </c>
      <c r="O14" s="71">
        <f>ROUND(SUM('DEI Sales by Rate'!Y14:AB14)*M14/N14,0)</f>
        <v>0</v>
      </c>
      <c r="Q14" s="2">
        <v>24682</v>
      </c>
      <c r="R14" s="2">
        <v>14333893</v>
      </c>
      <c r="S14" s="71">
        <v>26952</v>
      </c>
      <c r="U14" s="2">
        <v>12000</v>
      </c>
      <c r="V14" s="2">
        <v>7046024</v>
      </c>
      <c r="W14" s="71">
        <f>ROUND('DEI Sales by Rate'!AC14*U14/V14,0)</f>
        <v>0</v>
      </c>
      <c r="Y14" s="2"/>
      <c r="Z14" s="2"/>
    </row>
    <row r="15" spans="1:27" x14ac:dyDescent="0.2">
      <c r="C15" s="3">
        <f>SUM(C3:C14)</f>
        <v>216000</v>
      </c>
      <c r="D15" s="3">
        <f>SUM(D3:D14)</f>
        <v>216000</v>
      </c>
      <c r="F15" s="3">
        <f>SUM(F3:F14)</f>
        <v>1584000</v>
      </c>
      <c r="G15" s="3">
        <f>SUM(G3:G14)</f>
        <v>1584000</v>
      </c>
      <c r="I15" s="3">
        <f>SUM(I3:I14)</f>
        <v>926693.67999999993</v>
      </c>
      <c r="J15" s="3">
        <f>SUM(J3:J14)</f>
        <v>208030065.08999997</v>
      </c>
      <c r="K15" s="3">
        <f>SUM(K3:K14)</f>
        <v>0</v>
      </c>
      <c r="M15" s="3">
        <f>SUM(M3:M14)</f>
        <v>2726693.6799999997</v>
      </c>
      <c r="N15" s="3">
        <f>SUM(N3:N14)</f>
        <v>983367588.92000008</v>
      </c>
      <c r="O15" s="3">
        <f>SUM(O3:O14)</f>
        <v>0</v>
      </c>
      <c r="Q15" s="3">
        <f>SUM(Q3:Q14)</f>
        <v>298661</v>
      </c>
      <c r="R15" s="3">
        <f>SUM(R3:R14)</f>
        <v>179037814</v>
      </c>
      <c r="S15" s="3">
        <f>SUM(S3:S14)</f>
        <v>303353</v>
      </c>
      <c r="U15" s="3">
        <f>SUM(U3:U14)</f>
        <v>153000</v>
      </c>
      <c r="V15" s="3">
        <f>SUM(V3:V14)</f>
        <v>104681460</v>
      </c>
      <c r="W15" s="3">
        <f>SUM(W3:W14)</f>
        <v>0</v>
      </c>
    </row>
    <row r="17" spans="1:27" x14ac:dyDescent="0.2">
      <c r="C17" s="360" t="s">
        <v>180</v>
      </c>
      <c r="D17" s="360"/>
      <c r="E17" s="360"/>
      <c r="F17" s="360"/>
      <c r="I17" s="360" t="s">
        <v>187</v>
      </c>
      <c r="J17" s="360"/>
      <c r="K17" s="360"/>
      <c r="M17" s="360" t="s">
        <v>304</v>
      </c>
      <c r="N17" s="344"/>
      <c r="O17" s="344"/>
      <c r="Q17" s="360" t="s">
        <v>305</v>
      </c>
      <c r="R17" s="344"/>
      <c r="S17" s="344"/>
      <c r="U17" s="360" t="s">
        <v>306</v>
      </c>
      <c r="V17" s="344"/>
      <c r="W17" s="344"/>
      <c r="Y17" s="360" t="s">
        <v>307</v>
      </c>
      <c r="Z17" s="344"/>
      <c r="AA17" s="344"/>
    </row>
    <row r="18" spans="1:27" x14ac:dyDescent="0.2">
      <c r="B18" s="9" t="s">
        <v>269</v>
      </c>
      <c r="C18" s="9" t="s">
        <v>308</v>
      </c>
      <c r="D18" s="9" t="s">
        <v>271</v>
      </c>
      <c r="F18" s="9" t="s">
        <v>309</v>
      </c>
      <c r="I18" s="9" t="s">
        <v>270</v>
      </c>
      <c r="J18" s="9" t="s">
        <v>271</v>
      </c>
      <c r="K18" s="9" t="s">
        <v>273</v>
      </c>
      <c r="M18" s="9" t="s">
        <v>270</v>
      </c>
      <c r="N18" s="9" t="s">
        <v>271</v>
      </c>
      <c r="O18" s="9" t="s">
        <v>273</v>
      </c>
      <c r="Q18" s="9" t="s">
        <v>270</v>
      </c>
      <c r="R18" s="9" t="s">
        <v>271</v>
      </c>
      <c r="S18" s="9" t="s">
        <v>273</v>
      </c>
      <c r="U18" s="9" t="s">
        <v>270</v>
      </c>
      <c r="V18" s="9" t="s">
        <v>271</v>
      </c>
      <c r="W18" s="9" t="s">
        <v>273</v>
      </c>
      <c r="Y18" s="9" t="s">
        <v>308</v>
      </c>
      <c r="Z18" s="9" t="s">
        <v>271</v>
      </c>
      <c r="AA18" s="9" t="s">
        <v>309</v>
      </c>
    </row>
    <row r="19" spans="1:27" x14ac:dyDescent="0.2">
      <c r="A19">
        <v>1</v>
      </c>
      <c r="B19" t="s">
        <v>232</v>
      </c>
      <c r="C19" s="2">
        <v>18019</v>
      </c>
      <c r="D19" s="2">
        <f>+R3</f>
        <v>14226614</v>
      </c>
      <c r="F19" s="71">
        <f>ROUND('DEI Sales by Rate'!W3*C19/D19,0)</f>
        <v>0</v>
      </c>
      <c r="I19" s="2">
        <v>16213</v>
      </c>
      <c r="J19" s="2">
        <v>3383647</v>
      </c>
      <c r="K19" s="71">
        <f>ROUND(('DEI Sales by Rate'!AD3+'DEI Sales by Rate'!AC3)*I19/J19,0)</f>
        <v>0</v>
      </c>
      <c r="M19" s="2">
        <v>92880</v>
      </c>
      <c r="N19" s="2">
        <v>28788600</v>
      </c>
      <c r="O19" s="71">
        <f>ROUND('DEI Sales by Rate'!AE3*M19/N19,0)</f>
        <v>0</v>
      </c>
      <c r="Q19" s="2">
        <f>+M19</f>
        <v>92880</v>
      </c>
      <c r="R19" s="2">
        <f>+N19</f>
        <v>28788600</v>
      </c>
      <c r="S19" s="71">
        <f>ROUND('DEI Sales by Rate'!AE3*Q19/R19,0)+W19-U19</f>
        <v>-50880</v>
      </c>
      <c r="U19" s="2">
        <v>50880</v>
      </c>
      <c r="V19" s="2">
        <v>15892080</v>
      </c>
      <c r="W19" s="71">
        <f>ROUND('DEI Sales by Rate'!AF3*U19/V19,0)</f>
        <v>0</v>
      </c>
      <c r="Y19" s="2">
        <v>13680</v>
      </c>
      <c r="Z19" s="2">
        <f>+R19</f>
        <v>28788600</v>
      </c>
      <c r="AA19" s="71">
        <f>ROUND('DEI Sales by Rate'!AE3*Y19/Z19,0)</f>
        <v>0</v>
      </c>
    </row>
    <row r="20" spans="1:27" x14ac:dyDescent="0.2">
      <c r="A20">
        <v>2</v>
      </c>
      <c r="B20" t="s">
        <v>233</v>
      </c>
      <c r="C20" s="2">
        <v>17942</v>
      </c>
      <c r="D20" s="2">
        <f t="shared" ref="D20:D30" si="3">+R4</f>
        <v>13474723</v>
      </c>
      <c r="F20" s="71">
        <f>ROUND('DEI Sales by Rate'!W4*C20/D20,0)</f>
        <v>0</v>
      </c>
      <c r="I20" s="2">
        <v>17380</v>
      </c>
      <c r="J20" s="2">
        <v>2128556</v>
      </c>
      <c r="K20" s="71">
        <f>ROUND(('DEI Sales by Rate'!AD4+'DEI Sales by Rate'!AC4)*I20/J20,0)</f>
        <v>0</v>
      </c>
      <c r="M20" s="2">
        <v>93600</v>
      </c>
      <c r="N20" s="2">
        <v>25914120</v>
      </c>
      <c r="O20" s="71">
        <f>ROUND('DEI Sales by Rate'!AE4*M20/N20,0)</f>
        <v>0</v>
      </c>
      <c r="Q20" s="2">
        <f>+M20</f>
        <v>93600</v>
      </c>
      <c r="R20" s="2">
        <f t="shared" ref="R20:R30" si="4">+N20</f>
        <v>25914120</v>
      </c>
      <c r="S20" s="71">
        <f>ROUND('DEI Sales by Rate'!AE4*Q20/R20,0)+W20-U20</f>
        <v>-51600</v>
      </c>
      <c r="U20" s="2">
        <v>51600</v>
      </c>
      <c r="V20" s="2">
        <v>14970360</v>
      </c>
      <c r="W20" s="71">
        <f>ROUND('DEI Sales by Rate'!AF4*U20/V20,0)</f>
        <v>0</v>
      </c>
      <c r="Y20" s="2">
        <v>12240</v>
      </c>
      <c r="Z20" s="2">
        <f t="shared" ref="Z20:Z30" si="5">+R20</f>
        <v>25914120</v>
      </c>
      <c r="AA20" s="71">
        <f>ROUND('DEI Sales by Rate'!AE4*Y20/Z20,0)</f>
        <v>0</v>
      </c>
    </row>
    <row r="21" spans="1:27" x14ac:dyDescent="0.2">
      <c r="A21">
        <v>3</v>
      </c>
      <c r="B21" t="s">
        <v>234</v>
      </c>
      <c r="C21" s="2">
        <v>18586</v>
      </c>
      <c r="D21" s="2">
        <f t="shared" si="3"/>
        <v>15146962</v>
      </c>
      <c r="F21" s="71">
        <f>ROUND('DEI Sales by Rate'!W5*C21/D21,0)</f>
        <v>0</v>
      </c>
      <c r="I21" s="2">
        <v>13642</v>
      </c>
      <c r="J21" s="2">
        <v>1720380</v>
      </c>
      <c r="K21" s="71">
        <f>ROUND(('DEI Sales by Rate'!AD5+'DEI Sales by Rate'!AC5)*I21/J21,0)</f>
        <v>0</v>
      </c>
      <c r="M21" s="2">
        <v>93600</v>
      </c>
      <c r="N21" s="2">
        <v>28746840</v>
      </c>
      <c r="O21" s="71">
        <f>ROUND('DEI Sales by Rate'!AE5*M21/N21,0)</f>
        <v>0</v>
      </c>
      <c r="Q21" s="2">
        <f t="shared" ref="Q21:Q30" si="6">+M21</f>
        <v>93600</v>
      </c>
      <c r="R21" s="2">
        <f t="shared" si="4"/>
        <v>28746840</v>
      </c>
      <c r="S21" s="71">
        <f>ROUND('DEI Sales by Rate'!AE5*Q21/R21,0)+W21-U21</f>
        <v>-51600</v>
      </c>
      <c r="U21" s="2">
        <v>51600</v>
      </c>
      <c r="V21" s="2">
        <v>16968480</v>
      </c>
      <c r="W21" s="71">
        <f>ROUND('DEI Sales by Rate'!AF5*U21/V21,0)</f>
        <v>0</v>
      </c>
      <c r="Y21" s="2">
        <v>12240</v>
      </c>
      <c r="Z21" s="2">
        <f t="shared" si="5"/>
        <v>28746840</v>
      </c>
      <c r="AA21" s="71">
        <f>ROUND('DEI Sales by Rate'!AE5*Y21/Z21,0)</f>
        <v>0</v>
      </c>
    </row>
    <row r="22" spans="1:27" x14ac:dyDescent="0.2">
      <c r="A22">
        <v>4</v>
      </c>
      <c r="B22" t="s">
        <v>235</v>
      </c>
      <c r="C22" s="2">
        <v>18403</v>
      </c>
      <c r="D22" s="2">
        <f t="shared" si="3"/>
        <v>14074642</v>
      </c>
      <c r="F22" s="71">
        <f>ROUND('DEI Sales by Rate'!W6*C22/D22,0)</f>
        <v>0</v>
      </c>
      <c r="I22" s="2">
        <v>14277</v>
      </c>
      <c r="J22" s="2">
        <v>1909181</v>
      </c>
      <c r="K22" s="71">
        <f>ROUND(('DEI Sales by Rate'!AD6+'DEI Sales by Rate'!AC6)*I22/J22,0)</f>
        <v>0</v>
      </c>
      <c r="M22" s="2">
        <v>93600</v>
      </c>
      <c r="N22" s="2">
        <v>25808520</v>
      </c>
      <c r="O22" s="71">
        <f>ROUND('DEI Sales by Rate'!AE6*M22/N22,0)</f>
        <v>0</v>
      </c>
      <c r="Q22" s="2">
        <f t="shared" si="6"/>
        <v>93600</v>
      </c>
      <c r="R22" s="2">
        <f t="shared" si="4"/>
        <v>25808520</v>
      </c>
      <c r="S22" s="71">
        <f>ROUND('DEI Sales by Rate'!AE6*Q22/R22,0)+W22-U22</f>
        <v>-51600</v>
      </c>
      <c r="U22" s="2">
        <v>51600</v>
      </c>
      <c r="V22" s="2">
        <v>14113680</v>
      </c>
      <c r="W22" s="71">
        <f>ROUND('DEI Sales by Rate'!AF6*U22/V22,0)</f>
        <v>0</v>
      </c>
      <c r="Y22" s="2">
        <v>12960</v>
      </c>
      <c r="Z22" s="2">
        <f t="shared" si="5"/>
        <v>25808520</v>
      </c>
      <c r="AA22" s="71">
        <f>ROUND('DEI Sales by Rate'!AE6*Y22/Z22,0)</f>
        <v>0</v>
      </c>
    </row>
    <row r="23" spans="1:27" x14ac:dyDescent="0.2">
      <c r="A23">
        <v>5</v>
      </c>
      <c r="B23" t="s">
        <v>236</v>
      </c>
      <c r="C23" s="2">
        <v>17030</v>
      </c>
      <c r="D23" s="2">
        <f t="shared" si="3"/>
        <v>14970007</v>
      </c>
      <c r="F23" s="71">
        <f>ROUND('DEI Sales by Rate'!W7*C23/D23,0)</f>
        <v>0</v>
      </c>
      <c r="I23" s="2">
        <v>21354</v>
      </c>
      <c r="J23" s="2">
        <v>1889660</v>
      </c>
      <c r="K23" s="71">
        <f>ROUND(('DEI Sales by Rate'!AD7+'DEI Sales by Rate'!AC7)*I23/J23,0)</f>
        <v>0</v>
      </c>
      <c r="M23" s="2">
        <v>93600</v>
      </c>
      <c r="N23" s="2">
        <v>28898160</v>
      </c>
      <c r="O23" s="71">
        <f>ROUND('DEI Sales by Rate'!AE7*M23/N23,0)</f>
        <v>0</v>
      </c>
      <c r="Q23" s="2">
        <f t="shared" si="6"/>
        <v>93600</v>
      </c>
      <c r="R23" s="2">
        <f t="shared" si="4"/>
        <v>28898160</v>
      </c>
      <c r="S23" s="71">
        <f>ROUND('DEI Sales by Rate'!AE7*Q23/R23,0)+W23-U23</f>
        <v>-51600</v>
      </c>
      <c r="U23" s="2">
        <v>51600</v>
      </c>
      <c r="V23" s="2">
        <v>15935160</v>
      </c>
      <c r="W23" s="71">
        <f>ROUND('DEI Sales by Rate'!AF7*U23/V23,0)</f>
        <v>0</v>
      </c>
      <c r="Y23" s="2">
        <v>12240</v>
      </c>
      <c r="Z23" s="2">
        <f t="shared" si="5"/>
        <v>28898160</v>
      </c>
      <c r="AA23" s="71">
        <f>ROUND('DEI Sales by Rate'!AE7*Y23/Z23,0)</f>
        <v>0</v>
      </c>
    </row>
    <row r="24" spans="1:27" x14ac:dyDescent="0.2">
      <c r="A24">
        <v>6</v>
      </c>
      <c r="B24" t="s">
        <v>237</v>
      </c>
      <c r="C24" s="2">
        <v>16310</v>
      </c>
      <c r="D24" s="2">
        <f t="shared" si="3"/>
        <v>14418350</v>
      </c>
      <c r="F24" s="71">
        <f>ROUND('DEI Sales by Rate'!W8*C24/D24,0)</f>
        <v>0</v>
      </c>
      <c r="I24" s="2">
        <v>17263</v>
      </c>
      <c r="J24" s="2">
        <v>3568802</v>
      </c>
      <c r="K24" s="71">
        <f>ROUND(('DEI Sales by Rate'!AD8+'DEI Sales by Rate'!AC8)*I24/J24,0)</f>
        <v>0</v>
      </c>
      <c r="M24" s="2">
        <v>92160</v>
      </c>
      <c r="N24" s="2">
        <v>27742920</v>
      </c>
      <c r="O24" s="71">
        <f>ROUND('DEI Sales by Rate'!AE8*M24/N24,0)</f>
        <v>0</v>
      </c>
      <c r="Q24" s="2">
        <f t="shared" si="6"/>
        <v>92160</v>
      </c>
      <c r="R24" s="2">
        <f t="shared" si="4"/>
        <v>27742920</v>
      </c>
      <c r="S24" s="71">
        <f>ROUND('DEI Sales by Rate'!AE8*Q24/R24,0)+W24-U24</f>
        <v>-50160</v>
      </c>
      <c r="U24" s="2">
        <v>50160</v>
      </c>
      <c r="V24" s="2">
        <v>14651040</v>
      </c>
      <c r="W24" s="71">
        <f>ROUND('DEI Sales by Rate'!AF8*U24/V24,0)</f>
        <v>0</v>
      </c>
      <c r="Y24" s="2">
        <v>11520</v>
      </c>
      <c r="Z24" s="2">
        <f t="shared" si="5"/>
        <v>27742920</v>
      </c>
      <c r="AA24" s="71">
        <f>ROUND('DEI Sales by Rate'!AE8*Y24/Z24,0)</f>
        <v>0</v>
      </c>
    </row>
    <row r="25" spans="1:27" x14ac:dyDescent="0.2">
      <c r="A25">
        <v>7</v>
      </c>
      <c r="B25" t="s">
        <v>238</v>
      </c>
      <c r="C25" s="2">
        <v>17760</v>
      </c>
      <c r="D25" s="2">
        <f t="shared" si="3"/>
        <v>14817394</v>
      </c>
      <c r="F25" s="71">
        <f>ROUND('DEI Sales by Rate'!W9*C25/D25,0)</f>
        <v>0</v>
      </c>
      <c r="I25" s="2">
        <v>22947</v>
      </c>
      <c r="J25" s="2">
        <v>7322826</v>
      </c>
      <c r="K25" s="71">
        <f>ROUND(('DEI Sales by Rate'!AD9+'DEI Sales by Rate'!AC9)*I25/J25,0)</f>
        <v>0</v>
      </c>
      <c r="M25" s="2">
        <v>92880</v>
      </c>
      <c r="N25" s="2">
        <v>28516440</v>
      </c>
      <c r="O25" s="71">
        <f>ROUND('DEI Sales by Rate'!AE9*M25/N25,0)</f>
        <v>0</v>
      </c>
      <c r="Q25" s="2">
        <f t="shared" si="6"/>
        <v>92880</v>
      </c>
      <c r="R25" s="2">
        <f t="shared" si="4"/>
        <v>28516440</v>
      </c>
      <c r="S25" s="71">
        <f>ROUND('DEI Sales by Rate'!AE9*Q25/R25,0)+W25-U25</f>
        <v>-50880</v>
      </c>
      <c r="U25" s="2">
        <v>50880</v>
      </c>
      <c r="V25" s="2">
        <v>15204120</v>
      </c>
      <c r="W25" s="71">
        <f>ROUND('DEI Sales by Rate'!AF9*U25/V25,0)</f>
        <v>0</v>
      </c>
      <c r="Y25" s="2">
        <v>12960</v>
      </c>
      <c r="Z25" s="2">
        <f t="shared" si="5"/>
        <v>28516440</v>
      </c>
      <c r="AA25" s="71">
        <f>ROUND('DEI Sales by Rate'!AE9*Y25/Z25,0)</f>
        <v>0</v>
      </c>
    </row>
    <row r="26" spans="1:27" x14ac:dyDescent="0.2">
      <c r="A26">
        <v>8</v>
      </c>
      <c r="B26" t="s">
        <v>239</v>
      </c>
      <c r="C26" s="2">
        <v>16742</v>
      </c>
      <c r="D26" s="2">
        <f t="shared" si="3"/>
        <v>15319435</v>
      </c>
      <c r="F26" s="71">
        <f>ROUND('DEI Sales by Rate'!W10*C26/D26,0)</f>
        <v>0</v>
      </c>
      <c r="I26" s="2">
        <v>33508</v>
      </c>
      <c r="J26" s="2">
        <v>8668295</v>
      </c>
      <c r="K26" s="71">
        <f>ROUND(('DEI Sales by Rate'!AD10+'DEI Sales by Rate'!AC10)*I26/J26,0)</f>
        <v>0</v>
      </c>
      <c r="M26" s="2">
        <v>92880</v>
      </c>
      <c r="N26" s="2">
        <v>28543800</v>
      </c>
      <c r="O26" s="71">
        <f>ROUND('DEI Sales by Rate'!AE10*M26/N26,0)</f>
        <v>0</v>
      </c>
      <c r="Q26" s="2">
        <f t="shared" si="6"/>
        <v>92880</v>
      </c>
      <c r="R26" s="2">
        <f t="shared" si="4"/>
        <v>28543800</v>
      </c>
      <c r="S26" s="71">
        <f>ROUND('DEI Sales by Rate'!AE10*Q26/R26,0)+W26-U26</f>
        <v>-50880</v>
      </c>
      <c r="U26" s="2">
        <v>50880</v>
      </c>
      <c r="V26" s="2">
        <v>16092600</v>
      </c>
      <c r="W26" s="71">
        <f>ROUND('DEI Sales by Rate'!AF10*U26/V26,0)</f>
        <v>0</v>
      </c>
      <c r="Y26" s="2">
        <v>15120</v>
      </c>
      <c r="Z26" s="2">
        <f t="shared" si="5"/>
        <v>28543800</v>
      </c>
      <c r="AA26" s="71">
        <f>ROUND('DEI Sales by Rate'!AE10*Y26/Z26,0)</f>
        <v>0</v>
      </c>
    </row>
    <row r="27" spans="1:27" x14ac:dyDescent="0.2">
      <c r="A27">
        <v>9</v>
      </c>
      <c r="B27" t="s">
        <v>240</v>
      </c>
      <c r="C27" s="2">
        <v>18058</v>
      </c>
      <c r="D27" s="2">
        <f t="shared" si="3"/>
        <v>15792871</v>
      </c>
      <c r="F27" s="71">
        <f>ROUND('DEI Sales by Rate'!W11*C27/D27,0)</f>
        <v>0</v>
      </c>
      <c r="I27" s="2">
        <v>24328</v>
      </c>
      <c r="J27" s="2">
        <v>6156328</v>
      </c>
      <c r="K27" s="71">
        <f>ROUND(('DEI Sales by Rate'!AD11+'DEI Sales by Rate'!AC11)*I27/J27,0)</f>
        <v>0</v>
      </c>
      <c r="M27" s="2">
        <v>93600</v>
      </c>
      <c r="N27" s="2">
        <v>28761720</v>
      </c>
      <c r="O27" s="71">
        <f>ROUND('DEI Sales by Rate'!AE11*M27/N27,0)</f>
        <v>0</v>
      </c>
      <c r="Q27" s="2">
        <f t="shared" si="6"/>
        <v>93600</v>
      </c>
      <c r="R27" s="2">
        <f t="shared" si="4"/>
        <v>28761720</v>
      </c>
      <c r="S27" s="71">
        <f>ROUND('DEI Sales by Rate'!AE11*Q27/R27,0)+W27-U27</f>
        <v>-51600</v>
      </c>
      <c r="U27" s="2">
        <v>51600</v>
      </c>
      <c r="V27" s="2">
        <v>17602680</v>
      </c>
      <c r="W27" s="71">
        <f>ROUND('DEI Sales by Rate'!AF11*U27/V27,0)</f>
        <v>0</v>
      </c>
      <c r="Y27" s="2">
        <v>12960</v>
      </c>
      <c r="Z27" s="2">
        <f t="shared" si="5"/>
        <v>28761720</v>
      </c>
      <c r="AA27" s="71">
        <f>ROUND('DEI Sales by Rate'!AE11*Y27/Z27,0)</f>
        <v>0</v>
      </c>
    </row>
    <row r="28" spans="1:27" x14ac:dyDescent="0.2">
      <c r="A28">
        <v>10</v>
      </c>
      <c r="B28" t="s">
        <v>241</v>
      </c>
      <c r="C28" s="2">
        <v>18298</v>
      </c>
      <c r="D28" s="2">
        <f t="shared" si="3"/>
        <v>16598232</v>
      </c>
      <c r="F28" s="71">
        <f>ROUND('DEI Sales by Rate'!W12*C28/D28,0)</f>
        <v>0</v>
      </c>
      <c r="I28" s="2">
        <v>28181</v>
      </c>
      <c r="J28" s="2">
        <v>7030310</v>
      </c>
      <c r="K28" s="71">
        <f>ROUND(('DEI Sales by Rate'!AD12+'DEI Sales by Rate'!AC12)*I28/J28,0)</f>
        <v>0</v>
      </c>
      <c r="M28" s="2">
        <v>91440</v>
      </c>
      <c r="N28" s="2">
        <v>28364400</v>
      </c>
      <c r="O28" s="71">
        <f>ROUND('DEI Sales by Rate'!AE12*M28/N28,0)</f>
        <v>0</v>
      </c>
      <c r="Q28" s="2">
        <f t="shared" si="6"/>
        <v>91440</v>
      </c>
      <c r="R28" s="2">
        <f t="shared" si="4"/>
        <v>28364400</v>
      </c>
      <c r="S28" s="71">
        <f>ROUND('DEI Sales by Rate'!AE12*Q28/R28,0)+W28-U28</f>
        <v>-49440</v>
      </c>
      <c r="U28" s="2">
        <v>49440</v>
      </c>
      <c r="V28" s="2">
        <v>16000560</v>
      </c>
      <c r="W28" s="71">
        <f>ROUND('DEI Sales by Rate'!AF12*U28/V28,0)</f>
        <v>0</v>
      </c>
      <c r="Y28" s="2">
        <v>12240</v>
      </c>
      <c r="Z28" s="2">
        <f t="shared" si="5"/>
        <v>28364400</v>
      </c>
      <c r="AA28" s="71">
        <f>ROUND('DEI Sales by Rate'!AE12*Y28/Z28,0)</f>
        <v>0</v>
      </c>
    </row>
    <row r="29" spans="1:27" x14ac:dyDescent="0.2">
      <c r="A29">
        <v>11</v>
      </c>
      <c r="B29" t="s">
        <v>242</v>
      </c>
      <c r="C29" s="2">
        <v>17818</v>
      </c>
      <c r="D29" s="2">
        <f t="shared" si="3"/>
        <v>15864691</v>
      </c>
      <c r="F29" s="71">
        <f>ROUND('DEI Sales by Rate'!W13*C29/D29,0)</f>
        <v>0</v>
      </c>
      <c r="I29" s="2">
        <v>20859</v>
      </c>
      <c r="J29" s="2">
        <v>3946620</v>
      </c>
      <c r="K29" s="71">
        <f>ROUND(('DEI Sales by Rate'!AD13+'DEI Sales by Rate'!AC13)*I29/J29,0)</f>
        <v>0</v>
      </c>
      <c r="M29" s="2">
        <v>92160</v>
      </c>
      <c r="N29" s="2">
        <v>25607280</v>
      </c>
      <c r="O29" s="71">
        <f>ROUND('DEI Sales by Rate'!AE13*M29/N29,0)</f>
        <v>0</v>
      </c>
      <c r="Q29" s="2">
        <f t="shared" si="6"/>
        <v>92160</v>
      </c>
      <c r="R29" s="2">
        <f t="shared" si="4"/>
        <v>25607280</v>
      </c>
      <c r="S29" s="71">
        <f>ROUND('DEI Sales by Rate'!AE13*Q29/R29,0)+W29-U29</f>
        <v>-50160</v>
      </c>
      <c r="U29" s="2">
        <v>50160</v>
      </c>
      <c r="V29" s="2">
        <v>14155440</v>
      </c>
      <c r="W29" s="71">
        <f>ROUND('DEI Sales by Rate'!AF13*U29/V29,0)</f>
        <v>0</v>
      </c>
      <c r="Y29" s="2">
        <v>10080</v>
      </c>
      <c r="Z29" s="2">
        <f t="shared" si="5"/>
        <v>25607280</v>
      </c>
      <c r="AA29" s="71">
        <f>ROUND('DEI Sales by Rate'!AE13*Y29/Z29,0)</f>
        <v>0</v>
      </c>
    </row>
    <row r="30" spans="1:27" x14ac:dyDescent="0.2">
      <c r="A30">
        <v>12</v>
      </c>
      <c r="B30" t="s">
        <v>243</v>
      </c>
      <c r="C30" s="2">
        <v>16877</v>
      </c>
      <c r="D30" s="2">
        <f t="shared" si="3"/>
        <v>14333893</v>
      </c>
      <c r="F30" s="71">
        <f>ROUND('DEI Sales by Rate'!W14*C30/D30,0)</f>
        <v>0</v>
      </c>
      <c r="I30" s="2">
        <v>13120</v>
      </c>
      <c r="J30" s="2">
        <v>1309617</v>
      </c>
      <c r="K30" s="71">
        <f>ROUND(('DEI Sales by Rate'!AD14+'DEI Sales by Rate'!AC14)*I30/J30,0)</f>
        <v>0</v>
      </c>
      <c r="M30" s="2">
        <v>92160</v>
      </c>
      <c r="N30" s="2">
        <v>25022640</v>
      </c>
      <c r="O30" s="71">
        <f>ROUND('DEI Sales by Rate'!AE14*M30/N30,0)</f>
        <v>0</v>
      </c>
      <c r="Q30" s="2">
        <f t="shared" si="6"/>
        <v>92160</v>
      </c>
      <c r="R30" s="2">
        <f t="shared" si="4"/>
        <v>25022640</v>
      </c>
      <c r="S30" s="71">
        <f>ROUND('DEI Sales by Rate'!AE14*Q30/R30,0)+W30-U30</f>
        <v>-50160</v>
      </c>
      <c r="U30" s="2">
        <v>50160</v>
      </c>
      <c r="V30" s="2">
        <v>12657120</v>
      </c>
      <c r="W30" s="71">
        <f>ROUND('DEI Sales by Rate'!AF14*U30/V30,0)</f>
        <v>0</v>
      </c>
      <c r="Y30" s="2">
        <v>12240</v>
      </c>
      <c r="Z30" s="2">
        <f t="shared" si="5"/>
        <v>25022640</v>
      </c>
      <c r="AA30" s="71">
        <f>ROUND('DEI Sales by Rate'!AE14*Y30/Z30,0)</f>
        <v>0</v>
      </c>
    </row>
    <row r="31" spans="1:27" x14ac:dyDescent="0.2">
      <c r="C31" s="3">
        <f>SUM(C19:C30)</f>
        <v>211843</v>
      </c>
      <c r="D31" s="3">
        <f>SUM(D19:D30)</f>
        <v>179037814</v>
      </c>
      <c r="F31" s="3">
        <f>SUM(F19:F30)</f>
        <v>0</v>
      </c>
      <c r="I31" s="3">
        <f>SUM(I19:I30)</f>
        <v>243072</v>
      </c>
      <c r="J31" s="3">
        <f>SUM(J19:J30)</f>
        <v>49034222</v>
      </c>
      <c r="K31" s="3">
        <f>SUM(K19:K30)</f>
        <v>0</v>
      </c>
      <c r="M31" s="3">
        <f>SUM(M19:M30)</f>
        <v>1114560</v>
      </c>
      <c r="N31" s="3">
        <f>SUM(N19:N30)</f>
        <v>330715440</v>
      </c>
      <c r="O31" s="3">
        <f>SUM(O19:O30)</f>
        <v>0</v>
      </c>
      <c r="Q31" s="3">
        <f>SUM(Q19:Q30)</f>
        <v>1114560</v>
      </c>
      <c r="R31" s="3">
        <f>SUM(R19:R30)</f>
        <v>330715440</v>
      </c>
      <c r="S31" s="3">
        <f>SUM(S19:S30)</f>
        <v>-610560</v>
      </c>
      <c r="U31" s="3">
        <f>SUM(U19:U30)</f>
        <v>610560</v>
      </c>
      <c r="V31" s="3">
        <f>SUM(V19:V30)</f>
        <v>184243320</v>
      </c>
      <c r="W31" s="3">
        <f>SUM(W19:W30)</f>
        <v>0</v>
      </c>
      <c r="Y31" s="3">
        <f>SUM(Y19:Y30)</f>
        <v>150480</v>
      </c>
      <c r="Z31" s="3">
        <f>SUM(Z19:Z30)</f>
        <v>330715440</v>
      </c>
      <c r="AA31" s="3">
        <f>SUM(AA19:AA30)</f>
        <v>0</v>
      </c>
    </row>
    <row r="32" spans="1:27" x14ac:dyDescent="0.2">
      <c r="S32" s="3"/>
      <c r="U32" s="3"/>
      <c r="W32" s="3"/>
    </row>
    <row r="33" spans="10:21" x14ac:dyDescent="0.2">
      <c r="J33" s="2" t="s">
        <v>310</v>
      </c>
      <c r="R33" s="3"/>
      <c r="S33" s="3"/>
      <c r="U33" s="3"/>
    </row>
  </sheetData>
  <mergeCells count="13">
    <mergeCell ref="Y17:AA17"/>
    <mergeCell ref="U1:W1"/>
    <mergeCell ref="M17:O17"/>
    <mergeCell ref="Y1:AA1"/>
    <mergeCell ref="C1:D1"/>
    <mergeCell ref="F1:G1"/>
    <mergeCell ref="I1:K1"/>
    <mergeCell ref="M1:O1"/>
    <mergeCell ref="Q1:S1"/>
    <mergeCell ref="I17:K17"/>
    <mergeCell ref="Q17:S17"/>
    <mergeCell ref="U17:W17"/>
    <mergeCell ref="C17:F17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I18" sqref="I18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180bc4-2f7d-45e7-9e22-353907fb92c6">
      <UserInfo>
        <DisplayName/>
        <AccountId xsi:nil="true"/>
        <AccountType/>
      </UserInfo>
    </SharedWithUsers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E004D6A3-83AA-4009-8592-DF5A2A7669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691AB-B2AC-4D11-8CE7-892A7100E50F}"/>
</file>

<file path=customXml/itemProps3.xml><?xml version="1.0" encoding="utf-8"?>
<ds:datastoreItem xmlns:ds="http://schemas.openxmlformats.org/officeDocument/2006/customXml" ds:itemID="{981C0046-DFF4-4EAE-9E5B-97AAE26DBD15}">
  <ds:schemaRefs>
    <ds:schemaRef ds:uri="http://schemas.microsoft.com/office/2006/metadata/properties"/>
    <ds:schemaRef ds:uri="http://schemas.microsoft.com/office/infopath/2007/PartnerControls"/>
    <ds:schemaRef ds:uri="99180bc4-2f7d-45e7-9e22-353907fb92c6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Cover page</vt:lpstr>
      <vt:lpstr>RAF</vt:lpstr>
      <vt:lpstr>Present Revenue</vt:lpstr>
      <vt:lpstr>kWh</vt:lpstr>
      <vt:lpstr>DEI Sales by Rate</vt:lpstr>
      <vt:lpstr>DEI Sales by Revenue</vt:lpstr>
      <vt:lpstr>Allocators Data orig</vt:lpstr>
      <vt:lpstr>Allocators Data</vt:lpstr>
      <vt:lpstr>Allocators Calc</vt:lpstr>
      <vt:lpstr>Rate Calc Sheet</vt:lpstr>
      <vt:lpstr>LLF Secondary Blocked Energy</vt:lpstr>
      <vt:lpstr>LLF-Demand_kVAR</vt:lpstr>
      <vt:lpstr>HLF-Demand_kVAR</vt:lpstr>
      <vt:lpstr>CSN2-Demand_KVAR</vt:lpstr>
      <vt:lpstr>Spec-Demand_kVAR</vt:lpstr>
      <vt:lpstr>Sheet1</vt:lpstr>
      <vt:lpstr>'DEI Sales by Revenue'!Print_Area</vt:lpstr>
    </vt:vector>
  </TitlesOfParts>
  <Manager/>
  <Company>Cinergy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Moore</dc:creator>
  <cp:keywords/>
  <dc:description/>
  <cp:lastModifiedBy>Bruce, Carla</cp:lastModifiedBy>
  <cp:revision/>
  <dcterms:created xsi:type="dcterms:W3CDTF">2002-05-14T13:07:12Z</dcterms:created>
  <dcterms:modified xsi:type="dcterms:W3CDTF">2024-04-05T16:27:14Z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  <property fmtid="{D5CDD505-2E9C-101B-9397-08002B2CF9AE}" pid="3" name="Order">
    <vt:r8>421200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