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Bruce\Desktop\FILINGS\"/>
    </mc:Choice>
  </mc:AlternateContent>
  <xr:revisionPtr revIDLastSave="0" documentId="8_{A61CDC34-DC61-4A5E-BE79-3D1A511C4D2B}" xr6:coauthVersionLast="47" xr6:coauthVersionMax="47" xr10:uidLastSave="{00000000-0000-0000-0000-000000000000}"/>
  <bookViews>
    <workbookView xWindow="28680" yWindow="765" windowWidth="19440" windowHeight="15000" xr2:uid="{00000000-000D-0000-FFFF-FFFF00000000}"/>
  </bookViews>
  <sheets>
    <sheet name="Cover" sheetId="11" r:id="rId1"/>
    <sheet name="Wrk Paper 1_Rate Avg Summary" sheetId="7" r:id="rId2"/>
    <sheet name="Wrk Paper 2 Rate Comps Sum. V1" sheetId="8" r:id="rId3"/>
    <sheet name="Wrk Paper 3 Rate Comps Sum. V2" sheetId="10" r:id="rId4"/>
    <sheet name="Rate DCFC - Jan-Feb 2024" sheetId="1" state="hidden" r:id="rId5"/>
    <sheet name="Rate DCFC - March 2024 " sheetId="6" state="hidden" r:id="rId6"/>
    <sheet name="Rate EVP - Jan 2024" sheetId="2" state="hidden" r:id="rId7"/>
    <sheet name="Rate EVP - Feb 2024" sheetId="4" state="hidden" r:id="rId8"/>
    <sheet name="Rate EVP - March 2024" sheetId="5" state="hidden" r:id="rId9"/>
  </sheets>
  <definedNames>
    <definedName name="_xlnm._FilterDatabase" localSheetId="5" hidden="1">'Rate DCFC - March 2024 '!$A$1:$K$1</definedName>
    <definedName name="_xlnm._FilterDatabase" localSheetId="7" hidden="1">'Rate EVP - Feb 2024'!$A$1:$K$1</definedName>
    <definedName name="_xlnm._FilterDatabase" localSheetId="8" hidden="1">'Rate EVP - March 2024'!$A$1:$K$1</definedName>
    <definedName name="_xlnm.Print_Area" localSheetId="3">'Wrk Paper 3 Rate Comps Sum. V2'!$A$1:$R$67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0" l="1"/>
  <c r="H64" i="10"/>
  <c r="H13" i="10"/>
  <c r="H18" i="10"/>
  <c r="H14" i="10"/>
  <c r="H24" i="10"/>
  <c r="H34" i="10"/>
  <c r="H19" i="10"/>
  <c r="H32" i="10"/>
  <c r="F22" i="7"/>
  <c r="F18" i="7"/>
  <c r="G63" i="10"/>
  <c r="D63" i="10"/>
  <c r="E63" i="10"/>
  <c r="F63" i="10"/>
  <c r="F38" i="10"/>
  <c r="G38" i="10"/>
  <c r="G40" i="10" s="1"/>
  <c r="G41" i="10" s="1"/>
  <c r="E38" i="10"/>
  <c r="E40" i="10" s="1"/>
  <c r="E41" i="10" s="1"/>
  <c r="F40" i="10"/>
  <c r="F41" i="10" s="1"/>
  <c r="D38" i="10"/>
  <c r="D40" i="10" s="1"/>
  <c r="D41" i="10" s="1"/>
  <c r="G18" i="10"/>
  <c r="F18" i="10"/>
  <c r="E18" i="10"/>
  <c r="G14" i="10"/>
  <c r="F14" i="10"/>
  <c r="E14" i="10"/>
  <c r="D51" i="8"/>
  <c r="D27" i="8"/>
  <c r="D29" i="8" s="1"/>
  <c r="J25" i="8"/>
  <c r="J21" i="8"/>
  <c r="J22" i="8"/>
  <c r="J23" i="8"/>
  <c r="J24" i="8"/>
  <c r="J20" i="8"/>
  <c r="H21" i="8"/>
  <c r="H22" i="8"/>
  <c r="H23" i="8"/>
  <c r="H24" i="8"/>
  <c r="H25" i="8"/>
  <c r="H20" i="8"/>
  <c r="J7" i="8"/>
  <c r="J8" i="8"/>
  <c r="H7" i="8"/>
  <c r="H8" i="8"/>
  <c r="F7" i="8"/>
  <c r="I14" i="8"/>
  <c r="J14" i="8" s="1"/>
  <c r="G14" i="8"/>
  <c r="H14" i="8" s="1"/>
  <c r="E14" i="8"/>
  <c r="I10" i="8"/>
  <c r="I27" i="8" s="1"/>
  <c r="I29" i="8" s="1"/>
  <c r="G10" i="8"/>
  <c r="G27" i="8" s="1"/>
  <c r="G29" i="8" s="1"/>
  <c r="E10" i="8"/>
  <c r="E27" i="8" s="1"/>
  <c r="E29" i="8" s="1"/>
  <c r="H11" i="8"/>
  <c r="J11" i="8"/>
  <c r="J10" i="8"/>
  <c r="H10" i="8"/>
  <c r="F10" i="8"/>
  <c r="F11" i="8"/>
  <c r="F8" i="8"/>
  <c r="J48" i="8"/>
  <c r="J44" i="8"/>
  <c r="J45" i="8"/>
  <c r="J46" i="8"/>
  <c r="J43" i="8"/>
  <c r="H44" i="8"/>
  <c r="H45" i="8"/>
  <c r="H46" i="8"/>
  <c r="H47" i="8"/>
  <c r="H48" i="8"/>
  <c r="H43" i="8"/>
  <c r="I51" i="8"/>
  <c r="G51" i="8"/>
  <c r="E51" i="8"/>
  <c r="F48" i="8"/>
  <c r="F47" i="8"/>
  <c r="F46" i="8"/>
  <c r="F45" i="8"/>
  <c r="H51" i="8"/>
  <c r="F44" i="8"/>
  <c r="J51" i="8"/>
  <c r="F43" i="8"/>
  <c r="F51" i="8" s="1"/>
  <c r="J18" i="8"/>
  <c r="J19" i="8"/>
  <c r="J17" i="8"/>
  <c r="J12" i="8"/>
  <c r="J13" i="8"/>
  <c r="J15" i="8"/>
  <c r="J9" i="8"/>
  <c r="H15" i="8"/>
  <c r="H17" i="8"/>
  <c r="H18" i="8"/>
  <c r="H19" i="8"/>
  <c r="H12" i="8"/>
  <c r="H13" i="8"/>
  <c r="H9" i="8"/>
  <c r="H27" i="8" s="1"/>
  <c r="J27" i="8"/>
  <c r="F9" i="8"/>
  <c r="F12" i="8"/>
  <c r="F13" i="8"/>
  <c r="F14" i="8"/>
  <c r="F15" i="8"/>
  <c r="F17" i="8"/>
  <c r="F18" i="8"/>
  <c r="F19" i="8"/>
  <c r="F27" i="8"/>
  <c r="F8" i="7"/>
  <c r="G7" i="2"/>
  <c r="F4" i="2"/>
  <c r="E4" i="2" s="1"/>
  <c r="G4" i="2"/>
  <c r="H4" i="2"/>
  <c r="E7" i="2"/>
  <c r="F7" i="2" s="1"/>
  <c r="E11" i="2"/>
  <c r="F4" i="7"/>
  <c r="G8" i="6"/>
  <c r="H8" i="6" s="1"/>
  <c r="I8" i="6" s="1"/>
  <c r="G5" i="6"/>
  <c r="H5" i="6"/>
  <c r="I5" i="6"/>
  <c r="G7" i="6"/>
  <c r="H7" i="6" s="1"/>
  <c r="I7" i="6"/>
  <c r="G2" i="6"/>
  <c r="H2" i="6"/>
  <c r="I2" i="6"/>
  <c r="G4" i="6"/>
  <c r="H4" i="6" s="1"/>
  <c r="I4" i="6" s="1"/>
  <c r="G3" i="6"/>
  <c r="H3" i="6" s="1"/>
  <c r="I3" i="6" s="1"/>
  <c r="E5" i="1"/>
  <c r="E6" i="1"/>
  <c r="E7" i="1"/>
  <c r="E9" i="1"/>
  <c r="J23" i="6"/>
  <c r="I15" i="5"/>
  <c r="H15" i="5"/>
  <c r="J15" i="5" s="1"/>
  <c r="I14" i="5"/>
  <c r="H14" i="5"/>
  <c r="J14" i="5" s="1"/>
  <c r="I13" i="5"/>
  <c r="H13" i="5"/>
  <c r="J13" i="5" s="1"/>
  <c r="I12" i="5"/>
  <c r="H12" i="5"/>
  <c r="J12" i="5" s="1"/>
  <c r="I11" i="5"/>
  <c r="H11" i="5"/>
  <c r="J11" i="5" s="1"/>
  <c r="I10" i="5"/>
  <c r="H10" i="5"/>
  <c r="J10" i="5" s="1"/>
  <c r="I9" i="5"/>
  <c r="H9" i="5"/>
  <c r="J9" i="5" s="1"/>
  <c r="I7" i="5"/>
  <c r="H7" i="5"/>
  <c r="J7" i="5" s="1"/>
  <c r="I6" i="5"/>
  <c r="H6" i="5"/>
  <c r="J6" i="5" s="1"/>
  <c r="I5" i="5"/>
  <c r="H5" i="5"/>
  <c r="J5" i="5" s="1"/>
  <c r="I4" i="5"/>
  <c r="H4" i="5"/>
  <c r="J4" i="5" s="1"/>
  <c r="I3" i="5"/>
  <c r="H3" i="5"/>
  <c r="J3" i="5" s="1"/>
  <c r="I2" i="5"/>
  <c r="H2" i="5"/>
  <c r="J2" i="5" s="1"/>
  <c r="J18" i="5" s="1"/>
  <c r="H15" i="4"/>
  <c r="I15" i="4"/>
  <c r="J15" i="4"/>
  <c r="H14" i="4"/>
  <c r="I14" i="4"/>
  <c r="J14" i="4"/>
  <c r="H13" i="4"/>
  <c r="I13" i="4"/>
  <c r="J13" i="4"/>
  <c r="H12" i="4"/>
  <c r="I12" i="4"/>
  <c r="H5" i="4"/>
  <c r="I5" i="4"/>
  <c r="J5" i="4"/>
  <c r="H6" i="4"/>
  <c r="I6" i="4"/>
  <c r="J6" i="4"/>
  <c r="H7" i="4"/>
  <c r="I7" i="4"/>
  <c r="J7" i="4"/>
  <c r="H9" i="4"/>
  <c r="I9" i="4"/>
  <c r="J9" i="4"/>
  <c r="H10" i="4"/>
  <c r="I10" i="4"/>
  <c r="J10" i="4"/>
  <c r="H11" i="4"/>
  <c r="I11" i="4"/>
  <c r="J11" i="4"/>
  <c r="I4" i="4"/>
  <c r="H4" i="4"/>
  <c r="J4" i="4" s="1"/>
  <c r="I3" i="4"/>
  <c r="H3" i="4"/>
  <c r="J3" i="4" s="1"/>
  <c r="I2" i="4"/>
  <c r="H2" i="4"/>
  <c r="J2" i="4" s="1"/>
  <c r="F13" i="2"/>
  <c r="E13" i="2" s="1"/>
  <c r="G13" i="2"/>
  <c r="H13" i="2"/>
  <c r="F12" i="2"/>
  <c r="E12" i="2" s="1"/>
  <c r="G12" i="2"/>
  <c r="H12" i="2"/>
  <c r="G11" i="2"/>
  <c r="H11" i="2"/>
  <c r="F10" i="2"/>
  <c r="E10" i="2" s="1"/>
  <c r="G10" i="2"/>
  <c r="H10" i="2" s="1"/>
  <c r="G9" i="2"/>
  <c r="F9" i="2"/>
  <c r="F8" i="2"/>
  <c r="E8" i="2" s="1"/>
  <c r="G8" i="2"/>
  <c r="H8" i="2"/>
  <c r="F6" i="2"/>
  <c r="E6" i="2" s="1"/>
  <c r="F5" i="2"/>
  <c r="E5" i="2" s="1"/>
  <c r="H65" i="10" l="1"/>
  <c r="E42" i="10"/>
  <c r="E43" i="10" s="1"/>
  <c r="C21" i="7" s="1"/>
  <c r="G42" i="10"/>
  <c r="G43" i="10" s="1"/>
  <c r="E21" i="7" s="1"/>
  <c r="E23" i="7" s="1"/>
  <c r="H66" i="10"/>
  <c r="H67" i="10"/>
  <c r="F42" i="10"/>
  <c r="F43" i="10"/>
  <c r="D21" i="7" s="1"/>
  <c r="D23" i="7" s="1"/>
  <c r="H38" i="10"/>
  <c r="H40" i="10" s="1"/>
  <c r="H41" i="10" s="1"/>
  <c r="F29" i="8"/>
  <c r="H29" i="8"/>
  <c r="J29" i="8"/>
  <c r="D42" i="10"/>
  <c r="D43" i="10" s="1"/>
  <c r="D64" i="10"/>
  <c r="D65" i="10" s="1"/>
  <c r="E64" i="10"/>
  <c r="E65" i="10" s="1"/>
  <c r="F64" i="10"/>
  <c r="F65" i="10" s="1"/>
  <c r="G64" i="10"/>
  <c r="G65" i="10" s="1"/>
  <c r="D52" i="8"/>
  <c r="D53" i="8" s="1"/>
  <c r="E52" i="8"/>
  <c r="E53" i="8" s="1"/>
  <c r="G52" i="8"/>
  <c r="G53" i="8" s="1"/>
  <c r="I52" i="8"/>
  <c r="I53" i="8" s="1"/>
  <c r="D30" i="8"/>
  <c r="D31" i="8" s="1"/>
  <c r="E30" i="8"/>
  <c r="E31" i="8" s="1"/>
  <c r="G30" i="8"/>
  <c r="G31" i="8" s="1"/>
  <c r="I30" i="8"/>
  <c r="I31" i="8" s="1"/>
  <c r="H9" i="2"/>
  <c r="E9" i="2"/>
  <c r="J12" i="4"/>
  <c r="J18" i="4" s="1"/>
  <c r="J24" i="6"/>
  <c r="J25" i="6" s="1"/>
  <c r="J19" i="5"/>
  <c r="J20" i="5" s="1"/>
  <c r="J19" i="4"/>
  <c r="J20" i="4" s="1"/>
  <c r="F21" i="7" l="1"/>
  <c r="F23" i="7" s="1"/>
  <c r="C23" i="7"/>
  <c r="H42" i="10"/>
  <c r="H43" i="10"/>
  <c r="G66" i="10"/>
  <c r="G67" i="10" s="1"/>
  <c r="E17" i="7" s="1"/>
  <c r="E19" i="7" s="1"/>
  <c r="F66" i="10"/>
  <c r="F67" i="10" s="1"/>
  <c r="D17" i="7" s="1"/>
  <c r="D19" i="7" s="1"/>
  <c r="E66" i="10"/>
  <c r="E67" i="10" s="1"/>
  <c r="C17" i="7" s="1"/>
  <c r="D66" i="10"/>
  <c r="D67" i="10" s="1"/>
  <c r="I54" i="8"/>
  <c r="I55" i="8" s="1"/>
  <c r="E3" i="7" s="1"/>
  <c r="G54" i="8"/>
  <c r="G55" i="8" s="1"/>
  <c r="D3" i="7" s="1"/>
  <c r="D5" i="7" s="1"/>
  <c r="E54" i="8"/>
  <c r="E55" i="8" s="1"/>
  <c r="C3" i="7" s="1"/>
  <c r="C5" i="7" s="1"/>
  <c r="D54" i="8"/>
  <c r="D55" i="8" s="1"/>
  <c r="I32" i="8"/>
  <c r="I33" i="8" s="1"/>
  <c r="E7" i="7" s="1"/>
  <c r="G32" i="8"/>
  <c r="G33" i="8" s="1"/>
  <c r="D7" i="7" s="1"/>
  <c r="D9" i="7" s="1"/>
  <c r="E32" i="8"/>
  <c r="E33" i="8" s="1"/>
  <c r="C7" i="7" s="1"/>
  <c r="C9" i="7" s="1"/>
  <c r="D32" i="8"/>
  <c r="D33" i="8" s="1"/>
  <c r="J26" i="6"/>
  <c r="J27" i="6" s="1"/>
  <c r="J21" i="5"/>
  <c r="J22" i="5" s="1"/>
  <c r="J21" i="4"/>
  <c r="J22" i="4" s="1"/>
  <c r="G6" i="2"/>
  <c r="H6" i="2" s="1"/>
  <c r="G5" i="2"/>
  <c r="H5" i="2" s="1"/>
  <c r="H15" i="2" s="1"/>
  <c r="F9" i="1"/>
  <c r="F8" i="1"/>
  <c r="F6" i="1"/>
  <c r="F5" i="1"/>
  <c r="F4" i="1"/>
  <c r="F7" i="1"/>
  <c r="C19" i="7" l="1"/>
  <c r="F17" i="7"/>
  <c r="F19" i="7" s="1"/>
  <c r="E5" i="7"/>
  <c r="F3" i="7"/>
  <c r="F5" i="7" s="1"/>
  <c r="E9" i="7"/>
  <c r="F7" i="7"/>
  <c r="F9" i="7" s="1"/>
  <c r="F55" i="8"/>
  <c r="H55" i="8"/>
  <c r="J55" i="8"/>
  <c r="F33" i="8"/>
  <c r="H33" i="8"/>
  <c r="J33" i="8"/>
  <c r="H16" i="2"/>
  <c r="H17" i="2" s="1"/>
  <c r="H18" i="2" l="1"/>
  <c r="H19" i="2" s="1"/>
  <c r="E4" i="1"/>
  <c r="G14" i="1" l="1"/>
  <c r="G13" i="1"/>
  <c r="G15" i="1"/>
  <c r="E8" i="1"/>
  <c r="G8" i="1"/>
  <c r="G11" i="1"/>
  <c r="G12" i="1"/>
</calcChain>
</file>

<file path=xl/sharedStrings.xml><?xml version="1.0" encoding="utf-8"?>
<sst xmlns="http://schemas.openxmlformats.org/spreadsheetml/2006/main" count="632" uniqueCount="173">
  <si>
    <t>IURC Cause No. 45843</t>
  </si>
  <si>
    <t xml:space="preserve">On Behalf of Indianapolis Power and Light d/b/a AES Indiana </t>
  </si>
  <si>
    <t>First Quarterly Report Workpapers 1-3</t>
  </si>
  <si>
    <t>V1</t>
  </si>
  <si>
    <t>Q1</t>
  </si>
  <si>
    <t>Q2</t>
  </si>
  <si>
    <t>Q3</t>
  </si>
  <si>
    <t>Q4</t>
  </si>
  <si>
    <t>Criteria</t>
  </si>
  <si>
    <t>DCFC</t>
  </si>
  <si>
    <t>24/7 public access</t>
  </si>
  <si>
    <t>AES</t>
  </si>
  <si>
    <t>Free parking, paid charging</t>
  </si>
  <si>
    <t>Variance</t>
  </si>
  <si>
    <t>EVP</t>
  </si>
  <si>
    <t>*Rates are sourced from PlugShare, ChargeLab, ChargePoint, and Tesla. This is a shift away from solely PlugShare as the site has experienced many bugs and outages in 2024.</t>
  </si>
  <si>
    <t xml:space="preserve">As there seems to be a degree of shifting up and down on a monthly basis, I would recommend filing rate adjustments on a quarterly basis until the market rates stabilize or forecasting improves. </t>
  </si>
  <si>
    <t>V2</t>
  </si>
  <si>
    <t xml:space="preserve">**V2: Since the initial report, several sites have shifted to private or implemented a flat fee to cover the cost of previously "free" charging sites. Any site offline, or no longer a 1:1 comparision has been shifted to a reporting only status where the rate is tracked by not included in the V2 model. Likewise any sites that now meet this criteria are included in the calculations to continually improve accuracy through a larger sample size. For transparency purposes, V1 is provided to demonstrate the difference in rate averages that this change has made, however it is our reccomendation to utilize the V2 report moving forward to determine fair market pricing. </t>
  </si>
  <si>
    <t>Rate Comparison - EVP</t>
  </si>
  <si>
    <t>IURC Order No. 45843 vs. Q1 2024 Market Rates</t>
  </si>
  <si>
    <t xml:space="preserve">Charging Station </t>
  </si>
  <si>
    <t>Address</t>
  </si>
  <si>
    <t>IURC Order No 45843</t>
  </si>
  <si>
    <t>Difference</t>
  </si>
  <si>
    <t>$/KWH</t>
  </si>
  <si>
    <t>Rolls Royce</t>
  </si>
  <si>
    <t>2355 S Tibbs Ave, Indianapolis, IN 46241, USA</t>
  </si>
  <si>
    <t>Airport</t>
  </si>
  <si>
    <t xml:space="preserve">7800 Col H Weir Cook Memorial Dr, Indianapolis, IN, 46241 </t>
  </si>
  <si>
    <t>Greenwood Park Mall</t>
  </si>
  <si>
    <t>611 E County Line Rd, Greenwood, IN 46142, USA</t>
  </si>
  <si>
    <t>Penrose</t>
  </si>
  <si>
    <t>530 Massachusetts Ave, Indianapolis, IN 46204, USA</t>
  </si>
  <si>
    <t>Market Tower</t>
  </si>
  <si>
    <t>139 N Illinois St, Indianapolis, IN 46204, USA</t>
  </si>
  <si>
    <t>Circle Centre Mall - Moon Garage</t>
  </si>
  <si>
    <t>49 W Maryland St Indianapolis, IN 46204, USA</t>
  </si>
  <si>
    <t>Indianapolis Public Library - Eagle Branch</t>
  </si>
  <si>
    <t>3905 Moller Rd, Indianapolis 46254</t>
  </si>
  <si>
    <t>Greenfield Area Chamber of Commerce</t>
  </si>
  <si>
    <t>6 W South St, Greenfield 46140</t>
  </si>
  <si>
    <t>Kohls</t>
  </si>
  <si>
    <t>9895 N Michigan Rd, Carmel 46032</t>
  </si>
  <si>
    <t>Mercedes Benz Of Indianapolis</t>
  </si>
  <si>
    <t>4000 E 96th St, Indianapolis 46240</t>
  </si>
  <si>
    <t>OFFLINE</t>
  </si>
  <si>
    <t>Fashion Mall</t>
  </si>
  <si>
    <t>8702 Keystone Crossing, Indianapolis, IN 46240, USA</t>
  </si>
  <si>
    <t>Castleton Square Mall</t>
  </si>
  <si>
    <t>6020 E 82nd St, Indianapolis 46250</t>
  </si>
  <si>
    <t>YMCA</t>
  </si>
  <si>
    <t>2120 Intelliplex Dr, Shelbyville 46176</t>
  </si>
  <si>
    <t>Simon Tower</t>
  </si>
  <si>
    <t>305 W Washington St, Indianapolis</t>
  </si>
  <si>
    <t>NEW</t>
  </si>
  <si>
    <t>Monon 46</t>
  </si>
  <si>
    <t>4560 Ocean Street  Indianapolis, IN 46205</t>
  </si>
  <si>
    <t>Lee Supply</t>
  </si>
  <si>
    <t>6610 Guion Road Indianapolis, IN 46268</t>
  </si>
  <si>
    <t>Westfield HQ</t>
  </si>
  <si>
    <t>17219 Foundation Parkway, Westfield, IN, 46074</t>
  </si>
  <si>
    <t>Fastpark</t>
  </si>
  <si>
    <t>8550 Stansted Drive, Indianapolis, IN, 46241</t>
  </si>
  <si>
    <t>EMC SQUARED</t>
  </si>
  <si>
    <t>1250 Indiana Ave, Indianapolis</t>
  </si>
  <si>
    <t>A</t>
  </si>
  <si>
    <t>Average $KWH</t>
  </si>
  <si>
    <t>B</t>
  </si>
  <si>
    <r>
      <rPr>
        <sz val="11"/>
        <color rgb="FF000000"/>
        <rFont val="Calibri"/>
      </rPr>
      <t>Rate SS</t>
    </r>
    <r>
      <rPr>
        <i/>
        <sz val="9"/>
        <color rgb="FF000000"/>
        <rFont val="Calibri"/>
      </rPr>
      <t xml:space="preserve"> (Reflective of Customer "free" charging)</t>
    </r>
  </si>
  <si>
    <t>C</t>
  </si>
  <si>
    <t>A+B/2</t>
  </si>
  <si>
    <t>D</t>
  </si>
  <si>
    <t>Utility Receipts Tax (1.4%)</t>
  </si>
  <si>
    <t>E</t>
  </si>
  <si>
    <t>C+D</t>
  </si>
  <si>
    <t>F</t>
  </si>
  <si>
    <t>Sales Tax (7%)</t>
  </si>
  <si>
    <t>G</t>
  </si>
  <si>
    <t>E+F: Average Rate</t>
  </si>
  <si>
    <t>Rate Comparison - DCFC</t>
  </si>
  <si>
    <t>IURC Order No. 45843</t>
  </si>
  <si>
    <t>8702 Keystone Crossing, Indianapolis, IN 46240</t>
  </si>
  <si>
    <t>Meijer</t>
  </si>
  <si>
    <t>8375 E 96th Street, Indianapolis, Indiana, 46256, US</t>
  </si>
  <si>
    <t>Walmart</t>
  </si>
  <si>
    <t>4650 South Emerson Avenue, Indianapolis, Indiana, 46203, US</t>
  </si>
  <si>
    <t>Chase Bank</t>
  </si>
  <si>
    <t>14801 Thatcher Ln, Carmel, IN 46032, USA</t>
  </si>
  <si>
    <t>IMPA</t>
  </si>
  <si>
    <t>11610 N College Ave, Carmel 46032</t>
  </si>
  <si>
    <t>Hamilton Town Center</t>
  </si>
  <si>
    <t>13901 Town Center Blvd, Noblesville, IN 46060, USA</t>
  </si>
  <si>
    <t>5325 E Southport Rd Indianapolis , IN 46237</t>
  </si>
  <si>
    <t>A+B</t>
  </si>
  <si>
    <t>C+D: Average Rate</t>
  </si>
  <si>
    <t>From Filing:</t>
  </si>
  <si>
    <t>Notes/Color Key</t>
  </si>
  <si>
    <t xml:space="preserve">Rate SS/Free Charging Excluded - most "free" sites that remain are either private or limited access and have flat rate parking fee associated. Not reflective of public L2 charging business models. </t>
  </si>
  <si>
    <t>Flat fee charging excluded as these aren't 1:1 comparisions with the price per kWh model and skew averages considerably. Data is still collected for transparency but isnt used in rate calculations.</t>
  </si>
  <si>
    <t xml:space="preserve">EVgo sites have rates that are weighted averages as they enforce demand based rates depending on the time of day. </t>
  </si>
  <si>
    <t>1250 Indiana Avenue, Indianapolis, IN, 46202</t>
  </si>
  <si>
    <t>Indianapolis Parking</t>
  </si>
  <si>
    <t>502 North Illinois Street Indianapolis, IN 46204</t>
  </si>
  <si>
    <t>Bank of America Financial Center</t>
  </si>
  <si>
    <t>301 East Market Street Indianapolis, IN 46204</t>
  </si>
  <si>
    <t>Indianapolis Public Library - Fort Ben Branch</t>
  </si>
  <si>
    <t>9330 East 56th Street, Indianapolis, IN, 46216</t>
  </si>
  <si>
    <t>Muse Carmel Apartment</t>
  </si>
  <si>
    <t>1685 East 116th Street, Carmel, IN, 46032</t>
  </si>
  <si>
    <t>Indianapolis Public Library - West Perry Branch</t>
  </si>
  <si>
    <t>6650 South Harding Street, Indianapolis, IN, 46217</t>
  </si>
  <si>
    <r>
      <rPr>
        <sz val="11"/>
        <color rgb="FF000000"/>
        <rFont val="Calibri"/>
      </rPr>
      <t>Rate SS</t>
    </r>
    <r>
      <rPr>
        <i/>
        <sz val="9"/>
        <color rgb="FF000000"/>
        <rFont val="Calibri"/>
      </rPr>
      <t xml:space="preserve"> (Reflective of Customer "free" charging 0.089)</t>
    </r>
  </si>
  <si>
    <t>Discont. See Note 1</t>
  </si>
  <si>
    <t>A+C</t>
  </si>
  <si>
    <t>E+D: Average Rate</t>
  </si>
  <si>
    <t>11351 E Washington St, Indianapolis, Indiana 46229</t>
  </si>
  <si>
    <t>Location</t>
  </si>
  <si>
    <t>Charger</t>
  </si>
  <si>
    <t>Max Output (kW)</t>
  </si>
  <si>
    <t>Cost Per Hour</t>
  </si>
  <si>
    <t>kWh per minute</t>
  </si>
  <si>
    <t>Cost per kWh</t>
  </si>
  <si>
    <t>EVgo</t>
  </si>
  <si>
    <t>The Fashion Mall at Keystone - East Parking Structure | Indianapolis, IN | EV Station (plugshare.com)</t>
  </si>
  <si>
    <t>Electrify America</t>
  </si>
  <si>
    <t>Meijer | Indianapolis, IN | EV Station (plugshare.com)</t>
  </si>
  <si>
    <t>Walmart Supercenter | Indianapolis, IN | EV Station (plugshare.com)</t>
  </si>
  <si>
    <t>Assumptions</t>
  </si>
  <si>
    <t>Average in central Indiana</t>
  </si>
  <si>
    <t>Source: Plugshare</t>
  </si>
  <si>
    <t>Based on DCFC stations with a minimum 50 kW charger rating</t>
  </si>
  <si>
    <t>DCFC locations identified in central Indiana (Marion and surrounding counties)</t>
  </si>
  <si>
    <t>All locations open to public 24/7</t>
  </si>
  <si>
    <t>Excludes Tesla Superchargers</t>
  </si>
  <si>
    <t>OEM</t>
  </si>
  <si>
    <t>Location Name</t>
  </si>
  <si>
    <t>Rate Set By</t>
  </si>
  <si>
    <t>Plug</t>
  </si>
  <si>
    <t>Hourly Rate</t>
  </si>
  <si>
    <t>Cost Per Minute</t>
  </si>
  <si>
    <t>Link</t>
  </si>
  <si>
    <t>CCS/Chademo</t>
  </si>
  <si>
    <t>CCS</t>
  </si>
  <si>
    <t>https://chargehub.com/map/#/en/map?lat=40.00397&amp;lng=-86.12665&amp;locId=117086</t>
  </si>
  <si>
    <t>ChargePoint</t>
  </si>
  <si>
    <t>Offline</t>
  </si>
  <si>
    <t>https://chargehub.com/en/full-details-page.html?locId=64056</t>
  </si>
  <si>
    <t>Chademo</t>
  </si>
  <si>
    <t>Charging station - Full Details | ChargeHub</t>
  </si>
  <si>
    <t>Tesla</t>
  </si>
  <si>
    <t>NACS</t>
  </si>
  <si>
    <t>Find Us | Tesla</t>
  </si>
  <si>
    <t>Based on publicly available level 2 stations that include a fee structure</t>
  </si>
  <si>
    <t>Locations identified in central Indiana</t>
  </si>
  <si>
    <t>Locations had to have pricing information publicized on Plugshare</t>
  </si>
  <si>
    <t>Chargepoint</t>
  </si>
  <si>
    <t>SIMON TOWER</t>
  </si>
  <si>
    <t xml:space="preserve"> EVSP Simon Property Group</t>
  </si>
  <si>
    <t>J1772</t>
  </si>
  <si>
    <t>https://driver.chargepoint.com/stations/748241</t>
  </si>
  <si>
    <t>EMC2</t>
  </si>
  <si>
    <t>https://driver.chargepoint.com/stations/13488331</t>
  </si>
  <si>
    <t>1275 US Highway 31 North, Greenwood, IN, 46142</t>
  </si>
  <si>
    <t>https://chargehub.com/en/full-details-page.html?locId=68215</t>
  </si>
  <si>
    <t>https://chargehub.com/en/full-details-page.html?locId=40583</t>
  </si>
  <si>
    <t>Not Available</t>
  </si>
  <si>
    <t>Mercedes Benz Of Indianapolis | Indianapolis, IN | EV Station (plugshare.com)</t>
  </si>
  <si>
    <t>https://www.plugshare.com/location/62527</t>
  </si>
  <si>
    <t>Station: SIMON / CASTLETON SQR 1 (chargepoint.com)</t>
  </si>
  <si>
    <t>YMCA of Shelbyville | Shelbyville, IN | EV Station (plugshare.com)</t>
  </si>
  <si>
    <t xml:space="preserve"> Electron Charger</t>
  </si>
  <si>
    <t xml:space="preserve"> Fast Park &amp; Relax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</si>
</sst>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164" formatCode="&quot;$&quot;#,##0.00"/>
    <numFmt numFmtId="165" formatCode="0.00000"/>
    <numFmt numFmtId="166" formatCode="0.000"/>
    <numFmt numFmtId="167" formatCode="&quot;$&quot;#,##0.000"/>
    <numFmt numFmtId="168" formatCode="0.0"/>
    <numFmt numFmtId="169" formatCode="&quot;$&quot;#,##0.000_);[Red]\(&quot;$&quot;#,##0.000\)"/>
    <numFmt numFmtId="170" formatCode="_([$$-409]* #,##0.00_);_([$$-409]* \(#,##0.00\);_([$$-409]* &quot;-&quot;??_);_(@_)"/>
  </numFmts>
  <fonts count="28"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0"/>
      <name val="Arial"/>
    </font>
    <font>
      <sz val="10"/>
      <color theme="1"/>
      <name val="Calibri"/>
      <family val="2"/>
      <scheme val="minor"/>
    </font>
    <font>
      <sz val="10"/>
      <color rgb="FF292929"/>
      <name val="Roboto"/>
      <family val="2"/>
      <charset val="1"/>
    </font>
    <font>
      <u/>
      <sz val="10"/>
      <color theme="10"/>
      <name val="Calibri"/>
      <family val="2"/>
      <scheme val="minor"/>
    </font>
    <font>
      <sz val="10"/>
      <color theme="1"/>
      <name val="Calibri"/>
      <scheme val="minor"/>
    </font>
    <font>
      <sz val="11"/>
      <color rgb="FFFF0000"/>
      <name val="Calibri"/>
      <family val="2"/>
      <scheme val="minor"/>
    </font>
    <font>
      <b/>
      <sz val="11"/>
      <color rgb="FFFF0000"/>
      <name val="Calibri"/>
      <family val="2"/>
      <scheme val="minor"/>
    </font>
    <font>
      <sz val="11"/>
      <color rgb="FF000000"/>
      <name val="Calibri"/>
      <family val="2"/>
    </font>
    <font>
      <b/>
      <sz val="11"/>
      <color rgb="FF000000"/>
      <name val="Calibri"/>
      <family val="2"/>
    </font>
    <font>
      <sz val="11"/>
      <color rgb="FF000000"/>
      <name val="Calibri"/>
      <family val="2"/>
      <scheme val="minor"/>
    </font>
    <font>
      <b/>
      <sz val="11"/>
      <color rgb="FF000000"/>
      <name val="Calibri"/>
      <family val="2"/>
      <scheme val="minor"/>
    </font>
    <font>
      <u/>
      <sz val="11"/>
      <color rgb="FFFF0000"/>
      <name val="Calibri"/>
      <family val="2"/>
      <scheme val="minor"/>
    </font>
    <font>
      <sz val="11"/>
      <color theme="2"/>
      <name val="Calibri"/>
      <family val="2"/>
      <scheme val="minor"/>
    </font>
    <font>
      <sz val="11"/>
      <color rgb="FF000000"/>
      <name val="Calibri"/>
    </font>
    <font>
      <i/>
      <sz val="9"/>
      <color rgb="FF000000"/>
      <name val="Calibri"/>
    </font>
    <font>
      <i/>
      <sz val="11"/>
      <color rgb="FFFF0000"/>
      <name val="Calibri"/>
      <family val="2"/>
    </font>
    <font>
      <i/>
      <sz val="11"/>
      <color rgb="FF000000"/>
      <name val="Calibri"/>
      <family val="2"/>
      <scheme val="minor"/>
    </font>
    <font>
      <i/>
      <sz val="9"/>
      <color theme="1"/>
      <name val="Calibri"/>
      <family val="2"/>
      <scheme val="minor"/>
    </font>
    <font>
      <i/>
      <sz val="9"/>
      <color rgb="FFFF0000"/>
      <name val="Calibri"/>
      <family val="2"/>
      <scheme val="minor"/>
    </font>
    <font>
      <i/>
      <sz val="9"/>
      <color rgb="FF292929"/>
      <name val="Roboto"/>
      <family val="2"/>
      <charset val="1"/>
    </font>
    <font>
      <i/>
      <sz val="11"/>
      <color rgb="FF000000"/>
      <name val="Calibri"/>
      <family val="2"/>
    </font>
    <font>
      <i/>
      <sz val="10"/>
      <color theme="1"/>
      <name val="Calibri"/>
      <family val="2"/>
      <scheme val="minor"/>
    </font>
    <font>
      <sz val="11"/>
      <color theme="2" tint="-9.9978637043366805E-2"/>
      <name val="Calibri"/>
      <family val="2"/>
    </font>
    <font>
      <sz val="11"/>
      <color theme="2" tint="-9.9978637043366805E-2"/>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medium">
        <color rgb="FF000000"/>
      </left>
      <right style="medium">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3" fillId="0" borderId="0" applyNumberFormat="0" applyFill="0" applyBorder="0" applyAlignment="0" applyProtection="0"/>
  </cellStyleXfs>
  <cellXfs count="189">
    <xf numFmtId="0" fontId="0" fillId="0" borderId="0" xfId="0"/>
    <xf numFmtId="164" fontId="0" fillId="0" borderId="0" xfId="0" applyNumberFormat="1"/>
    <xf numFmtId="0" fontId="0" fillId="0" borderId="0" xfId="0" applyAlignment="1">
      <alignment horizontal="right"/>
    </xf>
    <xf numFmtId="1" fontId="0" fillId="0" borderId="0" xfId="0" applyNumberFormat="1"/>
    <xf numFmtId="1" fontId="0" fillId="0" borderId="0" xfId="0" applyNumberFormat="1" applyAlignment="1">
      <alignment horizontal="right"/>
    </xf>
    <xf numFmtId="165" fontId="0" fillId="0" borderId="0" xfId="0" applyNumberFormat="1"/>
    <xf numFmtId="166" fontId="0" fillId="0" borderId="0" xfId="0" applyNumberFormat="1"/>
    <xf numFmtId="166" fontId="0" fillId="0" borderId="0" xfId="0" applyNumberFormat="1" applyAlignment="1">
      <alignment horizontal="right"/>
    </xf>
    <xf numFmtId="167" fontId="0" fillId="0" borderId="0" xfId="0" applyNumberFormat="1"/>
    <xf numFmtId="0" fontId="2" fillId="2" borderId="0" xfId="0" applyFont="1" applyFill="1"/>
    <xf numFmtId="0" fontId="1" fillId="0" borderId="0" xfId="0" applyFont="1"/>
    <xf numFmtId="168" fontId="0" fillId="0" borderId="0" xfId="0" applyNumberFormat="1"/>
    <xf numFmtId="6" fontId="0" fillId="0" borderId="0" xfId="0" applyNumberFormat="1"/>
    <xf numFmtId="0" fontId="3" fillId="0" borderId="0" xfId="1"/>
    <xf numFmtId="0" fontId="0" fillId="0" borderId="0" xfId="0" applyAlignment="1">
      <alignment horizontal="center" vertical="center"/>
    </xf>
    <xf numFmtId="8" fontId="0" fillId="0" borderId="0" xfId="0" applyNumberFormat="1"/>
    <xf numFmtId="169" fontId="0" fillId="0" borderId="0" xfId="0" applyNumberFormat="1"/>
    <xf numFmtId="0" fontId="4" fillId="3" borderId="0" xfId="0" applyFont="1" applyFill="1"/>
    <xf numFmtId="0" fontId="5" fillId="0" borderId="0" xfId="0" applyFont="1"/>
    <xf numFmtId="0" fontId="6" fillId="0" borderId="0" xfId="0" applyFont="1"/>
    <xf numFmtId="8" fontId="5" fillId="0" borderId="0" xfId="0" applyNumberFormat="1" applyFont="1"/>
    <xf numFmtId="166" fontId="5" fillId="0" borderId="0" xfId="0" applyNumberFormat="1" applyFont="1"/>
    <xf numFmtId="169" fontId="5" fillId="0" borderId="0" xfId="0" applyNumberFormat="1" applyFont="1"/>
    <xf numFmtId="0" fontId="7" fillId="0" borderId="0" xfId="1" applyFont="1"/>
    <xf numFmtId="0" fontId="0" fillId="0" borderId="0" xfId="0" applyAlignment="1">
      <alignment wrapText="1"/>
    </xf>
    <xf numFmtId="168" fontId="5" fillId="0" borderId="0" xfId="0" applyNumberFormat="1" applyFont="1" applyAlignment="1">
      <alignment horizontal="center" vertical="center"/>
    </xf>
    <xf numFmtId="168" fontId="0" fillId="0" borderId="0" xfId="0" applyNumberFormat="1" applyAlignment="1">
      <alignment horizontal="center" vertical="center"/>
    </xf>
    <xf numFmtId="8" fontId="8" fillId="0" borderId="0" xfId="0" applyNumberFormat="1" applyFont="1"/>
    <xf numFmtId="164" fontId="8" fillId="0" borderId="0" xfId="0" applyNumberFormat="1" applyFont="1"/>
    <xf numFmtId="170" fontId="0" fillId="0" borderId="0" xfId="0" applyNumberFormat="1"/>
    <xf numFmtId="170" fontId="0" fillId="0" borderId="0" xfId="0" applyNumberFormat="1" applyAlignment="1">
      <alignment horizontal="right"/>
    </xf>
    <xf numFmtId="0" fontId="0" fillId="0" borderId="1" xfId="0" applyBorder="1"/>
    <xf numFmtId="170" fontId="0" fillId="0" borderId="1" xfId="0" applyNumberFormat="1" applyBorder="1"/>
    <xf numFmtId="170" fontId="1" fillId="0" borderId="3" xfId="0" applyNumberFormat="1" applyFont="1" applyBorder="1"/>
    <xf numFmtId="170" fontId="0" fillId="0" borderId="5" xfId="0" applyNumberFormat="1" applyBorder="1"/>
    <xf numFmtId="0" fontId="0" fillId="0" borderId="6" xfId="0" applyBorder="1"/>
    <xf numFmtId="0" fontId="0" fillId="0" borderId="3" xfId="0" applyBorder="1"/>
    <xf numFmtId="0" fontId="0" fillId="0" borderId="4" xfId="0" applyBorder="1"/>
    <xf numFmtId="0" fontId="0" fillId="0" borderId="5" xfId="0" applyBorder="1"/>
    <xf numFmtId="0" fontId="0" fillId="0" borderId="12" xfId="0" applyBorder="1"/>
    <xf numFmtId="9" fontId="0" fillId="0" borderId="14" xfId="0" applyNumberFormat="1" applyBorder="1"/>
    <xf numFmtId="0" fontId="0" fillId="0" borderId="16" xfId="0" applyBorder="1"/>
    <xf numFmtId="0" fontId="0" fillId="0" borderId="14" xfId="0" applyBorder="1"/>
    <xf numFmtId="0" fontId="0" fillId="0" borderId="15" xfId="0" applyBorder="1"/>
    <xf numFmtId="0" fontId="0" fillId="0" borderId="2" xfId="0" applyBorder="1"/>
    <xf numFmtId="0" fontId="0" fillId="0" borderId="17" xfId="0" applyBorder="1" applyAlignment="1">
      <alignment horizontal="center" vertical="center"/>
    </xf>
    <xf numFmtId="0" fontId="0" fillId="0" borderId="18" xfId="0" applyBorder="1"/>
    <xf numFmtId="170" fontId="0" fillId="0" borderId="7" xfId="0" applyNumberFormat="1" applyBorder="1"/>
    <xf numFmtId="170" fontId="1" fillId="0" borderId="2" xfId="0" applyNumberFormat="1" applyFont="1" applyBorder="1"/>
    <xf numFmtId="0" fontId="0" fillId="0" borderId="10" xfId="0" applyBorder="1"/>
    <xf numFmtId="0" fontId="0" fillId="0" borderId="8" xfId="0" applyBorder="1"/>
    <xf numFmtId="0" fontId="0" fillId="0" borderId="9" xfId="0" applyBorder="1"/>
    <xf numFmtId="170" fontId="0" fillId="0" borderId="11" xfId="0" applyNumberFormat="1" applyBorder="1"/>
    <xf numFmtId="9" fontId="0" fillId="0" borderId="13" xfId="0" applyNumberFormat="1" applyBorder="1"/>
    <xf numFmtId="9" fontId="9" fillId="0" borderId="15" xfId="0" applyNumberFormat="1" applyFont="1" applyBorder="1"/>
    <xf numFmtId="9" fontId="10" fillId="0" borderId="4" xfId="0" applyNumberFormat="1" applyFont="1" applyBorder="1"/>
    <xf numFmtId="0" fontId="0" fillId="0" borderId="19" xfId="0" applyBorder="1"/>
    <xf numFmtId="0" fontId="0" fillId="0" borderId="20" xfId="0" applyBorder="1"/>
    <xf numFmtId="17" fontId="0" fillId="0" borderId="21" xfId="0" applyNumberFormat="1" applyBorder="1" applyAlignment="1">
      <alignment horizontal="center" vertical="center"/>
    </xf>
    <xf numFmtId="17" fontId="0" fillId="0" borderId="22" xfId="0" applyNumberFormat="1" applyBorder="1" applyAlignment="1">
      <alignment horizontal="center" vertical="center"/>
    </xf>
    <xf numFmtId="17" fontId="1" fillId="4" borderId="23" xfId="0" applyNumberFormat="1" applyFont="1" applyFill="1" applyBorder="1" applyAlignment="1">
      <alignment horizontal="center" vertical="center"/>
    </xf>
    <xf numFmtId="17" fontId="0" fillId="0" borderId="24" xfId="0" applyNumberFormat="1" applyBorder="1" applyAlignment="1">
      <alignment horizontal="center" vertical="center"/>
    </xf>
    <xf numFmtId="0" fontId="1" fillId="4" borderId="23" xfId="0" applyFont="1" applyFill="1" applyBorder="1" applyAlignment="1">
      <alignment horizontal="center" vertical="center"/>
    </xf>
    <xf numFmtId="0" fontId="1" fillId="0" borderId="25" xfId="0" applyFont="1" applyBorder="1"/>
    <xf numFmtId="0" fontId="0" fillId="0" borderId="25" xfId="0" applyBorder="1"/>
    <xf numFmtId="0" fontId="11" fillId="0" borderId="0" xfId="0" applyFont="1"/>
    <xf numFmtId="8" fontId="11" fillId="0" borderId="0" xfId="0" applyNumberFormat="1" applyFont="1"/>
    <xf numFmtId="170" fontId="11" fillId="0" borderId="0" xfId="0" applyNumberFormat="1" applyFont="1"/>
    <xf numFmtId="0" fontId="12" fillId="0" borderId="0" xfId="0" applyFont="1" applyAlignment="1">
      <alignment horizontal="center" vertical="center"/>
    </xf>
    <xf numFmtId="17" fontId="12" fillId="0" borderId="0" xfId="0" applyNumberFormat="1" applyFont="1" applyAlignment="1">
      <alignment horizontal="center" vertical="center"/>
    </xf>
    <xf numFmtId="170" fontId="9" fillId="0" borderId="0" xfId="0" applyNumberFormat="1" applyFont="1"/>
    <xf numFmtId="0" fontId="9" fillId="0" borderId="0" xfId="0" applyFont="1"/>
    <xf numFmtId="0" fontId="1" fillId="5" borderId="0" xfId="0" applyFont="1" applyFill="1"/>
    <xf numFmtId="170" fontId="13" fillId="0" borderId="0" xfId="0" applyNumberFormat="1" applyFont="1"/>
    <xf numFmtId="0" fontId="14" fillId="5" borderId="0" xfId="0" applyFont="1" applyFill="1"/>
    <xf numFmtId="166" fontId="9" fillId="0" borderId="0" xfId="0" applyNumberFormat="1" applyFont="1"/>
    <xf numFmtId="164" fontId="9" fillId="0" borderId="0" xfId="0" applyNumberFormat="1" applyFont="1"/>
    <xf numFmtId="168" fontId="9" fillId="0" borderId="0" xfId="0" applyNumberFormat="1" applyFont="1" applyAlignment="1">
      <alignment horizontal="center" vertical="center"/>
    </xf>
    <xf numFmtId="8" fontId="9" fillId="0" borderId="0" xfId="0" applyNumberFormat="1" applyFont="1"/>
    <xf numFmtId="169" fontId="9" fillId="0" borderId="0" xfId="0" applyNumberFormat="1" applyFont="1"/>
    <xf numFmtId="0" fontId="15" fillId="0" borderId="0" xfId="1" applyFont="1"/>
    <xf numFmtId="9" fontId="9" fillId="0" borderId="13" xfId="0" applyNumberFormat="1" applyFont="1" applyBorder="1"/>
    <xf numFmtId="9" fontId="9" fillId="0" borderId="14" xfId="0" applyNumberFormat="1" applyFont="1" applyBorder="1"/>
    <xf numFmtId="0" fontId="16" fillId="0" borderId="0" xfId="0" applyFont="1"/>
    <xf numFmtId="0" fontId="11" fillId="0" borderId="26" xfId="0" applyFont="1" applyBorder="1"/>
    <xf numFmtId="170" fontId="11" fillId="0" borderId="26" xfId="0" applyNumberFormat="1" applyFont="1" applyBorder="1"/>
    <xf numFmtId="0" fontId="1" fillId="0" borderId="0" xfId="0" applyFont="1" applyAlignment="1">
      <alignment horizontal="right"/>
    </xf>
    <xf numFmtId="0" fontId="17" fillId="0" borderId="0" xfId="0" applyFont="1"/>
    <xf numFmtId="0" fontId="20" fillId="0" borderId="0" xfId="0" applyFont="1"/>
    <xf numFmtId="0" fontId="13" fillId="0" borderId="0" xfId="0" applyFont="1"/>
    <xf numFmtId="0" fontId="21" fillId="0" borderId="0" xfId="0" applyFont="1"/>
    <xf numFmtId="0" fontId="22" fillId="0" borderId="0" xfId="0" applyFont="1"/>
    <xf numFmtId="0" fontId="23" fillId="0" borderId="0" xfId="0" applyFont="1"/>
    <xf numFmtId="0" fontId="0" fillId="6" borderId="1" xfId="0" applyFill="1" applyBorder="1" applyAlignment="1">
      <alignment horizontal="center" vertical="center"/>
    </xf>
    <xf numFmtId="0" fontId="0" fillId="7" borderId="27" xfId="0" applyFill="1" applyBorder="1" applyAlignment="1">
      <alignment horizontal="center" vertical="center"/>
    </xf>
    <xf numFmtId="0" fontId="0" fillId="0" borderId="28" xfId="0" applyBorder="1"/>
    <xf numFmtId="0" fontId="0" fillId="0" borderId="29" xfId="0" applyBorder="1"/>
    <xf numFmtId="0" fontId="0" fillId="0" borderId="30" xfId="0" applyBorder="1"/>
    <xf numFmtId="0" fontId="12" fillId="0" borderId="31"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xf numFmtId="0" fontId="1" fillId="5" borderId="32" xfId="0" applyFont="1" applyFill="1" applyBorder="1"/>
    <xf numFmtId="0" fontId="0" fillId="0" borderId="34" xfId="0" applyBorder="1"/>
    <xf numFmtId="0" fontId="0" fillId="0" borderId="35" xfId="0" applyBorder="1"/>
    <xf numFmtId="170" fontId="11" fillId="7" borderId="37" xfId="0" applyNumberFormat="1" applyFont="1" applyFill="1" applyBorder="1"/>
    <xf numFmtId="170" fontId="0" fillId="6" borderId="37" xfId="0" applyNumberFormat="1" applyFill="1" applyBorder="1"/>
    <xf numFmtId="170" fontId="11" fillId="0" borderId="37" xfId="0" applyNumberFormat="1" applyFont="1" applyBorder="1"/>
    <xf numFmtId="170" fontId="11" fillId="6" borderId="37" xfId="0" applyNumberFormat="1" applyFont="1" applyFill="1" applyBorder="1"/>
    <xf numFmtId="170" fontId="11" fillId="0" borderId="36" xfId="0" applyNumberFormat="1" applyFont="1" applyBorder="1"/>
    <xf numFmtId="17" fontId="12" fillId="0" borderId="36" xfId="0" applyNumberFormat="1" applyFont="1" applyBorder="1" applyAlignment="1">
      <alignment horizontal="center" vertical="center"/>
    </xf>
    <xf numFmtId="0" fontId="9" fillId="6" borderId="37" xfId="0" applyFont="1" applyFill="1" applyBorder="1"/>
    <xf numFmtId="170" fontId="0" fillId="0" borderId="37" xfId="0" applyNumberFormat="1" applyBorder="1"/>
    <xf numFmtId="0" fontId="24" fillId="0" borderId="32" xfId="0" applyFont="1" applyBorder="1" applyAlignment="1">
      <alignment horizontal="center"/>
    </xf>
    <xf numFmtId="170" fontId="11" fillId="7" borderId="32" xfId="0" applyNumberFormat="1" applyFont="1" applyFill="1" applyBorder="1"/>
    <xf numFmtId="170" fontId="0" fillId="6" borderId="32" xfId="0" applyNumberFormat="1" applyFill="1" applyBorder="1"/>
    <xf numFmtId="170" fontId="11" fillId="0" borderId="32" xfId="0" applyNumberFormat="1" applyFont="1" applyBorder="1"/>
    <xf numFmtId="170" fontId="11" fillId="6" borderId="32" xfId="0" applyNumberFormat="1" applyFont="1" applyFill="1" applyBorder="1"/>
    <xf numFmtId="170" fontId="9" fillId="0" borderId="32" xfId="0" applyNumberFormat="1" applyFont="1" applyBorder="1"/>
    <xf numFmtId="170" fontId="11" fillId="0" borderId="31" xfId="0" applyNumberFormat="1" applyFont="1" applyBorder="1"/>
    <xf numFmtId="17" fontId="12" fillId="0" borderId="31" xfId="0" applyNumberFormat="1" applyFont="1" applyBorder="1" applyAlignment="1">
      <alignment horizontal="center" vertical="center"/>
    </xf>
    <xf numFmtId="0" fontId="9" fillId="6" borderId="32" xfId="0" applyFont="1" applyFill="1" applyBorder="1"/>
    <xf numFmtId="170" fontId="0" fillId="0" borderId="32" xfId="0" applyNumberFormat="1" applyBorder="1"/>
    <xf numFmtId="170" fontId="0" fillId="8" borderId="37" xfId="0" applyNumberFormat="1" applyFill="1" applyBorder="1"/>
    <xf numFmtId="0" fontId="12" fillId="0" borderId="23" xfId="0" applyFont="1" applyBorder="1" applyAlignment="1">
      <alignment horizontal="center" vertical="center"/>
    </xf>
    <xf numFmtId="0" fontId="24" fillId="0" borderId="25" xfId="0" applyFont="1" applyBorder="1" applyAlignment="1">
      <alignment horizontal="center"/>
    </xf>
    <xf numFmtId="170" fontId="11" fillId="7" borderId="25" xfId="0" applyNumberFormat="1" applyFont="1" applyFill="1" applyBorder="1"/>
    <xf numFmtId="170" fontId="0" fillId="6" borderId="25" xfId="0" applyNumberFormat="1" applyFill="1" applyBorder="1"/>
    <xf numFmtId="170" fontId="11" fillId="0" borderId="25" xfId="0" applyNumberFormat="1" applyFont="1" applyBorder="1"/>
    <xf numFmtId="170" fontId="11" fillId="6" borderId="25" xfId="0" applyNumberFormat="1" applyFont="1" applyFill="1" applyBorder="1"/>
    <xf numFmtId="170" fontId="9" fillId="0" borderId="25" xfId="0" applyNumberFormat="1" applyFont="1" applyBorder="1"/>
    <xf numFmtId="8" fontId="11" fillId="0" borderId="25" xfId="0" applyNumberFormat="1" applyFont="1" applyBorder="1"/>
    <xf numFmtId="170" fontId="11" fillId="0" borderId="38" xfId="0" applyNumberFormat="1" applyFont="1" applyBorder="1"/>
    <xf numFmtId="170" fontId="19" fillId="7" borderId="25" xfId="0" applyNumberFormat="1" applyFont="1" applyFill="1" applyBorder="1"/>
    <xf numFmtId="17" fontId="12" fillId="0" borderId="26" xfId="0" applyNumberFormat="1" applyFont="1" applyBorder="1" applyAlignment="1">
      <alignment horizontal="center" vertical="center"/>
    </xf>
    <xf numFmtId="0" fontId="24" fillId="0" borderId="0" xfId="0" applyFont="1" applyAlignment="1">
      <alignment horizontal="center"/>
    </xf>
    <xf numFmtId="170" fontId="11" fillId="7" borderId="0" xfId="0" applyNumberFormat="1" applyFont="1" applyFill="1"/>
    <xf numFmtId="170" fontId="0" fillId="6" borderId="0" xfId="0" applyNumberFormat="1" applyFill="1"/>
    <xf numFmtId="170" fontId="11" fillId="6" borderId="0" xfId="0" applyNumberFormat="1" applyFont="1" applyFill="1"/>
    <xf numFmtId="0" fontId="9" fillId="6" borderId="0" xfId="0" applyFont="1" applyFill="1"/>
    <xf numFmtId="164" fontId="0" fillId="0" borderId="25" xfId="0" applyNumberFormat="1" applyBorder="1"/>
    <xf numFmtId="164" fontId="0" fillId="7" borderId="25" xfId="0" applyNumberFormat="1" applyFill="1" applyBorder="1"/>
    <xf numFmtId="164" fontId="0" fillId="0" borderId="32" xfId="0" applyNumberFormat="1" applyBorder="1"/>
    <xf numFmtId="164" fontId="0" fillId="7" borderId="32" xfId="0" applyNumberFormat="1" applyFill="1" applyBorder="1"/>
    <xf numFmtId="170" fontId="13" fillId="8" borderId="37" xfId="0" applyNumberFormat="1" applyFont="1" applyFill="1" applyBorder="1"/>
    <xf numFmtId="170" fontId="13" fillId="0" borderId="37" xfId="0" applyNumberFormat="1" applyFont="1" applyBorder="1"/>
    <xf numFmtId="170" fontId="13" fillId="9" borderId="37" xfId="0" applyNumberFormat="1" applyFont="1" applyFill="1" applyBorder="1"/>
    <xf numFmtId="0" fontId="9" fillId="7" borderId="37" xfId="0" applyFont="1" applyFill="1" applyBorder="1"/>
    <xf numFmtId="164" fontId="0" fillId="7" borderId="0" xfId="0" applyNumberFormat="1" applyFill="1"/>
    <xf numFmtId="0" fontId="24" fillId="0" borderId="25" xfId="0" applyFont="1" applyBorder="1" applyAlignment="1">
      <alignment horizontal="center" vertical="center"/>
    </xf>
    <xf numFmtId="0" fontId="24" fillId="0" borderId="0" xfId="0" applyFont="1" applyAlignment="1">
      <alignment horizontal="center" vertical="center"/>
    </xf>
    <xf numFmtId="0" fontId="24" fillId="0" borderId="32" xfId="0" applyFont="1" applyBorder="1" applyAlignment="1">
      <alignment horizontal="center" vertical="center"/>
    </xf>
    <xf numFmtId="170" fontId="12" fillId="0" borderId="39" xfId="0" applyNumberFormat="1" applyFont="1" applyBorder="1"/>
    <xf numFmtId="170" fontId="12" fillId="0" borderId="29" xfId="0" applyNumberFormat="1" applyFont="1" applyBorder="1"/>
    <xf numFmtId="170" fontId="12" fillId="0" borderId="40" xfId="0" applyNumberFormat="1" applyFont="1" applyBorder="1"/>
    <xf numFmtId="170" fontId="0" fillId="0" borderId="33" xfId="0" applyNumberFormat="1" applyBorder="1"/>
    <xf numFmtId="8" fontId="11" fillId="0" borderId="33" xfId="0" applyNumberFormat="1" applyFont="1" applyBorder="1"/>
    <xf numFmtId="0" fontId="0" fillId="0" borderId="37" xfId="0" applyBorder="1"/>
    <xf numFmtId="0" fontId="3" fillId="5" borderId="32" xfId="1" applyFill="1" applyBorder="1"/>
    <xf numFmtId="170" fontId="12" fillId="0" borderId="41" xfId="0" applyNumberFormat="1" applyFont="1" applyBorder="1"/>
    <xf numFmtId="0" fontId="24" fillId="0" borderId="37" xfId="0" applyFont="1" applyBorder="1" applyAlignment="1">
      <alignment horizontal="center"/>
    </xf>
    <xf numFmtId="17" fontId="12" fillId="0" borderId="42" xfId="0" applyNumberFormat="1" applyFont="1" applyBorder="1" applyAlignment="1">
      <alignment horizontal="center" vertical="center"/>
    </xf>
    <xf numFmtId="0" fontId="0" fillId="0" borderId="33" xfId="0" applyBorder="1"/>
    <xf numFmtId="170" fontId="12" fillId="0" borderId="43" xfId="0" applyNumberFormat="1" applyFont="1" applyBorder="1"/>
    <xf numFmtId="170" fontId="11" fillId="0" borderId="42" xfId="0" applyNumberFormat="1" applyFont="1" applyBorder="1"/>
    <xf numFmtId="170" fontId="11" fillId="0" borderId="33" xfId="0" applyNumberFormat="1" applyFont="1" applyBorder="1"/>
    <xf numFmtId="170" fontId="12" fillId="0" borderId="30" xfId="0" applyNumberFormat="1" applyFont="1" applyBorder="1"/>
    <xf numFmtId="0" fontId="24" fillId="0" borderId="37" xfId="0" applyFont="1" applyBorder="1" applyAlignment="1">
      <alignment horizontal="center" vertical="center"/>
    </xf>
    <xf numFmtId="170" fontId="13" fillId="8" borderId="33" xfId="0" applyNumberFormat="1" applyFont="1" applyFill="1" applyBorder="1"/>
    <xf numFmtId="170" fontId="13" fillId="0" borderId="33" xfId="0" applyNumberFormat="1" applyFont="1" applyBorder="1"/>
    <xf numFmtId="170" fontId="13" fillId="9" borderId="33" xfId="0" applyNumberFormat="1" applyFont="1" applyFill="1" applyBorder="1"/>
    <xf numFmtId="0" fontId="9" fillId="7" borderId="33" xfId="0" applyFont="1" applyFill="1" applyBorder="1"/>
    <xf numFmtId="0" fontId="9" fillId="0" borderId="33" xfId="0" applyFont="1" applyBorder="1"/>
    <xf numFmtId="170" fontId="12" fillId="0" borderId="44" xfId="0" applyNumberFormat="1" applyFont="1" applyBorder="1"/>
    <xf numFmtId="170" fontId="26" fillId="7" borderId="33" xfId="0" applyNumberFormat="1" applyFont="1" applyFill="1" applyBorder="1"/>
    <xf numFmtId="170" fontId="27" fillId="6" borderId="33" xfId="0" applyNumberFormat="1" applyFont="1" applyFill="1" applyBorder="1"/>
    <xf numFmtId="170" fontId="27" fillId="0" borderId="33" xfId="0" applyNumberFormat="1" applyFont="1" applyBorder="1"/>
    <xf numFmtId="170" fontId="26" fillId="6" borderId="33" xfId="0" applyNumberFormat="1" applyFont="1" applyFill="1" applyBorder="1"/>
    <xf numFmtId="0" fontId="27" fillId="6" borderId="33" xfId="0" applyFont="1" applyFill="1" applyBorder="1"/>
    <xf numFmtId="170" fontId="27" fillId="8" borderId="33" xfId="0" applyNumberFormat="1" applyFont="1" applyFill="1" applyBorder="1"/>
    <xf numFmtId="0" fontId="17" fillId="7" borderId="0" xfId="0" applyFont="1" applyFill="1"/>
    <xf numFmtId="0" fontId="0" fillId="0" borderId="0" xfId="0" applyAlignment="1">
      <alignment horizontal="left" vertical="center" wrapText="1"/>
    </xf>
    <xf numFmtId="0" fontId="0" fillId="8" borderId="45" xfId="0" applyFill="1" applyBorder="1" applyAlignment="1">
      <alignment horizontal="center" vertical="center"/>
    </xf>
    <xf numFmtId="0" fontId="12" fillId="0" borderId="0" xfId="0" applyFont="1"/>
    <xf numFmtId="0" fontId="25" fillId="0" borderId="0" xfId="0" applyFont="1" applyAlignment="1">
      <alignment horizontal="center" vertical="center" wrapText="1"/>
    </xf>
    <xf numFmtId="0" fontId="12" fillId="0" borderId="0" xfId="0" applyFont="1"/>
    <xf numFmtId="0" fontId="0" fillId="0" borderId="27" xfId="0" applyBorder="1" applyAlignment="1">
      <alignment horizontal="left" vertical="center" wrapText="1"/>
    </xf>
    <xf numFmtId="0" fontId="0" fillId="0" borderId="1" xfId="0" applyBorder="1" applyAlignment="1">
      <alignment horizontal="left" vertical="center" wrapText="1"/>
    </xf>
    <xf numFmtId="0" fontId="0" fillId="0" borderId="45" xfId="0" applyBorder="1" applyAlignment="1">
      <alignment horizontal="left" vertical="center" wrapText="1"/>
    </xf>
    <xf numFmtId="8" fontId="9" fillId="0" borderId="0" xfId="0" applyNumberFormat="1"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3</xdr:col>
      <xdr:colOff>104533</xdr:colOff>
      <xdr:row>11</xdr:row>
      <xdr:rowOff>37982</xdr:rowOff>
    </xdr:to>
    <xdr:pic>
      <xdr:nvPicPr>
        <xdr:cNvPr id="2" name="Picture 1">
          <a:extLst>
            <a:ext uri="{FF2B5EF4-FFF2-40B4-BE49-F238E27FC236}">
              <a16:creationId xmlns:a16="http://schemas.microsoft.com/office/drawing/2014/main" id="{8A5C1D70-273B-BE8C-48A3-20C5587D8261}"/>
            </a:ext>
          </a:extLst>
        </xdr:cNvPr>
        <xdr:cNvPicPr>
          <a:picLocks noChangeAspect="1"/>
        </xdr:cNvPicPr>
      </xdr:nvPicPr>
      <xdr:blipFill>
        <a:blip xmlns:r="http://schemas.openxmlformats.org/officeDocument/2006/relationships" r:embed="rId1"/>
        <a:stretch>
          <a:fillRect/>
        </a:stretch>
      </xdr:blipFill>
      <xdr:spPr>
        <a:xfrm>
          <a:off x="0" y="1085850"/>
          <a:ext cx="1933333" cy="9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552450</xdr:colOff>
      <xdr:row>59</xdr:row>
      <xdr:rowOff>76200</xdr:rowOff>
    </xdr:from>
    <xdr:to>
      <xdr:col>4</xdr:col>
      <xdr:colOff>1019175</xdr:colOff>
      <xdr:row>72</xdr:row>
      <xdr:rowOff>142875</xdr:rowOff>
    </xdr:to>
    <xdr:pic>
      <xdr:nvPicPr>
        <xdr:cNvPr id="2" name="Picture 1">
          <a:extLst>
            <a:ext uri="{FF2B5EF4-FFF2-40B4-BE49-F238E27FC236}">
              <a16:creationId xmlns:a16="http://schemas.microsoft.com/office/drawing/2014/main" id="{2B80516F-0BDB-46D0-AFF9-92930B657D50}"/>
            </a:ext>
          </a:extLst>
        </xdr:cNvPr>
        <xdr:cNvPicPr>
          <a:picLocks noChangeAspect="1"/>
        </xdr:cNvPicPr>
      </xdr:nvPicPr>
      <xdr:blipFill>
        <a:blip xmlns:r="http://schemas.openxmlformats.org/officeDocument/2006/relationships" r:embed="rId1"/>
        <a:stretch>
          <a:fillRect/>
        </a:stretch>
      </xdr:blipFill>
      <xdr:spPr>
        <a:xfrm>
          <a:off x="552450" y="11315700"/>
          <a:ext cx="8239125" cy="25431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chargehub.com/en/full-details-page.html?locId=70371" TargetMode="External"/><Relationship Id="rId18" Type="http://schemas.openxmlformats.org/officeDocument/2006/relationships/hyperlink" Target="https://www.plugshare.com/location/226923" TargetMode="External"/><Relationship Id="rId26"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3" Type="http://schemas.openxmlformats.org/officeDocument/2006/relationships/hyperlink" Target="https://chargehub.com/en/full-details-page.html?locId=123793" TargetMode="External"/><Relationship Id="rId21" Type="http://schemas.openxmlformats.org/officeDocument/2006/relationships/hyperlink" Target="https://chargehub.com/en/full-details-page.html?locId=97181" TargetMode="External"/><Relationship Id="rId7" Type="http://schemas.openxmlformats.org/officeDocument/2006/relationships/hyperlink" Target="https://chargehub.com/en/full-details-page.html?locId=50771" TargetMode="External"/><Relationship Id="rId12" Type="http://schemas.openxmlformats.org/officeDocument/2006/relationships/hyperlink" Target="https://chargehub.com/en/full-details-page.html?locId=144854" TargetMode="External"/><Relationship Id="rId17" Type="http://schemas.openxmlformats.org/officeDocument/2006/relationships/hyperlink" Target="https://www.plugshare.com/location/62527" TargetMode="External"/><Relationship Id="rId25" Type="http://schemas.openxmlformats.org/officeDocument/2006/relationships/hyperlink" Target="https://www.plugshare.com/location/507335" TargetMode="External"/><Relationship Id="rId33" Type="http://schemas.openxmlformats.org/officeDocument/2006/relationships/printerSettings" Target="../printerSettings/printerSettings3.bin"/><Relationship Id="rId2" Type="http://schemas.openxmlformats.org/officeDocument/2006/relationships/hyperlink" Target="https://chargehub.com/en/full-details-page.html?locId=144981" TargetMode="External"/><Relationship Id="rId16" Type="http://schemas.openxmlformats.org/officeDocument/2006/relationships/hyperlink" Target="https://driver.chargepoint.com/stations/747311" TargetMode="External"/><Relationship Id="rId20" Type="http://schemas.openxmlformats.org/officeDocument/2006/relationships/hyperlink" Target="https://chargehub.com/en/full-details-page.html?locId=40583" TargetMode="External"/><Relationship Id="rId29" Type="http://schemas.openxmlformats.org/officeDocument/2006/relationships/hyperlink" Target="https://www.plugshare.com/location/420063" TargetMode="External"/><Relationship Id="rId1" Type="http://schemas.openxmlformats.org/officeDocument/2006/relationships/hyperlink" Target="https://chargehub.com/en/full-details-page.html?locId=129357" TargetMode="External"/><Relationship Id="rId6" Type="http://schemas.openxmlformats.org/officeDocument/2006/relationships/hyperlink" Target="https://chargehub.com/en/full-details-page.html?locId=146625" TargetMode="External"/><Relationship Id="rId11" Type="http://schemas.openxmlformats.org/officeDocument/2006/relationships/hyperlink" Target="https://chargehub.com/en/full-details-page.html?locId=114230" TargetMode="External"/><Relationship Id="rId24" Type="http://schemas.openxmlformats.org/officeDocument/2006/relationships/hyperlink" Target="https://www.plugshare.com/location/431902" TargetMode="External"/><Relationship Id="rId32" Type="http://schemas.openxmlformats.org/officeDocument/2006/relationships/hyperlink" Target="https://www.plugshare.com/location/62527" TargetMode="External"/><Relationship Id="rId5" Type="http://schemas.openxmlformats.org/officeDocument/2006/relationships/hyperlink" Target="https://chargehub.com/en/full-details-page.html?locId=129670" TargetMode="External"/><Relationship Id="rId15" Type="http://schemas.openxmlformats.org/officeDocument/2006/relationships/hyperlink" Target="https://www.plugshare.com/location/326665" TargetMode="External"/><Relationship Id="rId23" Type="http://schemas.openxmlformats.org/officeDocument/2006/relationships/hyperlink" Target="https://www.plugshare.com/location/272750" TargetMode="External"/><Relationship Id="rId28" Type="http://schemas.openxmlformats.org/officeDocument/2006/relationships/hyperlink" Target="https://www.plugshare.com/location/158717" TargetMode="External"/><Relationship Id="rId10" Type="http://schemas.openxmlformats.org/officeDocument/2006/relationships/hyperlink" Target="https://chargehub.com/en/full-details-page.html?locId=144856" TargetMode="External"/><Relationship Id="rId19" Type="http://schemas.openxmlformats.org/officeDocument/2006/relationships/hyperlink" Target="https://www.plugshare.com/location/213941" TargetMode="External"/><Relationship Id="rId31" Type="http://schemas.openxmlformats.org/officeDocument/2006/relationships/hyperlink" Target="https://www.plugshare.com/location/425426" TargetMode="External"/><Relationship Id="rId4" Type="http://schemas.openxmlformats.org/officeDocument/2006/relationships/hyperlink" Target="https://chargehub.com/en/full-details-page.html?locId=136742" TargetMode="External"/><Relationship Id="rId9" Type="http://schemas.openxmlformats.org/officeDocument/2006/relationships/hyperlink" Target="https://chargehub.com/en/full-details-page.html?locId=102106" TargetMode="External"/><Relationship Id="rId14" Type="http://schemas.openxmlformats.org/officeDocument/2006/relationships/hyperlink" Target="https://chargehub.com/en/full-details-page.html?locId=68215" TargetMode="External"/><Relationship Id="rId22" Type="http://schemas.openxmlformats.org/officeDocument/2006/relationships/hyperlink" Target="https://chargehub.com/en/full-details-page.html?locId=67959" TargetMode="External"/><Relationship Id="rId27" Type="http://schemas.openxmlformats.org/officeDocument/2006/relationships/hyperlink" Target="https://www.plugshare.com/location/62528" TargetMode="External"/><Relationship Id="rId30" Type="http://schemas.openxmlformats.org/officeDocument/2006/relationships/hyperlink" Target="https://www.plugshare.com/location/169562" TargetMode="External"/><Relationship Id="rId8" Type="http://schemas.openxmlformats.org/officeDocument/2006/relationships/hyperlink" Target="https://chargehub.com/en/full-details-page.html?locId=9805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plugshare.com/location/62527" TargetMode="External"/><Relationship Id="rId2" Type="http://schemas.openxmlformats.org/officeDocument/2006/relationships/hyperlink" Target="https://www.plugshare.com/location/425426" TargetMode="External"/><Relationship Id="rId1" Type="http://schemas.openxmlformats.org/officeDocument/2006/relationships/hyperlink" Target="https://www.plugshare.com/location/169562"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lugshare.com/location/425426" TargetMode="External"/><Relationship Id="rId7"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2" Type="http://schemas.openxmlformats.org/officeDocument/2006/relationships/hyperlink" Target="https://www.plugshare.com/location/169562" TargetMode="External"/><Relationship Id="rId1" Type="http://schemas.openxmlformats.org/officeDocument/2006/relationships/hyperlink" Target="https://www.plugshare.com/location/62527" TargetMode="External"/><Relationship Id="rId6" Type="http://schemas.openxmlformats.org/officeDocument/2006/relationships/hyperlink" Target="https://chargehub.com/en/full-details-page.html?locId=44821" TargetMode="External"/><Relationship Id="rId5" Type="http://schemas.openxmlformats.org/officeDocument/2006/relationships/hyperlink" Target="https://chargehub.com/en/full-details-page.html?locId=64056" TargetMode="External"/><Relationship Id="rId4" Type="http://schemas.openxmlformats.org/officeDocument/2006/relationships/hyperlink" Target="https://chargehub.com/ma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lugshare.com/location/326665" TargetMode="External"/><Relationship Id="rId13" Type="http://schemas.openxmlformats.org/officeDocument/2006/relationships/hyperlink" Target="https://chargehub.com/en/full-details-page.html?locId=50771" TargetMode="External"/><Relationship Id="rId3" Type="http://schemas.openxmlformats.org/officeDocument/2006/relationships/hyperlink" Target="https://chargehub.com/en/full-details-page.html?locId=68215" TargetMode="External"/><Relationship Id="rId7" Type="http://schemas.openxmlformats.org/officeDocument/2006/relationships/hyperlink" Target="https://chargehub.com/en/full-details-page.html?locId=129670" TargetMode="External"/><Relationship Id="rId12" Type="http://schemas.openxmlformats.org/officeDocument/2006/relationships/hyperlink" Target="https://chargehub.com/en/full-details-page.html?locId=144856" TargetMode="External"/><Relationship Id="rId2" Type="http://schemas.openxmlformats.org/officeDocument/2006/relationships/hyperlink" Target="https://driver.chargepoint.com/stations/13488331" TargetMode="External"/><Relationship Id="rId1" Type="http://schemas.openxmlformats.org/officeDocument/2006/relationships/hyperlink" Target="https://driver.chargepoint.com/stations/748241" TargetMode="External"/><Relationship Id="rId6" Type="http://schemas.openxmlformats.org/officeDocument/2006/relationships/hyperlink" Target="https://chargehub.com/en/full-details-page.html?locId=77723" TargetMode="External"/><Relationship Id="rId11" Type="http://schemas.openxmlformats.org/officeDocument/2006/relationships/hyperlink" Target="https://chargehub.com/en/full-details-page.html?locId=114230" TargetMode="External"/><Relationship Id="rId5" Type="http://schemas.openxmlformats.org/officeDocument/2006/relationships/hyperlink" Target="https://chargehub.com/en/full-details-page.html?locId=40583" TargetMode="External"/><Relationship Id="rId10" Type="http://schemas.openxmlformats.org/officeDocument/2006/relationships/hyperlink" Target="https://chargehub.com/en/full-details-page.html?locId=144854" TargetMode="External"/><Relationship Id="rId4" Type="http://schemas.openxmlformats.org/officeDocument/2006/relationships/hyperlink" Target="https://www.plugshare.com/location/62527" TargetMode="External"/><Relationship Id="rId9" Type="http://schemas.openxmlformats.org/officeDocument/2006/relationships/hyperlink" Target="https://driver.chargepoint.com/stations/747311" TargetMode="External"/><Relationship Id="rId14" Type="http://schemas.openxmlformats.org/officeDocument/2006/relationships/hyperlink" Target="https://www.plugshare.com/location/226923"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plugshare.com/location/326665" TargetMode="External"/><Relationship Id="rId13" Type="http://schemas.openxmlformats.org/officeDocument/2006/relationships/hyperlink" Target="https://chargehub.com/en/full-details-page.html?locId=50771" TargetMode="External"/><Relationship Id="rId3" Type="http://schemas.openxmlformats.org/officeDocument/2006/relationships/hyperlink" Target="https://chargehub.com/en/full-details-page.html?locId=68215" TargetMode="External"/><Relationship Id="rId7" Type="http://schemas.openxmlformats.org/officeDocument/2006/relationships/hyperlink" Target="https://chargehub.com/en/full-details-page.html?locId=129670" TargetMode="External"/><Relationship Id="rId12" Type="http://schemas.openxmlformats.org/officeDocument/2006/relationships/hyperlink" Target="https://chargehub.com/en/full-details-page.html?locId=144856" TargetMode="External"/><Relationship Id="rId2" Type="http://schemas.openxmlformats.org/officeDocument/2006/relationships/hyperlink" Target="https://driver.chargepoint.com/stations/13488331" TargetMode="External"/><Relationship Id="rId1" Type="http://schemas.openxmlformats.org/officeDocument/2006/relationships/hyperlink" Target="https://driver.chargepoint.com/stations/748241" TargetMode="External"/><Relationship Id="rId6" Type="http://schemas.openxmlformats.org/officeDocument/2006/relationships/hyperlink" Target="https://chargehub.com/en/full-details-page.html?locId=77723" TargetMode="External"/><Relationship Id="rId11" Type="http://schemas.openxmlformats.org/officeDocument/2006/relationships/hyperlink" Target="https://chargehub.com/en/full-details-page.html?locId=114230" TargetMode="External"/><Relationship Id="rId5" Type="http://schemas.openxmlformats.org/officeDocument/2006/relationships/hyperlink" Target="https://chargehub.com/en/full-details-page.html?locId=40583" TargetMode="External"/><Relationship Id="rId10" Type="http://schemas.openxmlformats.org/officeDocument/2006/relationships/hyperlink" Target="https://chargehub.com/en/full-details-page.html?locId=144854" TargetMode="External"/><Relationship Id="rId4" Type="http://schemas.openxmlformats.org/officeDocument/2006/relationships/hyperlink" Target="https://www.plugshare.com/location/62527" TargetMode="External"/><Relationship Id="rId9" Type="http://schemas.openxmlformats.org/officeDocument/2006/relationships/hyperlink" Target="https://driver.chargepoint.com/stations/747311" TargetMode="External"/><Relationship Id="rId14" Type="http://schemas.openxmlformats.org/officeDocument/2006/relationships/hyperlink" Target="https://www.plugshare.com/location/2269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tabSelected="1" workbookViewId="0">
      <selection activeCell="B15" sqref="B15"/>
    </sheetView>
  </sheetViews>
  <sheetFormatPr defaultRowHeight="14.5" x14ac:dyDescent="0.35"/>
  <sheetData>
    <row r="1" spans="1:1" x14ac:dyDescent="0.35">
      <c r="A1" t="s">
        <v>0</v>
      </c>
    </row>
    <row r="2" spans="1:1" x14ac:dyDescent="0.35">
      <c r="A2" t="s">
        <v>1</v>
      </c>
    </row>
    <row r="3" spans="1:1" x14ac:dyDescent="0.35">
      <c r="A3" t="s">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P23"/>
  <sheetViews>
    <sheetView showGridLines="0" view="pageLayout" zoomScale="40" zoomScaleNormal="77" zoomScaleSheetLayoutView="55" zoomScalePageLayoutView="40" workbookViewId="0">
      <selection activeCell="P47" sqref="P47"/>
    </sheetView>
  </sheetViews>
  <sheetFormatPr defaultRowHeight="14.5" x14ac:dyDescent="0.35"/>
  <cols>
    <col min="29" max="29" width="12.26953125" customWidth="1"/>
    <col min="30" max="30" width="1.7265625" customWidth="1"/>
    <col min="31" max="42" width="9.1796875" hidden="1" customWidth="1"/>
  </cols>
  <sheetData>
    <row r="1" spans="2:21" ht="35.15" customHeight="1" x14ac:dyDescent="0.35">
      <c r="B1" s="10" t="s">
        <v>3</v>
      </c>
    </row>
    <row r="2" spans="2:21" s="14" customFormat="1" x14ac:dyDescent="0.35">
      <c r="B2" s="45"/>
      <c r="C2" s="58">
        <v>45292</v>
      </c>
      <c r="D2" s="58">
        <v>45323</v>
      </c>
      <c r="E2" s="59">
        <v>45352</v>
      </c>
      <c r="F2" s="60" t="s">
        <v>4</v>
      </c>
      <c r="G2" s="61">
        <v>45383</v>
      </c>
      <c r="H2" s="58">
        <v>45413</v>
      </c>
      <c r="I2" s="59">
        <v>45444</v>
      </c>
      <c r="J2" s="60" t="s">
        <v>5</v>
      </c>
      <c r="K2" s="61">
        <v>45474</v>
      </c>
      <c r="L2" s="58">
        <v>45505</v>
      </c>
      <c r="M2" s="59">
        <v>45536</v>
      </c>
      <c r="N2" s="60" t="s">
        <v>6</v>
      </c>
      <c r="O2" s="61">
        <v>45566</v>
      </c>
      <c r="P2" s="58">
        <v>45597</v>
      </c>
      <c r="Q2" s="59">
        <v>45627</v>
      </c>
      <c r="R2" s="62" t="s">
        <v>7</v>
      </c>
      <c r="T2" s="10" t="s">
        <v>8</v>
      </c>
    </row>
    <row r="3" spans="2:21" x14ac:dyDescent="0.35">
      <c r="B3" s="56" t="s">
        <v>9</v>
      </c>
      <c r="C3" s="47">
        <f>'Wrk Paper 2 Rate Comps Sum. V1'!E55</f>
        <v>0.36165999999999998</v>
      </c>
      <c r="D3" s="47">
        <f>'Wrk Paper 2 Rate Comps Sum. V1'!G55</f>
        <v>0.36165999999999998</v>
      </c>
      <c r="E3" s="47">
        <f>'Wrk Paper 2 Rate Comps Sum. V1'!I55</f>
        <v>0.58154927999999995</v>
      </c>
      <c r="F3" s="48">
        <f>AVERAGE(C3:E3)</f>
        <v>0.43495642666666662</v>
      </c>
      <c r="G3" s="49"/>
      <c r="H3" s="50"/>
      <c r="I3" s="51"/>
      <c r="J3" s="44"/>
      <c r="K3" s="49"/>
      <c r="L3" s="50"/>
      <c r="M3" s="51"/>
      <c r="N3" s="44"/>
      <c r="O3" s="49"/>
      <c r="P3" s="50"/>
      <c r="Q3" s="51"/>
      <c r="R3" s="44"/>
      <c r="T3" t="s">
        <v>10</v>
      </c>
    </row>
    <row r="4" spans="2:21" x14ac:dyDescent="0.35">
      <c r="B4" s="39" t="s">
        <v>11</v>
      </c>
      <c r="C4" s="52">
        <v>0.35699999999999998</v>
      </c>
      <c r="D4" s="32">
        <v>0.35699999999999998</v>
      </c>
      <c r="E4" s="34">
        <v>0.35699999999999998</v>
      </c>
      <c r="F4" s="33">
        <f>AVERAGE(C4:E4)</f>
        <v>0.35699999999999998</v>
      </c>
      <c r="G4" s="35"/>
      <c r="H4" s="31"/>
      <c r="I4" s="38"/>
      <c r="J4" s="36"/>
      <c r="K4" s="35"/>
      <c r="L4" s="31"/>
      <c r="M4" s="38"/>
      <c r="N4" s="36"/>
      <c r="O4" s="35"/>
      <c r="P4" s="31"/>
      <c r="Q4" s="38"/>
      <c r="R4" s="36"/>
      <c r="T4" t="s">
        <v>12</v>
      </c>
    </row>
    <row r="5" spans="2:21" x14ac:dyDescent="0.35">
      <c r="B5" s="57" t="s">
        <v>13</v>
      </c>
      <c r="C5" s="53">
        <f>(C4-C3)/((C4+C3)/2)</f>
        <v>-1.2968580413547429E-2</v>
      </c>
      <c r="D5" s="40">
        <f t="shared" ref="D5:F5" si="0">(D4-D3)/((D4+D3)/2)</f>
        <v>-1.2968580413547429E-2</v>
      </c>
      <c r="E5" s="54">
        <f t="shared" si="0"/>
        <v>-0.4785029082330125</v>
      </c>
      <c r="F5" s="55">
        <f t="shared" si="0"/>
        <v>-0.19687049449117835</v>
      </c>
      <c r="G5" s="41"/>
      <c r="H5" s="42"/>
      <c r="I5" s="43"/>
      <c r="J5" s="37"/>
      <c r="K5" s="41"/>
      <c r="L5" s="42"/>
      <c r="M5" s="43"/>
      <c r="N5" s="37"/>
      <c r="O5" s="41"/>
      <c r="P5" s="42"/>
      <c r="Q5" s="43"/>
      <c r="R5" s="37"/>
    </row>
    <row r="6" spans="2:21" x14ac:dyDescent="0.35">
      <c r="B6" s="46"/>
      <c r="F6" s="63"/>
      <c r="J6" s="64"/>
      <c r="N6" s="64"/>
      <c r="R6" s="64"/>
    </row>
    <row r="7" spans="2:21" x14ac:dyDescent="0.35">
      <c r="B7" s="56" t="s">
        <v>14</v>
      </c>
      <c r="C7" s="47">
        <f>'Wrk Paper 2 Rate Comps Sum. V1'!E33</f>
        <v>0.29504713480768885</v>
      </c>
      <c r="D7" s="47">
        <f>'Wrk Paper 2 Rate Comps Sum. V1'!G33</f>
        <v>0.31360993072383586</v>
      </c>
      <c r="E7" s="47">
        <f>'Wrk Paper 2 Rate Comps Sum. V1'!I33</f>
        <v>0.31530124365370027</v>
      </c>
      <c r="F7" s="48">
        <f>AVERAGE(C7:E7)</f>
        <v>0.30798610306174162</v>
      </c>
      <c r="G7" s="49"/>
      <c r="H7" s="50"/>
      <c r="I7" s="51"/>
      <c r="J7" s="44"/>
      <c r="K7" s="49"/>
      <c r="L7" s="50"/>
      <c r="M7" s="51"/>
      <c r="N7" s="44"/>
      <c r="O7" s="49"/>
      <c r="P7" s="50"/>
      <c r="Q7" s="51"/>
      <c r="R7" s="44"/>
    </row>
    <row r="8" spans="2:21" x14ac:dyDescent="0.35">
      <c r="B8" s="39" t="s">
        <v>11</v>
      </c>
      <c r="C8" s="52">
        <v>0.35699999999999998</v>
      </c>
      <c r="D8" s="32">
        <v>0.35699999999999998</v>
      </c>
      <c r="E8" s="34">
        <v>0.35699999999999998</v>
      </c>
      <c r="F8" s="33">
        <f>AVERAGE(C8:E8)</f>
        <v>0.35699999999999998</v>
      </c>
      <c r="G8" s="35"/>
      <c r="H8" s="31"/>
      <c r="I8" s="38"/>
      <c r="J8" s="36"/>
      <c r="K8" s="35"/>
      <c r="L8" s="31"/>
      <c r="M8" s="38"/>
      <c r="N8" s="36"/>
      <c r="O8" s="35"/>
      <c r="P8" s="31"/>
      <c r="Q8" s="38"/>
      <c r="R8" s="36"/>
    </row>
    <row r="9" spans="2:21" x14ac:dyDescent="0.35">
      <c r="B9" s="57" t="s">
        <v>13</v>
      </c>
      <c r="C9" s="81">
        <f>(C8-C7)/((C8+C7)/2)</f>
        <v>0.19002572631680428</v>
      </c>
      <c r="D9" s="82">
        <f t="shared" ref="D9:F9" si="1">(D8-D7)/((D8+D7)/2)</f>
        <v>0.12940479193122062</v>
      </c>
      <c r="E9" s="54">
        <f t="shared" si="1"/>
        <v>0.12404783343753141</v>
      </c>
      <c r="F9" s="55">
        <f t="shared" si="1"/>
        <v>0.14741329694737271</v>
      </c>
      <c r="G9" s="41"/>
      <c r="H9" s="42"/>
      <c r="I9" s="43"/>
      <c r="J9" s="37"/>
      <c r="K9" s="41"/>
      <c r="L9" s="42"/>
      <c r="M9" s="43"/>
      <c r="N9" s="37"/>
      <c r="O9" s="41"/>
      <c r="P9" s="42"/>
      <c r="Q9" s="43"/>
      <c r="R9" s="37"/>
    </row>
    <row r="10" spans="2:21" x14ac:dyDescent="0.35">
      <c r="B10" s="88"/>
      <c r="C10" s="89"/>
      <c r="D10" s="89"/>
      <c r="E10" s="89"/>
      <c r="F10" s="89"/>
      <c r="G10" s="89"/>
      <c r="H10" s="89"/>
      <c r="I10" s="89"/>
      <c r="J10" s="89"/>
      <c r="K10" s="89"/>
      <c r="L10" s="89"/>
      <c r="M10" s="89"/>
      <c r="N10" s="89"/>
      <c r="O10" s="89"/>
      <c r="P10" s="89"/>
      <c r="Q10" s="89"/>
      <c r="R10" s="89"/>
      <c r="S10" s="89"/>
      <c r="T10" s="89"/>
      <c r="U10" s="83"/>
    </row>
    <row r="11" spans="2:21" x14ac:dyDescent="0.35">
      <c r="B11" s="88" t="s">
        <v>15</v>
      </c>
      <c r="C11" s="89"/>
      <c r="D11" s="89"/>
      <c r="E11" s="89"/>
      <c r="F11" s="89"/>
      <c r="G11" s="89"/>
      <c r="H11" s="89"/>
      <c r="I11" s="89"/>
      <c r="J11" s="89"/>
      <c r="K11" s="89"/>
      <c r="L11" s="89"/>
      <c r="M11" s="89"/>
      <c r="N11" s="89"/>
      <c r="O11" s="89"/>
      <c r="P11" s="89"/>
      <c r="Q11" s="89"/>
      <c r="R11" s="89"/>
      <c r="S11" s="89"/>
      <c r="T11" s="89"/>
      <c r="U11" s="83"/>
    </row>
    <row r="13" spans="2:21" x14ac:dyDescent="0.35">
      <c r="B13" t="s">
        <v>16</v>
      </c>
    </row>
    <row r="15" spans="2:21" x14ac:dyDescent="0.35">
      <c r="B15" s="10" t="s">
        <v>17</v>
      </c>
    </row>
    <row r="16" spans="2:21" x14ac:dyDescent="0.35">
      <c r="B16" s="45"/>
      <c r="C16" s="58">
        <v>45292</v>
      </c>
      <c r="D16" s="58">
        <v>45323</v>
      </c>
      <c r="E16" s="59">
        <v>45352</v>
      </c>
      <c r="F16" s="60" t="s">
        <v>4</v>
      </c>
      <c r="G16" s="61">
        <v>45383</v>
      </c>
      <c r="H16" s="58">
        <v>45413</v>
      </c>
      <c r="I16" s="59">
        <v>45444</v>
      </c>
      <c r="J16" s="60" t="s">
        <v>5</v>
      </c>
      <c r="K16" s="61">
        <v>45474</v>
      </c>
      <c r="L16" s="58">
        <v>45505</v>
      </c>
      <c r="M16" s="59">
        <v>45536</v>
      </c>
      <c r="N16" s="60" t="s">
        <v>6</v>
      </c>
      <c r="O16" s="61">
        <v>45566</v>
      </c>
      <c r="P16" s="58">
        <v>45597</v>
      </c>
      <c r="Q16" s="59">
        <v>45627</v>
      </c>
      <c r="R16" s="62" t="s">
        <v>7</v>
      </c>
    </row>
    <row r="17" spans="2:29" x14ac:dyDescent="0.35">
      <c r="B17" s="56" t="s">
        <v>9</v>
      </c>
      <c r="C17" s="47">
        <f>'Wrk Paper 3 Rate Comps Sum. V2'!E67</f>
        <v>0.42097224</v>
      </c>
      <c r="D17" s="47">
        <f>'Wrk Paper 3 Rate Comps Sum. V2'!F67</f>
        <v>0.42097224</v>
      </c>
      <c r="E17" s="47">
        <f>'Wrk Paper 3 Rate Comps Sum. V2'!G67</f>
        <v>0.56780620000000004</v>
      </c>
      <c r="F17" s="48">
        <f>AVERAGE(C17:E17)</f>
        <v>0.46991689333333336</v>
      </c>
      <c r="G17" s="49"/>
      <c r="H17" s="50"/>
      <c r="I17" s="51"/>
      <c r="J17" s="44"/>
      <c r="K17" s="49"/>
      <c r="L17" s="50"/>
      <c r="M17" s="51"/>
      <c r="N17" s="44"/>
      <c r="O17" s="49"/>
      <c r="P17" s="50"/>
      <c r="Q17" s="51"/>
      <c r="R17" s="44"/>
      <c r="T17" s="183" t="s">
        <v>18</v>
      </c>
      <c r="U17" s="183"/>
      <c r="V17" s="183"/>
      <c r="W17" s="183"/>
      <c r="X17" s="183"/>
      <c r="Y17" s="183"/>
      <c r="Z17" s="183"/>
      <c r="AA17" s="183"/>
      <c r="AB17" s="183"/>
      <c r="AC17" s="183"/>
    </row>
    <row r="18" spans="2:29" x14ac:dyDescent="0.35">
      <c r="B18" s="39" t="s">
        <v>11</v>
      </c>
      <c r="C18" s="52">
        <v>0.35699999999999998</v>
      </c>
      <c r="D18" s="32">
        <v>0.35699999999999998</v>
      </c>
      <c r="E18" s="34">
        <v>0.35699999999999998</v>
      </c>
      <c r="F18" s="33">
        <f>AVERAGE(C18:E18)</f>
        <v>0.35699999999999998</v>
      </c>
      <c r="G18" s="35"/>
      <c r="H18" s="31"/>
      <c r="I18" s="38"/>
      <c r="J18" s="36"/>
      <c r="K18" s="35"/>
      <c r="L18" s="31"/>
      <c r="M18" s="38"/>
      <c r="N18" s="36"/>
      <c r="O18" s="35"/>
      <c r="P18" s="31"/>
      <c r="Q18" s="38"/>
      <c r="R18" s="36"/>
      <c r="T18" s="183"/>
      <c r="U18" s="183"/>
      <c r="V18" s="183"/>
      <c r="W18" s="183"/>
      <c r="X18" s="183"/>
      <c r="Y18" s="183"/>
      <c r="Z18" s="183"/>
      <c r="AA18" s="183"/>
      <c r="AB18" s="183"/>
      <c r="AC18" s="183"/>
    </row>
    <row r="19" spans="2:29" x14ac:dyDescent="0.35">
      <c r="B19" s="57" t="s">
        <v>13</v>
      </c>
      <c r="C19" s="53">
        <f>(C18-C17)/((C18+C17)/2)</f>
        <v>-0.1644589272234187</v>
      </c>
      <c r="D19" s="40">
        <f t="shared" ref="D19:F19" si="2">(D18-D17)/((D18+D17)/2)</f>
        <v>-0.1644589272234187</v>
      </c>
      <c r="E19" s="54">
        <f t="shared" si="2"/>
        <v>-0.45589270487157213</v>
      </c>
      <c r="F19" s="55">
        <f t="shared" si="2"/>
        <v>-0.27310336563124527</v>
      </c>
      <c r="G19" s="41"/>
      <c r="H19" s="42"/>
      <c r="I19" s="43"/>
      <c r="J19" s="37"/>
      <c r="K19" s="41"/>
      <c r="L19" s="42"/>
      <c r="M19" s="43"/>
      <c r="N19" s="37"/>
      <c r="O19" s="41"/>
      <c r="P19" s="42"/>
      <c r="Q19" s="43"/>
      <c r="R19" s="37"/>
      <c r="T19" s="183"/>
      <c r="U19" s="183"/>
      <c r="V19" s="183"/>
      <c r="W19" s="183"/>
      <c r="X19" s="183"/>
      <c r="Y19" s="183"/>
      <c r="Z19" s="183"/>
      <c r="AA19" s="183"/>
      <c r="AB19" s="183"/>
      <c r="AC19" s="183"/>
    </row>
    <row r="20" spans="2:29" x14ac:dyDescent="0.35">
      <c r="B20" s="46"/>
      <c r="F20" s="63"/>
      <c r="J20" s="64"/>
      <c r="N20" s="64"/>
      <c r="R20" s="64"/>
      <c r="T20" s="183"/>
      <c r="U20" s="183"/>
      <c r="V20" s="183"/>
      <c r="W20" s="183"/>
      <c r="X20" s="183"/>
      <c r="Y20" s="183"/>
      <c r="Z20" s="183"/>
      <c r="AA20" s="183"/>
      <c r="AB20" s="183"/>
      <c r="AC20" s="183"/>
    </row>
    <row r="21" spans="2:29" x14ac:dyDescent="0.35">
      <c r="B21" s="56" t="s">
        <v>14</v>
      </c>
      <c r="C21" s="47">
        <f>'Wrk Paper 3 Rate Comps Sum. V2'!E43</f>
        <v>0.30129092115440109</v>
      </c>
      <c r="D21" s="47">
        <f>'Wrk Paper 3 Rate Comps Sum. V2'!F43</f>
        <v>0.31795326101430982</v>
      </c>
      <c r="E21" s="47">
        <f>'Wrk Paper 3 Rate Comps Sum. V2'!G43</f>
        <v>0.32231645351430976</v>
      </c>
      <c r="F21" s="48">
        <f>AVERAGE(C21:E21)</f>
        <v>0.31385354522767356</v>
      </c>
      <c r="G21" s="49"/>
      <c r="H21" s="50"/>
      <c r="I21" s="51"/>
      <c r="J21" s="44"/>
      <c r="K21" s="49"/>
      <c r="L21" s="50"/>
      <c r="M21" s="51"/>
      <c r="N21" s="44"/>
      <c r="O21" s="49"/>
      <c r="P21" s="50"/>
      <c r="Q21" s="51"/>
      <c r="R21" s="44"/>
      <c r="T21" s="183"/>
      <c r="U21" s="183"/>
      <c r="V21" s="183"/>
      <c r="W21" s="183"/>
      <c r="X21" s="183"/>
      <c r="Y21" s="183"/>
      <c r="Z21" s="183"/>
      <c r="AA21" s="183"/>
      <c r="AB21" s="183"/>
      <c r="AC21" s="183"/>
    </row>
    <row r="22" spans="2:29" x14ac:dyDescent="0.35">
      <c r="B22" s="39" t="s">
        <v>11</v>
      </c>
      <c r="C22" s="52">
        <v>0.35699999999999998</v>
      </c>
      <c r="D22" s="32">
        <v>0.35699999999999998</v>
      </c>
      <c r="E22" s="34">
        <v>0.35699999999999998</v>
      </c>
      <c r="F22" s="33">
        <f>AVERAGE(C22:E22)</f>
        <v>0.35699999999999998</v>
      </c>
      <c r="G22" s="35"/>
      <c r="H22" s="31"/>
      <c r="I22" s="38"/>
      <c r="J22" s="36"/>
      <c r="K22" s="35"/>
      <c r="L22" s="31"/>
      <c r="M22" s="38"/>
      <c r="N22" s="36"/>
      <c r="O22" s="35"/>
      <c r="P22" s="31"/>
      <c r="Q22" s="38"/>
      <c r="R22" s="36"/>
      <c r="T22" s="183"/>
      <c r="U22" s="183"/>
      <c r="V22" s="183"/>
      <c r="W22" s="183"/>
      <c r="X22" s="183"/>
      <c r="Y22" s="183"/>
      <c r="Z22" s="183"/>
      <c r="AA22" s="183"/>
      <c r="AB22" s="183"/>
      <c r="AC22" s="183"/>
    </row>
    <row r="23" spans="2:29" x14ac:dyDescent="0.35">
      <c r="B23" s="57" t="s">
        <v>13</v>
      </c>
      <c r="C23" s="81">
        <f>(C22-C21)/((C22+C21)/2)</f>
        <v>0.16925367510129286</v>
      </c>
      <c r="D23" s="82">
        <f t="shared" ref="D23:F23" si="3">(D22-D21)/((D22+D21)/2)</f>
        <v>0.11570205298959901</v>
      </c>
      <c r="E23" s="54">
        <f t="shared" si="3"/>
        <v>0.10211307647933958</v>
      </c>
      <c r="F23" s="55">
        <f t="shared" si="3"/>
        <v>0.12863151750262697</v>
      </c>
      <c r="G23" s="41"/>
      <c r="H23" s="42"/>
      <c r="I23" s="43"/>
      <c r="J23" s="37"/>
      <c r="K23" s="41"/>
      <c r="L23" s="42"/>
      <c r="M23" s="43"/>
      <c r="N23" s="37"/>
      <c r="O23" s="41"/>
      <c r="P23" s="42"/>
      <c r="Q23" s="43"/>
      <c r="R23" s="37"/>
      <c r="T23" s="183"/>
      <c r="U23" s="183"/>
      <c r="V23" s="183"/>
      <c r="W23" s="183"/>
      <c r="X23" s="183"/>
      <c r="Y23" s="183"/>
      <c r="Z23" s="183"/>
      <c r="AA23" s="183"/>
      <c r="AB23" s="183"/>
      <c r="AC23" s="183"/>
    </row>
  </sheetData>
  <mergeCells count="1">
    <mergeCell ref="T17:AC23"/>
  </mergeCells>
  <pageMargins left="0.7" right="0.29218749999999999" top="0.75" bottom="0.75" header="0.3" footer="0.3"/>
  <pageSetup scale="50" orientation="landscape" horizontalDpi="1200" verticalDpi="1200" r:id="rId1"/>
  <headerFooter>
    <oddHeader>&amp;RIndianapolis Power and Light d/b/a AES Indiana
Cause No. 45843
First Quarterly Report Work Paper 1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view="pageLayout" zoomScale="40" zoomScaleNormal="100" zoomScalePageLayoutView="40" workbookViewId="0">
      <selection activeCell="D11" sqref="D11"/>
    </sheetView>
  </sheetViews>
  <sheetFormatPr defaultRowHeight="14.5" x14ac:dyDescent="0.35"/>
  <cols>
    <col min="2" max="3" width="42.81640625" customWidth="1"/>
    <col min="4" max="5" width="21.7265625" customWidth="1"/>
    <col min="6" max="6" width="21.7265625" hidden="1" customWidth="1"/>
    <col min="7" max="7" width="18.54296875" customWidth="1"/>
    <col min="8" max="8" width="18.54296875" hidden="1" customWidth="1"/>
    <col min="9" max="9" width="18.54296875" customWidth="1"/>
    <col min="10" max="10" width="18.54296875" hidden="1" customWidth="1"/>
  </cols>
  <sheetData>
    <row r="1" spans="2:10" x14ac:dyDescent="0.35">
      <c r="B1" s="65"/>
      <c r="C1" s="65"/>
      <c r="D1" s="65"/>
      <c r="E1" s="184"/>
      <c r="F1" s="184"/>
    </row>
    <row r="2" spans="2:10" x14ac:dyDescent="0.35">
      <c r="B2" s="184" t="s">
        <v>19</v>
      </c>
      <c r="C2" s="184"/>
      <c r="D2" s="184"/>
      <c r="E2" s="184"/>
      <c r="F2" s="184"/>
    </row>
    <row r="3" spans="2:10" x14ac:dyDescent="0.35">
      <c r="B3" s="184" t="s">
        <v>20</v>
      </c>
      <c r="C3" s="184"/>
      <c r="D3" s="184"/>
      <c r="E3" s="184"/>
      <c r="F3" s="184"/>
    </row>
    <row r="4" spans="2:10" x14ac:dyDescent="0.35">
      <c r="B4" s="182"/>
      <c r="C4" s="182"/>
      <c r="D4" s="182"/>
      <c r="E4" s="182"/>
      <c r="F4" s="182"/>
    </row>
    <row r="5" spans="2:10" s="14" customFormat="1" x14ac:dyDescent="0.35">
      <c r="B5" s="68" t="s">
        <v>21</v>
      </c>
      <c r="C5" s="68" t="s">
        <v>22</v>
      </c>
      <c r="D5" s="68" t="s">
        <v>23</v>
      </c>
      <c r="E5" s="69">
        <v>45292</v>
      </c>
      <c r="F5" s="68" t="s">
        <v>24</v>
      </c>
      <c r="G5" s="69">
        <v>45323</v>
      </c>
      <c r="H5" s="68" t="s">
        <v>24</v>
      </c>
      <c r="I5" s="69">
        <v>45352</v>
      </c>
      <c r="J5" s="68" t="s">
        <v>24</v>
      </c>
    </row>
    <row r="6" spans="2:10" x14ac:dyDescent="0.35">
      <c r="B6" s="182"/>
      <c r="C6" s="182"/>
      <c r="D6" s="182" t="s">
        <v>25</v>
      </c>
      <c r="E6" s="182" t="s">
        <v>25</v>
      </c>
      <c r="F6" s="182" t="s">
        <v>25</v>
      </c>
      <c r="G6" s="182" t="s">
        <v>25</v>
      </c>
      <c r="H6" s="182" t="s">
        <v>25</v>
      </c>
      <c r="I6" s="182" t="s">
        <v>25</v>
      </c>
      <c r="J6" s="182" t="s">
        <v>25</v>
      </c>
    </row>
    <row r="7" spans="2:10" x14ac:dyDescent="0.35">
      <c r="B7" s="72" t="s">
        <v>26</v>
      </c>
      <c r="C7" s="90" t="s">
        <v>27</v>
      </c>
      <c r="D7" s="67">
        <v>7.575757575757576E-2</v>
      </c>
      <c r="E7" s="67">
        <v>7.575757575757576E-2</v>
      </c>
      <c r="F7" s="67">
        <f>D7-E7</f>
        <v>0</v>
      </c>
      <c r="G7" s="67">
        <v>7.575757575757576E-2</v>
      </c>
      <c r="H7" s="29">
        <f t="shared" ref="H7:H15" si="0">G7-D7</f>
        <v>0</v>
      </c>
      <c r="I7" s="67">
        <v>7.575757575757576E-2</v>
      </c>
      <c r="J7" s="29">
        <f t="shared" ref="J7:J15" si="1">I7-D7</f>
        <v>0</v>
      </c>
    </row>
    <row r="8" spans="2:10" x14ac:dyDescent="0.35">
      <c r="B8" s="72" t="s">
        <v>28</v>
      </c>
      <c r="C8" s="90" t="s">
        <v>29</v>
      </c>
      <c r="D8" s="29">
        <v>1.1299999999999999</v>
      </c>
      <c r="E8" s="29">
        <v>1.1299999999999999</v>
      </c>
      <c r="F8" s="67">
        <f>D8-E8</f>
        <v>0</v>
      </c>
      <c r="G8" s="29">
        <v>1.1299999999999999</v>
      </c>
      <c r="H8" s="29">
        <f t="shared" si="0"/>
        <v>0</v>
      </c>
      <c r="I8" s="29">
        <v>1.1299999999999999</v>
      </c>
      <c r="J8" s="29">
        <f t="shared" si="1"/>
        <v>0</v>
      </c>
    </row>
    <row r="9" spans="2:10" x14ac:dyDescent="0.35">
      <c r="B9" s="72" t="s">
        <v>30</v>
      </c>
      <c r="C9" s="90" t="s">
        <v>31</v>
      </c>
      <c r="D9" s="67">
        <v>0.2857142857142857</v>
      </c>
      <c r="E9" s="67">
        <v>0.2857142857142857</v>
      </c>
      <c r="F9" s="67">
        <f>D9-E9</f>
        <v>0</v>
      </c>
      <c r="G9" s="29">
        <v>0.36923076923076925</v>
      </c>
      <c r="H9" s="29">
        <f t="shared" si="0"/>
        <v>8.3516483516483553E-2</v>
      </c>
      <c r="I9" s="29">
        <v>0.36923076923076925</v>
      </c>
      <c r="J9" s="29">
        <f t="shared" si="1"/>
        <v>8.3516483516483553E-2</v>
      </c>
    </row>
    <row r="10" spans="2:10" x14ac:dyDescent="0.35">
      <c r="B10" s="72" t="s">
        <v>32</v>
      </c>
      <c r="C10" s="90" t="s">
        <v>33</v>
      </c>
      <c r="D10" s="67">
        <v>1.21</v>
      </c>
      <c r="E10" s="67">
        <f>10/6.6+0.15</f>
        <v>1.665151515151515</v>
      </c>
      <c r="F10" s="67">
        <f t="shared" ref="F10:F11" si="2">D10-E10</f>
        <v>-0.45515151515151508</v>
      </c>
      <c r="G10" s="67">
        <f>10/6.6+0.15</f>
        <v>1.665151515151515</v>
      </c>
      <c r="H10" s="29">
        <f t="shared" si="0"/>
        <v>0.45515151515151508</v>
      </c>
      <c r="I10" s="67">
        <f>10/6.6+0.15</f>
        <v>1.665151515151515</v>
      </c>
      <c r="J10" s="29">
        <f t="shared" si="1"/>
        <v>0.45515151515151508</v>
      </c>
    </row>
    <row r="11" spans="2:10" x14ac:dyDescent="0.35">
      <c r="B11" s="72" t="s">
        <v>34</v>
      </c>
      <c r="C11" s="90" t="s">
        <v>35</v>
      </c>
      <c r="D11" s="67">
        <v>1.54</v>
      </c>
      <c r="E11" s="67">
        <v>1.54</v>
      </c>
      <c r="F11" s="67">
        <f t="shared" si="2"/>
        <v>0</v>
      </c>
      <c r="G11" s="67">
        <v>1.54</v>
      </c>
      <c r="H11" s="29">
        <f t="shared" si="0"/>
        <v>0</v>
      </c>
      <c r="I11" s="67">
        <v>1.54</v>
      </c>
      <c r="J11" s="29">
        <f t="shared" si="1"/>
        <v>0</v>
      </c>
    </row>
    <row r="12" spans="2:10" x14ac:dyDescent="0.35">
      <c r="B12" s="72" t="s">
        <v>36</v>
      </c>
      <c r="C12" s="90" t="s">
        <v>37</v>
      </c>
      <c r="D12" s="67">
        <v>0.36363636363636365</v>
      </c>
      <c r="E12" s="67">
        <v>0.36363636363636365</v>
      </c>
      <c r="F12" s="67">
        <f t="shared" ref="F12:F19" si="3">D12-E12</f>
        <v>0</v>
      </c>
      <c r="G12" s="29">
        <v>0.36923076923076925</v>
      </c>
      <c r="H12" s="29">
        <f t="shared" si="0"/>
        <v>5.5944055944056048E-3</v>
      </c>
      <c r="I12" s="29">
        <v>0.36923076923076925</v>
      </c>
      <c r="J12" s="29">
        <f t="shared" si="1"/>
        <v>5.5944055944056048E-3</v>
      </c>
    </row>
    <row r="13" spans="2:10" x14ac:dyDescent="0.35">
      <c r="B13" s="72" t="s">
        <v>38</v>
      </c>
      <c r="C13" s="90" t="s">
        <v>39</v>
      </c>
      <c r="D13" s="67">
        <v>0.4</v>
      </c>
      <c r="E13" s="67">
        <v>0.4</v>
      </c>
      <c r="F13" s="67">
        <f t="shared" si="3"/>
        <v>0</v>
      </c>
      <c r="G13" s="29">
        <v>0.37846153846153846</v>
      </c>
      <c r="H13" s="29">
        <f t="shared" si="0"/>
        <v>-2.1538461538461562E-2</v>
      </c>
      <c r="I13" s="29">
        <v>0.36923076923076925</v>
      </c>
      <c r="J13" s="29">
        <f t="shared" si="1"/>
        <v>-3.0769230769230771E-2</v>
      </c>
    </row>
    <row r="14" spans="2:10" x14ac:dyDescent="0.35">
      <c r="B14" s="72" t="s">
        <v>40</v>
      </c>
      <c r="C14" s="90" t="s">
        <v>41</v>
      </c>
      <c r="D14" s="67">
        <v>7.716049382716049E-2</v>
      </c>
      <c r="E14" s="67">
        <f>0.5/6.48</f>
        <v>7.716049382716049E-2</v>
      </c>
      <c r="F14" s="67">
        <f t="shared" si="3"/>
        <v>0</v>
      </c>
      <c r="G14" s="67">
        <f>0.5/6.48</f>
        <v>7.716049382716049E-2</v>
      </c>
      <c r="H14" s="29">
        <f t="shared" si="0"/>
        <v>0</v>
      </c>
      <c r="I14" s="67">
        <f>0.5/6.48</f>
        <v>7.716049382716049E-2</v>
      </c>
      <c r="J14" s="29">
        <f t="shared" si="1"/>
        <v>0</v>
      </c>
    </row>
    <row r="15" spans="2:10" x14ac:dyDescent="0.35">
      <c r="B15" s="72" t="s">
        <v>42</v>
      </c>
      <c r="C15" s="90" t="s">
        <v>43</v>
      </c>
      <c r="D15" s="67">
        <v>0.1929012345679012</v>
      </c>
      <c r="E15" s="67">
        <v>0.1929012345679012</v>
      </c>
      <c r="F15" s="67">
        <f t="shared" si="3"/>
        <v>0</v>
      </c>
      <c r="G15" s="29">
        <v>0.1929012345679012</v>
      </c>
      <c r="H15" s="29">
        <f t="shared" si="0"/>
        <v>0</v>
      </c>
      <c r="I15" s="29">
        <v>0.1929012345679012</v>
      </c>
      <c r="J15" s="29">
        <f t="shared" si="1"/>
        <v>0</v>
      </c>
    </row>
    <row r="16" spans="2:10" x14ac:dyDescent="0.35">
      <c r="B16" s="72" t="s">
        <v>44</v>
      </c>
      <c r="C16" s="91" t="s">
        <v>45</v>
      </c>
      <c r="D16" s="67">
        <v>1.5432098765432096</v>
      </c>
      <c r="E16" s="71" t="s">
        <v>46</v>
      </c>
      <c r="F16" s="67">
        <v>0</v>
      </c>
      <c r="G16" s="71" t="s">
        <v>46</v>
      </c>
      <c r="H16" s="29">
        <v>0</v>
      </c>
      <c r="I16" s="71" t="s">
        <v>46</v>
      </c>
      <c r="J16" s="71"/>
    </row>
    <row r="17" spans="1:10" x14ac:dyDescent="0.35">
      <c r="B17" s="72" t="s">
        <v>47</v>
      </c>
      <c r="C17" s="90" t="s">
        <v>48</v>
      </c>
      <c r="D17" s="67">
        <v>0.18181818181818182</v>
      </c>
      <c r="E17" s="67">
        <v>0.18181818181818182</v>
      </c>
      <c r="F17" s="67">
        <f t="shared" si="3"/>
        <v>0</v>
      </c>
      <c r="G17" s="29">
        <v>0.31550480769230771</v>
      </c>
      <c r="H17" s="29">
        <f>G17-D17</f>
        <v>0.13368662587412589</v>
      </c>
      <c r="I17" s="29">
        <v>0.34555288461538458</v>
      </c>
      <c r="J17" s="29">
        <f>I17-D17</f>
        <v>0.16373470279720276</v>
      </c>
    </row>
    <row r="18" spans="1:10" x14ac:dyDescent="0.35">
      <c r="B18" s="72" t="s">
        <v>49</v>
      </c>
      <c r="C18" s="90" t="s">
        <v>50</v>
      </c>
      <c r="D18" s="67">
        <v>0.37037037037037035</v>
      </c>
      <c r="E18" s="67">
        <v>0.37037037037037035</v>
      </c>
      <c r="F18" s="67">
        <f t="shared" si="3"/>
        <v>0</v>
      </c>
      <c r="G18" s="29">
        <v>0.36923076923076925</v>
      </c>
      <c r="H18" s="29">
        <f>G18-D18</f>
        <v>-1.1396011396010985E-3</v>
      </c>
      <c r="I18" s="29">
        <v>0.36923076923076925</v>
      </c>
      <c r="J18" s="29">
        <f>I18-D18</f>
        <v>-1.1396011396010985E-3</v>
      </c>
    </row>
    <row r="19" spans="1:10" x14ac:dyDescent="0.35">
      <c r="B19" s="72" t="s">
        <v>51</v>
      </c>
      <c r="C19" s="90" t="s">
        <v>52</v>
      </c>
      <c r="D19" s="67">
        <v>0.15432098765432098</v>
      </c>
      <c r="E19" s="67">
        <v>0.15432098765432098</v>
      </c>
      <c r="F19" s="67">
        <f t="shared" si="3"/>
        <v>0</v>
      </c>
      <c r="G19" s="29">
        <v>0.15384615384615383</v>
      </c>
      <c r="H19" s="29">
        <f>G19-D19</f>
        <v>-4.7483380816715215E-4</v>
      </c>
      <c r="I19" s="29">
        <v>0.15384615384615383</v>
      </c>
      <c r="J19" s="29">
        <f>I19-D19</f>
        <v>-4.7483380816715215E-4</v>
      </c>
    </row>
    <row r="20" spans="1:10" x14ac:dyDescent="0.35">
      <c r="B20" s="72" t="s">
        <v>53</v>
      </c>
      <c r="C20" s="92" t="s">
        <v>54</v>
      </c>
      <c r="D20" s="70" t="s">
        <v>55</v>
      </c>
      <c r="E20" s="29">
        <v>0.36363636363636365</v>
      </c>
      <c r="F20" s="67">
        <v>0</v>
      </c>
      <c r="G20" s="29">
        <v>0.36363636363636365</v>
      </c>
      <c r="H20" s="29">
        <f>G20-E20</f>
        <v>0</v>
      </c>
      <c r="I20" s="29">
        <v>0.36363636363636365</v>
      </c>
      <c r="J20" s="29">
        <f>E20-I20</f>
        <v>0</v>
      </c>
    </row>
    <row r="21" spans="1:10" x14ac:dyDescent="0.35">
      <c r="B21" s="72" t="s">
        <v>56</v>
      </c>
      <c r="C21" s="90" t="s">
        <v>57</v>
      </c>
      <c r="D21" s="70" t="s">
        <v>55</v>
      </c>
      <c r="E21" s="29">
        <v>0.24</v>
      </c>
      <c r="F21" s="67">
        <v>0</v>
      </c>
      <c r="G21" s="29">
        <v>0.24</v>
      </c>
      <c r="H21" s="29">
        <f t="shared" ref="H21:H25" si="4">G21-E21</f>
        <v>0</v>
      </c>
      <c r="I21" s="29">
        <v>0.24</v>
      </c>
      <c r="J21" s="29">
        <f t="shared" ref="J21:J24" si="5">E21-I21</f>
        <v>0</v>
      </c>
    </row>
    <row r="22" spans="1:10" x14ac:dyDescent="0.35">
      <c r="B22" s="72" t="s">
        <v>58</v>
      </c>
      <c r="C22" s="90" t="s">
        <v>59</v>
      </c>
      <c r="D22" s="70" t="s">
        <v>55</v>
      </c>
      <c r="E22" s="29">
        <v>0.2</v>
      </c>
      <c r="F22" s="67">
        <v>0</v>
      </c>
      <c r="G22" s="29">
        <v>0.2</v>
      </c>
      <c r="H22" s="29">
        <f t="shared" si="4"/>
        <v>0</v>
      </c>
      <c r="I22" s="29">
        <v>0.2</v>
      </c>
      <c r="J22" s="29">
        <f t="shared" si="5"/>
        <v>0</v>
      </c>
    </row>
    <row r="23" spans="1:10" x14ac:dyDescent="0.35">
      <c r="B23" s="72" t="s">
        <v>60</v>
      </c>
      <c r="C23" s="90" t="s">
        <v>61</v>
      </c>
      <c r="D23" s="70" t="s">
        <v>55</v>
      </c>
      <c r="E23" s="29">
        <v>0.3</v>
      </c>
      <c r="F23" s="67">
        <v>0</v>
      </c>
      <c r="G23" s="29">
        <v>0.3</v>
      </c>
      <c r="H23" s="29">
        <f t="shared" si="4"/>
        <v>0</v>
      </c>
      <c r="I23" s="29">
        <v>0.3</v>
      </c>
      <c r="J23" s="29">
        <f t="shared" si="5"/>
        <v>0</v>
      </c>
    </row>
    <row r="24" spans="1:10" x14ac:dyDescent="0.35">
      <c r="B24" s="72" t="s">
        <v>62</v>
      </c>
      <c r="C24" s="90" t="s">
        <v>63</v>
      </c>
      <c r="D24" s="70" t="s">
        <v>55</v>
      </c>
      <c r="E24" s="29">
        <v>0.2106060606060606</v>
      </c>
      <c r="F24" s="67">
        <v>0</v>
      </c>
      <c r="G24" s="29">
        <v>0.2106060606060606</v>
      </c>
      <c r="H24" s="29">
        <f t="shared" si="4"/>
        <v>0</v>
      </c>
      <c r="I24" s="29">
        <v>0.2106060606060606</v>
      </c>
      <c r="J24" s="29">
        <f t="shared" si="5"/>
        <v>0</v>
      </c>
    </row>
    <row r="25" spans="1:10" x14ac:dyDescent="0.35">
      <c r="B25" s="72" t="s">
        <v>64</v>
      </c>
      <c r="C25" s="90" t="s">
        <v>65</v>
      </c>
      <c r="D25" s="70" t="s">
        <v>55</v>
      </c>
      <c r="E25" s="29">
        <v>0.34699999999999998</v>
      </c>
      <c r="F25" s="67">
        <v>0</v>
      </c>
      <c r="G25" s="29">
        <v>0.34699999999999998</v>
      </c>
      <c r="H25" s="29">
        <f t="shared" si="4"/>
        <v>0</v>
      </c>
      <c r="I25" s="29">
        <v>0.37846153846153846</v>
      </c>
      <c r="J25" s="29">
        <f>E25-I25</f>
        <v>-3.1461538461538485E-2</v>
      </c>
    </row>
    <row r="26" spans="1:10" x14ac:dyDescent="0.35">
      <c r="D26" s="66"/>
      <c r="E26" s="66"/>
      <c r="F26" s="66"/>
      <c r="G26" s="29"/>
      <c r="H26" s="29"/>
      <c r="I26" s="29"/>
    </row>
    <row r="27" spans="1:10" x14ac:dyDescent="0.35">
      <c r="A27" s="86" t="s">
        <v>66</v>
      </c>
      <c r="B27" s="84" t="s">
        <v>67</v>
      </c>
      <c r="C27" s="84"/>
      <c r="D27" s="85">
        <f>AVERAGE(D7:D19)</f>
        <v>0.5788376438376438</v>
      </c>
      <c r="E27" s="85">
        <f>AVERAGE(E7:E26)</f>
        <v>0.44989296848556104</v>
      </c>
      <c r="F27" s="85">
        <f>AVERAGE(F7:F19)</f>
        <v>-3.5011655011655006E-2</v>
      </c>
      <c r="G27" s="85">
        <f>AVERAGE(G8:G25)</f>
        <v>0.4836447338518417</v>
      </c>
      <c r="H27" s="85">
        <f>AVERAGE(H9:H13,H15:H19)</f>
        <v>6.5479613365030026E-2</v>
      </c>
      <c r="I27" s="85">
        <f>AVERAGE(I8:I25)</f>
        <v>0.48671996009618573</v>
      </c>
      <c r="J27" s="85">
        <f>AVERAGE(J8:J24)</f>
        <v>4.2225840083913002E-2</v>
      </c>
    </row>
    <row r="28" spans="1:10" x14ac:dyDescent="0.35">
      <c r="A28" s="86" t="s">
        <v>68</v>
      </c>
      <c r="B28" s="87" t="s">
        <v>69</v>
      </c>
      <c r="C28" s="87"/>
      <c r="D28" s="67">
        <v>8.8999999999999996E-2</v>
      </c>
      <c r="E28" s="67">
        <v>8.8999999999999996E-2</v>
      </c>
      <c r="F28" s="67"/>
      <c r="G28" s="67">
        <v>8.8999999999999996E-2</v>
      </c>
      <c r="H28" s="67"/>
      <c r="I28" s="67">
        <v>8.8999999999999996E-2</v>
      </c>
      <c r="J28" s="67"/>
    </row>
    <row r="29" spans="1:10" x14ac:dyDescent="0.35">
      <c r="A29" s="86" t="s">
        <v>70</v>
      </c>
      <c r="B29" t="s">
        <v>71</v>
      </c>
      <c r="D29" s="67">
        <f>(D27+D28)/2</f>
        <v>0.33391882191882188</v>
      </c>
      <c r="E29" s="67">
        <f t="shared" ref="E29:I29" si="6">(E27+E28)/2</f>
        <v>0.2694464842427805</v>
      </c>
      <c r="F29" s="67">
        <f>E29-D29</f>
        <v>-6.447233767604138E-2</v>
      </c>
      <c r="G29" s="67">
        <f t="shared" si="6"/>
        <v>0.28632236692592083</v>
      </c>
      <c r="H29" s="67">
        <f>G29-D29</f>
        <v>-4.7596454992901049E-2</v>
      </c>
      <c r="I29" s="67">
        <f t="shared" si="6"/>
        <v>0.28785998004809288</v>
      </c>
      <c r="J29" s="67">
        <f>I29-D29</f>
        <v>-4.6058841870729006E-2</v>
      </c>
    </row>
    <row r="30" spans="1:10" x14ac:dyDescent="0.35">
      <c r="A30" s="86" t="s">
        <v>72</v>
      </c>
      <c r="B30" t="s">
        <v>73</v>
      </c>
      <c r="D30" s="67">
        <f>D27*0.014</f>
        <v>8.1037270137270141E-3</v>
      </c>
      <c r="E30" s="67">
        <f>E27*0.014</f>
        <v>6.298501558797855E-3</v>
      </c>
      <c r="F30" s="67"/>
      <c r="G30" s="67">
        <f t="shared" ref="G30:I30" si="7">G27*0.014</f>
        <v>6.7710262739257843E-3</v>
      </c>
      <c r="H30" s="67"/>
      <c r="I30" s="67">
        <f t="shared" si="7"/>
        <v>6.8140794413466006E-3</v>
      </c>
      <c r="J30" s="67"/>
    </row>
    <row r="31" spans="1:10" x14ac:dyDescent="0.35">
      <c r="A31" s="86" t="s">
        <v>74</v>
      </c>
      <c r="B31" t="s">
        <v>75</v>
      </c>
      <c r="D31" s="67">
        <f>D29+D30</f>
        <v>0.34202254893254891</v>
      </c>
      <c r="E31" s="67">
        <f t="shared" ref="E31:I31" si="8">E29+E30</f>
        <v>0.27574498580157836</v>
      </c>
      <c r="F31" s="67"/>
      <c r="G31" s="67">
        <f>G29+G30</f>
        <v>0.29309339319984662</v>
      </c>
      <c r="H31" s="67"/>
      <c r="I31" s="67">
        <f t="shared" si="8"/>
        <v>0.29467405948943948</v>
      </c>
      <c r="J31" s="67"/>
    </row>
    <row r="32" spans="1:10" x14ac:dyDescent="0.35">
      <c r="A32" s="86" t="s">
        <v>76</v>
      </c>
      <c r="B32" t="s">
        <v>77</v>
      </c>
      <c r="D32" s="67">
        <f>D31*0.07</f>
        <v>2.3941578425278425E-2</v>
      </c>
      <c r="E32" s="67">
        <f t="shared" ref="E32:I32" si="9">E31*0.07</f>
        <v>1.9302149006110488E-2</v>
      </c>
      <c r="F32" s="67"/>
      <c r="G32" s="67">
        <f t="shared" si="9"/>
        <v>2.0516537523989267E-2</v>
      </c>
      <c r="H32" s="67"/>
      <c r="I32" s="67">
        <f t="shared" si="9"/>
        <v>2.0627184164260765E-2</v>
      </c>
      <c r="J32" s="67"/>
    </row>
    <row r="33" spans="1:10" x14ac:dyDescent="0.35">
      <c r="A33" s="86" t="s">
        <v>78</v>
      </c>
      <c r="B33" t="s">
        <v>79</v>
      </c>
      <c r="D33" s="67">
        <f>SUM(D31:D32)</f>
        <v>0.36596412735782735</v>
      </c>
      <c r="E33" s="67">
        <f>SUM(E31:E32)</f>
        <v>0.29504713480768885</v>
      </c>
      <c r="F33" s="67">
        <f>E33-D33</f>
        <v>-7.0916992550138502E-2</v>
      </c>
      <c r="G33" s="67">
        <f t="shared" ref="G33:I33" si="10">SUM(G31:G32)</f>
        <v>0.31360993072383586</v>
      </c>
      <c r="H33" s="67">
        <f>G33-D33</f>
        <v>-5.235419663399149E-2</v>
      </c>
      <c r="I33" s="67">
        <f t="shared" si="10"/>
        <v>0.31530124365370027</v>
      </c>
      <c r="J33" s="67">
        <f>I33-D33</f>
        <v>-5.0662883704127082E-2</v>
      </c>
    </row>
    <row r="34" spans="1:10" x14ac:dyDescent="0.35">
      <c r="B34" s="65"/>
      <c r="C34" s="65"/>
      <c r="D34" s="65"/>
      <c r="E34" s="65"/>
      <c r="F34" s="65"/>
    </row>
    <row r="35" spans="1:10" x14ac:dyDescent="0.35">
      <c r="B35" s="182"/>
      <c r="C35" s="182"/>
      <c r="D35" s="182"/>
      <c r="E35" s="65"/>
      <c r="F35" s="65"/>
    </row>
    <row r="36" spans="1:10" x14ac:dyDescent="0.35">
      <c r="B36" s="65"/>
      <c r="C36" s="65"/>
      <c r="D36" s="65"/>
      <c r="E36" s="65"/>
      <c r="F36" s="65"/>
    </row>
    <row r="37" spans="1:10" x14ac:dyDescent="0.35">
      <c r="B37" s="182"/>
      <c r="C37" s="182"/>
    </row>
    <row r="38" spans="1:10" x14ac:dyDescent="0.35">
      <c r="B38" s="184" t="s">
        <v>80</v>
      </c>
      <c r="C38" s="184"/>
      <c r="D38" s="184"/>
      <c r="E38" s="184"/>
      <c r="F38" s="184"/>
    </row>
    <row r="39" spans="1:10" x14ac:dyDescent="0.35">
      <c r="B39" s="184" t="s">
        <v>20</v>
      </c>
      <c r="C39" s="184"/>
      <c r="D39" s="184"/>
      <c r="E39" s="184"/>
      <c r="F39" s="184"/>
    </row>
    <row r="40" spans="1:10" x14ac:dyDescent="0.35">
      <c r="B40" s="182"/>
      <c r="C40" s="182"/>
      <c r="D40" s="182"/>
      <c r="E40" s="182"/>
      <c r="F40" s="182"/>
    </row>
    <row r="41" spans="1:10" x14ac:dyDescent="0.35">
      <c r="B41" s="68" t="s">
        <v>21</v>
      </c>
      <c r="C41" s="68" t="s">
        <v>22</v>
      </c>
      <c r="D41" s="68" t="s">
        <v>81</v>
      </c>
      <c r="E41" s="69">
        <v>45292</v>
      </c>
      <c r="F41" s="68" t="s">
        <v>24</v>
      </c>
      <c r="G41" s="69">
        <v>45323</v>
      </c>
      <c r="H41" s="68" t="s">
        <v>24</v>
      </c>
      <c r="I41" s="69">
        <v>45352</v>
      </c>
      <c r="J41" s="68" t="s">
        <v>24</v>
      </c>
    </row>
    <row r="42" spans="1:10" x14ac:dyDescent="0.35">
      <c r="B42" s="182"/>
      <c r="C42" s="182"/>
      <c r="D42" s="182" t="s">
        <v>25</v>
      </c>
      <c r="E42" s="182" t="s">
        <v>25</v>
      </c>
      <c r="F42" s="182" t="s">
        <v>25</v>
      </c>
      <c r="G42" s="182" t="s">
        <v>25</v>
      </c>
      <c r="H42" s="182" t="s">
        <v>25</v>
      </c>
      <c r="I42" s="182" t="s">
        <v>25</v>
      </c>
      <c r="J42" s="182" t="s">
        <v>25</v>
      </c>
    </row>
    <row r="43" spans="1:10" x14ac:dyDescent="0.35">
      <c r="B43" s="72" t="s">
        <v>47</v>
      </c>
      <c r="C43" s="90" t="s">
        <v>82</v>
      </c>
      <c r="D43" s="1">
        <v>0.36</v>
      </c>
      <c r="E43" s="1">
        <v>0.36</v>
      </c>
      <c r="F43" s="67">
        <f>D43-E43</f>
        <v>0</v>
      </c>
      <c r="G43" s="1">
        <v>0.36</v>
      </c>
      <c r="H43" s="29">
        <f t="shared" ref="H43:H48" si="11">G43-D43</f>
        <v>0</v>
      </c>
      <c r="I43" s="73">
        <v>0.52</v>
      </c>
      <c r="J43" s="29">
        <f>I43-D43</f>
        <v>0.16000000000000003</v>
      </c>
    </row>
    <row r="44" spans="1:10" x14ac:dyDescent="0.35">
      <c r="B44" s="72" t="s">
        <v>83</v>
      </c>
      <c r="C44" s="90" t="s">
        <v>84</v>
      </c>
      <c r="D44" s="1">
        <v>0.43</v>
      </c>
      <c r="E44" s="1">
        <v>0.43</v>
      </c>
      <c r="F44" s="67">
        <f t="shared" ref="F44:F48" si="12">D44-E44</f>
        <v>0</v>
      </c>
      <c r="G44" s="1">
        <v>0.43</v>
      </c>
      <c r="H44" s="29">
        <f t="shared" si="11"/>
        <v>0</v>
      </c>
      <c r="I44" s="73">
        <v>0.56000000000000005</v>
      </c>
      <c r="J44" s="29">
        <f>I44-D44</f>
        <v>0.13000000000000006</v>
      </c>
    </row>
    <row r="45" spans="1:10" x14ac:dyDescent="0.35">
      <c r="B45" s="72" t="s">
        <v>85</v>
      </c>
      <c r="C45" s="90" t="s">
        <v>86</v>
      </c>
      <c r="D45" s="1">
        <v>0.43</v>
      </c>
      <c r="E45" s="1">
        <v>0.43</v>
      </c>
      <c r="F45" s="67">
        <f t="shared" si="12"/>
        <v>0</v>
      </c>
      <c r="G45" s="1">
        <v>0.43</v>
      </c>
      <c r="H45" s="29">
        <f t="shared" si="11"/>
        <v>0</v>
      </c>
      <c r="I45" s="73">
        <v>0.56000000000000005</v>
      </c>
      <c r="J45" s="29">
        <f>I45-D45</f>
        <v>0.13000000000000006</v>
      </c>
    </row>
    <row r="46" spans="1:10" x14ac:dyDescent="0.35">
      <c r="B46" s="72" t="s">
        <v>87</v>
      </c>
      <c r="C46" s="90" t="s">
        <v>88</v>
      </c>
      <c r="D46" s="1">
        <v>0.36</v>
      </c>
      <c r="E46" s="1">
        <v>0.36</v>
      </c>
      <c r="F46" s="67">
        <f t="shared" si="12"/>
        <v>0</v>
      </c>
      <c r="G46" s="1">
        <v>0.36</v>
      </c>
      <c r="H46" s="29">
        <f t="shared" si="11"/>
        <v>0</v>
      </c>
      <c r="I46" s="73">
        <v>0.52</v>
      </c>
      <c r="J46" s="29">
        <f>I46-D46</f>
        <v>0.16000000000000003</v>
      </c>
    </row>
    <row r="47" spans="1:10" x14ac:dyDescent="0.35">
      <c r="B47" s="72" t="s">
        <v>89</v>
      </c>
      <c r="C47" s="90" t="s">
        <v>90</v>
      </c>
      <c r="D47" s="1">
        <v>0.06</v>
      </c>
      <c r="E47" s="1">
        <v>0.06</v>
      </c>
      <c r="F47" s="67">
        <f t="shared" si="12"/>
        <v>0</v>
      </c>
      <c r="G47" s="1">
        <v>0.06</v>
      </c>
      <c r="H47" s="29">
        <f t="shared" si="11"/>
        <v>0</v>
      </c>
      <c r="I47" s="71" t="s">
        <v>46</v>
      </c>
      <c r="J47" s="71" t="s">
        <v>46</v>
      </c>
    </row>
    <row r="48" spans="1:10" x14ac:dyDescent="0.35">
      <c r="B48" s="72" t="s">
        <v>91</v>
      </c>
      <c r="C48" s="90" t="s">
        <v>92</v>
      </c>
      <c r="D48" s="1">
        <v>0.36</v>
      </c>
      <c r="E48" s="1">
        <v>0.36</v>
      </c>
      <c r="F48" s="67">
        <f t="shared" si="12"/>
        <v>0</v>
      </c>
      <c r="G48" s="1">
        <v>0.36</v>
      </c>
      <c r="H48" s="29">
        <f t="shared" si="11"/>
        <v>0</v>
      </c>
      <c r="I48" s="73">
        <v>0.52</v>
      </c>
      <c r="J48" s="29">
        <f>I48-D48</f>
        <v>0.16000000000000003</v>
      </c>
    </row>
    <row r="49" spans="2:10" x14ac:dyDescent="0.35">
      <c r="B49" s="74" t="s">
        <v>83</v>
      </c>
      <c r="C49" s="90" t="s">
        <v>93</v>
      </c>
      <c r="D49" s="70" t="s">
        <v>55</v>
      </c>
      <c r="E49" s="66"/>
      <c r="F49" s="66"/>
      <c r="G49" s="29"/>
      <c r="H49" s="29"/>
      <c r="I49" s="73">
        <v>0.46</v>
      </c>
      <c r="J49" s="70" t="s">
        <v>55</v>
      </c>
    </row>
    <row r="50" spans="2:10" x14ac:dyDescent="0.35">
      <c r="D50" s="66"/>
      <c r="E50" s="66"/>
      <c r="F50" s="66"/>
      <c r="G50" s="29"/>
      <c r="H50" s="29"/>
      <c r="I50" s="73"/>
      <c r="J50" s="70"/>
    </row>
    <row r="51" spans="2:10" x14ac:dyDescent="0.35">
      <c r="B51" s="65" t="s">
        <v>67</v>
      </c>
      <c r="C51" s="65"/>
      <c r="D51" s="67">
        <f>AVERAGE(D43:D48)</f>
        <v>0.33333333333333331</v>
      </c>
      <c r="E51" s="67">
        <f>AVERAGE(E43:E49)</f>
        <v>0.33333333333333331</v>
      </c>
      <c r="F51" s="67">
        <f>AVERAGE(F43:F48)</f>
        <v>0</v>
      </c>
      <c r="G51" s="67">
        <f>AVERAGE(G43:G48)</f>
        <v>0.33333333333333331</v>
      </c>
      <c r="H51" s="67">
        <f>AVERAGE(H44:H46,H48:H48)</f>
        <v>0</v>
      </c>
      <c r="I51" s="67">
        <f>AVERAGE(I43:I48)</f>
        <v>0.53600000000000003</v>
      </c>
      <c r="J51" s="67">
        <f>AVERAGE(J43:J48)</f>
        <v>0.14800000000000005</v>
      </c>
    </row>
    <row r="52" spans="2:10" x14ac:dyDescent="0.35">
      <c r="B52" t="s">
        <v>73</v>
      </c>
      <c r="D52" s="67">
        <f>D51*0.014</f>
        <v>4.6666666666666662E-3</v>
      </c>
      <c r="E52" s="67">
        <f>E51*0.014</f>
        <v>4.6666666666666662E-3</v>
      </c>
      <c r="F52" s="67"/>
      <c r="G52" s="67">
        <f t="shared" ref="G52" si="13">G51*0.014</f>
        <v>4.6666666666666662E-3</v>
      </c>
      <c r="H52" s="67"/>
      <c r="I52" s="67">
        <f t="shared" ref="I52" si="14">I51*0.014</f>
        <v>7.5040000000000003E-3</v>
      </c>
      <c r="J52" s="67"/>
    </row>
    <row r="53" spans="2:10" x14ac:dyDescent="0.35">
      <c r="B53" t="s">
        <v>94</v>
      </c>
      <c r="D53" s="67">
        <f>D51+D52</f>
        <v>0.33799999999999997</v>
      </c>
      <c r="E53" s="67">
        <f t="shared" ref="E53" si="15">E51+E52</f>
        <v>0.33799999999999997</v>
      </c>
      <c r="F53" s="67"/>
      <c r="G53" s="67">
        <f t="shared" ref="G53" si="16">G51+G52</f>
        <v>0.33799999999999997</v>
      </c>
      <c r="H53" s="67"/>
      <c r="I53" s="67">
        <f t="shared" ref="I53" si="17">I51+I52</f>
        <v>0.54350399999999999</v>
      </c>
      <c r="J53" s="67"/>
    </row>
    <row r="54" spans="2:10" x14ac:dyDescent="0.35">
      <c r="B54" t="s">
        <v>77</v>
      </c>
      <c r="D54" s="67">
        <f>D53*0.07</f>
        <v>2.366E-2</v>
      </c>
      <c r="E54" s="67">
        <f t="shared" ref="E54" si="18">E53*0.07</f>
        <v>2.366E-2</v>
      </c>
      <c r="F54" s="67"/>
      <c r="G54" s="67">
        <f t="shared" ref="G54" si="19">G53*0.07</f>
        <v>2.366E-2</v>
      </c>
      <c r="H54" s="67"/>
      <c r="I54" s="67">
        <f t="shared" ref="I54" si="20">I53*0.07</f>
        <v>3.8045280000000001E-2</v>
      </c>
      <c r="J54" s="67"/>
    </row>
    <row r="55" spans="2:10" x14ac:dyDescent="0.35">
      <c r="B55" t="s">
        <v>95</v>
      </c>
      <c r="D55" s="67">
        <f>SUM(D53:D54)</f>
        <v>0.36165999999999998</v>
      </c>
      <c r="E55" s="67">
        <f>SUM(E53:E54)</f>
        <v>0.36165999999999998</v>
      </c>
      <c r="F55" s="67">
        <f>E55-D55</f>
        <v>0</v>
      </c>
      <c r="G55" s="67">
        <f t="shared" ref="G55" si="21">SUM(G53:G54)</f>
        <v>0.36165999999999998</v>
      </c>
      <c r="H55" s="67">
        <f>G55-D55</f>
        <v>0</v>
      </c>
      <c r="I55" s="67">
        <f t="shared" ref="I55" si="22">SUM(I53:I54)</f>
        <v>0.58154927999999995</v>
      </c>
      <c r="J55" s="67">
        <f>I55-D55</f>
        <v>0.21988927999999996</v>
      </c>
    </row>
    <row r="56" spans="2:10" x14ac:dyDescent="0.35">
      <c r="B56" s="65"/>
      <c r="C56" s="65"/>
      <c r="D56" s="65"/>
      <c r="E56" s="65"/>
      <c r="F56" s="65"/>
    </row>
    <row r="59" spans="2:10" x14ac:dyDescent="0.35">
      <c r="B59" t="s">
        <v>96</v>
      </c>
    </row>
  </sheetData>
  <mergeCells count="5">
    <mergeCell ref="E1:F1"/>
    <mergeCell ref="B2:F2"/>
    <mergeCell ref="B3:F3"/>
    <mergeCell ref="B38:F38"/>
    <mergeCell ref="B39:F39"/>
  </mergeCells>
  <pageMargins left="0.7" right="0.7" top="0.75" bottom="0.75" header="0.3" footer="0.3"/>
  <pageSetup scale="70" fitToHeight="2" orientation="landscape" horizontalDpi="1200" verticalDpi="1200" r:id="rId1"/>
  <headerFooter>
    <oddHeader>&amp;RIndianapolis Power and Light d/b/a AES Indiana
Cause No. 45843
First Quarterly Report Work Paper 2
Page &amp;P of &amp;N</oddHeader>
  </headerFooter>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8"/>
  <sheetViews>
    <sheetView showGridLines="0" view="pageLayout" zoomScale="25" zoomScaleNormal="100" zoomScalePageLayoutView="25" workbookViewId="0">
      <selection activeCell="B47" sqref="B47"/>
    </sheetView>
  </sheetViews>
  <sheetFormatPr defaultRowHeight="14.5" x14ac:dyDescent="0.35"/>
  <cols>
    <col min="2" max="3" width="42.81640625" customWidth="1"/>
    <col min="4" max="4" width="21.7265625" customWidth="1"/>
    <col min="5" max="7" width="18.26953125" customWidth="1"/>
    <col min="8" max="16" width="18.26953125" hidden="1" customWidth="1"/>
  </cols>
  <sheetData>
    <row r="1" spans="2:16" ht="30.65" customHeight="1" x14ac:dyDescent="0.35">
      <c r="B1" s="95" t="s">
        <v>97</v>
      </c>
      <c r="C1" s="96"/>
      <c r="D1" s="96"/>
      <c r="E1" s="96"/>
      <c r="F1" s="96"/>
      <c r="G1" s="97"/>
    </row>
    <row r="2" spans="2:16" ht="36.75" customHeight="1" x14ac:dyDescent="0.35">
      <c r="B2" s="94">
        <v>1</v>
      </c>
      <c r="C2" s="185" t="s">
        <v>98</v>
      </c>
      <c r="D2" s="185"/>
      <c r="E2" s="185"/>
      <c r="F2" s="185"/>
      <c r="G2" s="185"/>
    </row>
    <row r="3" spans="2:16" ht="36.75" customHeight="1" x14ac:dyDescent="0.35">
      <c r="B3" s="93">
        <v>2</v>
      </c>
      <c r="C3" s="186" t="s">
        <v>99</v>
      </c>
      <c r="D3" s="186"/>
      <c r="E3" s="186"/>
      <c r="F3" s="186"/>
      <c r="G3" s="186"/>
    </row>
    <row r="4" spans="2:16" ht="36.75" customHeight="1" x14ac:dyDescent="0.35">
      <c r="B4" s="181">
        <v>3</v>
      </c>
      <c r="C4" s="187" t="s">
        <v>100</v>
      </c>
      <c r="D4" s="187"/>
      <c r="E4" s="187"/>
      <c r="F4" s="187"/>
      <c r="G4" s="187"/>
    </row>
    <row r="5" spans="2:16" ht="36.75" customHeight="1" x14ac:dyDescent="0.35">
      <c r="B5" s="180"/>
      <c r="C5" s="180"/>
      <c r="D5" s="180"/>
      <c r="E5" s="180"/>
      <c r="F5" s="180"/>
      <c r="G5" s="180"/>
    </row>
    <row r="6" spans="2:16" x14ac:dyDescent="0.35">
      <c r="B6" s="184" t="s">
        <v>19</v>
      </c>
      <c r="C6" s="184"/>
      <c r="D6" s="184"/>
      <c r="E6" s="184"/>
    </row>
    <row r="7" spans="2:16" x14ac:dyDescent="0.35">
      <c r="B7" s="184" t="s">
        <v>20</v>
      </c>
      <c r="C7" s="184"/>
      <c r="D7" s="184"/>
      <c r="E7" s="184"/>
    </row>
    <row r="8" spans="2:16" x14ac:dyDescent="0.35">
      <c r="B8" s="182"/>
      <c r="C8" s="182"/>
      <c r="D8" s="182"/>
      <c r="E8" s="182"/>
    </row>
    <row r="9" spans="2:16" s="14" customFormat="1" x14ac:dyDescent="0.35">
      <c r="B9" s="98" t="s">
        <v>21</v>
      </c>
      <c r="C9" s="99"/>
      <c r="D9" s="123" t="s">
        <v>23</v>
      </c>
      <c r="E9" s="133">
        <v>45292</v>
      </c>
      <c r="F9" s="119">
        <v>45323</v>
      </c>
      <c r="G9" s="109">
        <v>45352</v>
      </c>
      <c r="H9" s="160">
        <v>45383</v>
      </c>
      <c r="I9" s="69">
        <v>45413</v>
      </c>
      <c r="J9" s="69">
        <v>45444</v>
      </c>
      <c r="K9" s="69">
        <v>45474</v>
      </c>
      <c r="L9" s="69">
        <v>45505</v>
      </c>
      <c r="M9" s="69">
        <v>45536</v>
      </c>
      <c r="N9" s="69">
        <v>45566</v>
      </c>
      <c r="O9" s="69">
        <v>45597</v>
      </c>
      <c r="P9" s="69">
        <v>45627</v>
      </c>
    </row>
    <row r="10" spans="2:16" x14ac:dyDescent="0.35">
      <c r="B10" s="100"/>
      <c r="C10" s="182"/>
      <c r="D10" s="124" t="s">
        <v>25</v>
      </c>
      <c r="E10" s="134" t="s">
        <v>25</v>
      </c>
      <c r="F10" s="112" t="s">
        <v>25</v>
      </c>
      <c r="G10" s="159" t="s">
        <v>25</v>
      </c>
      <c r="H10" s="161"/>
    </row>
    <row r="11" spans="2:16" x14ac:dyDescent="0.35">
      <c r="B11" s="157" t="s">
        <v>26</v>
      </c>
      <c r="C11" s="90" t="s">
        <v>27</v>
      </c>
      <c r="D11" s="125">
        <v>7.575757575757576E-2</v>
      </c>
      <c r="E11" s="135">
        <v>7.575757575757576E-2</v>
      </c>
      <c r="F11" s="113">
        <v>7.575757575757576E-2</v>
      </c>
      <c r="G11" s="104">
        <v>7.575757575757576E-2</v>
      </c>
      <c r="H11" s="173">
        <v>7.575757575757576E-2</v>
      </c>
    </row>
    <row r="12" spans="2:16" x14ac:dyDescent="0.35">
      <c r="B12" s="157" t="s">
        <v>28</v>
      </c>
      <c r="C12" s="90" t="s">
        <v>29</v>
      </c>
      <c r="D12" s="126">
        <v>1.1299999999999999</v>
      </c>
      <c r="E12" s="136">
        <v>1.1299999999999999</v>
      </c>
      <c r="F12" s="114">
        <v>1.1299999999999999</v>
      </c>
      <c r="G12" s="105">
        <v>1.1299999999999999</v>
      </c>
      <c r="H12" s="174">
        <v>1.1299999999999999</v>
      </c>
    </row>
    <row r="13" spans="2:16" x14ac:dyDescent="0.35">
      <c r="B13" s="157" t="s">
        <v>30</v>
      </c>
      <c r="C13" s="90" t="s">
        <v>31</v>
      </c>
      <c r="D13" s="127">
        <v>0.2857142857142857</v>
      </c>
      <c r="E13" s="67">
        <v>0.2857142857142857</v>
      </c>
      <c r="F13" s="121">
        <v>0.36923076923076925</v>
      </c>
      <c r="G13" s="111">
        <v>0.36923076923076925</v>
      </c>
      <c r="H13" s="175">
        <f>2.4/6.5</f>
        <v>0.3692307692307692</v>
      </c>
    </row>
    <row r="14" spans="2:16" x14ac:dyDescent="0.35">
      <c r="B14" s="157" t="s">
        <v>32</v>
      </c>
      <c r="C14" s="90" t="s">
        <v>33</v>
      </c>
      <c r="D14" s="128">
        <v>1.21</v>
      </c>
      <c r="E14" s="137">
        <f>10/6.6+0.15</f>
        <v>1.665151515151515</v>
      </c>
      <c r="F14" s="116">
        <f>10/6.6+0.15</f>
        <v>1.665151515151515</v>
      </c>
      <c r="G14" s="107">
        <f>10/6.6+0.15</f>
        <v>1.665151515151515</v>
      </c>
      <c r="H14" s="176">
        <f>10/6.6+0.15</f>
        <v>1.665151515151515</v>
      </c>
    </row>
    <row r="15" spans="2:16" x14ac:dyDescent="0.35">
      <c r="B15" s="157" t="s">
        <v>34</v>
      </c>
      <c r="C15" s="90" t="s">
        <v>35</v>
      </c>
      <c r="D15" s="128">
        <v>1.54</v>
      </c>
      <c r="E15" s="137">
        <v>1.54</v>
      </c>
      <c r="F15" s="116">
        <v>1.54</v>
      </c>
      <c r="G15" s="107">
        <v>1.54</v>
      </c>
      <c r="H15" s="176">
        <v>1.54</v>
      </c>
    </row>
    <row r="16" spans="2:16" x14ac:dyDescent="0.35">
      <c r="B16" s="157" t="s">
        <v>36</v>
      </c>
      <c r="C16" s="90" t="s">
        <v>37</v>
      </c>
      <c r="D16" s="127">
        <v>0.36363636363636365</v>
      </c>
      <c r="E16" s="67">
        <v>0.36363636363636365</v>
      </c>
      <c r="F16" s="121">
        <v>0.36923076923076925</v>
      </c>
      <c r="G16" s="111">
        <v>0.36923076923076925</v>
      </c>
      <c r="H16" s="175">
        <v>0.36923076923076925</v>
      </c>
    </row>
    <row r="17" spans="2:8" x14ac:dyDescent="0.35">
      <c r="B17" s="157" t="s">
        <v>38</v>
      </c>
      <c r="C17" s="90" t="s">
        <v>39</v>
      </c>
      <c r="D17" s="127">
        <v>0.4</v>
      </c>
      <c r="E17" s="67">
        <v>0.4</v>
      </c>
      <c r="F17" s="121">
        <v>0.37846153846153846</v>
      </c>
      <c r="G17" s="111">
        <v>0.36923076923076925</v>
      </c>
      <c r="H17" s="175">
        <v>0.4</v>
      </c>
    </row>
    <row r="18" spans="2:8" x14ac:dyDescent="0.35">
      <c r="B18" s="157" t="s">
        <v>40</v>
      </c>
      <c r="C18" s="90" t="s">
        <v>41</v>
      </c>
      <c r="D18" s="125">
        <v>7.716049382716049E-2</v>
      </c>
      <c r="E18" s="135">
        <f>0.5/6.48</f>
        <v>7.716049382716049E-2</v>
      </c>
      <c r="F18" s="113">
        <f>0.5/6.48</f>
        <v>7.716049382716049E-2</v>
      </c>
      <c r="G18" s="104">
        <f>0.5/6.48</f>
        <v>7.716049382716049E-2</v>
      </c>
      <c r="H18" s="173">
        <f>0.5/6.48</f>
        <v>7.716049382716049E-2</v>
      </c>
    </row>
    <row r="19" spans="2:8" x14ac:dyDescent="0.35">
      <c r="B19" s="157" t="s">
        <v>42</v>
      </c>
      <c r="C19" s="90" t="s">
        <v>43</v>
      </c>
      <c r="D19" s="127">
        <v>0.1929012345679012</v>
      </c>
      <c r="E19" s="67">
        <v>0.1929012345679012</v>
      </c>
      <c r="F19" s="121">
        <v>0.1929012345679012</v>
      </c>
      <c r="G19" s="111">
        <v>0.1929012345679012</v>
      </c>
      <c r="H19" s="175">
        <f>1.25/6.5</f>
        <v>0.19230769230769232</v>
      </c>
    </row>
    <row r="20" spans="2:8" x14ac:dyDescent="0.35">
      <c r="B20" s="157" t="s">
        <v>44</v>
      </c>
      <c r="C20" s="91" t="s">
        <v>45</v>
      </c>
      <c r="D20" s="128">
        <v>1.5432098765432096</v>
      </c>
      <c r="E20" s="138" t="s">
        <v>46</v>
      </c>
      <c r="F20" s="120" t="s">
        <v>46</v>
      </c>
      <c r="G20" s="110" t="s">
        <v>46</v>
      </c>
      <c r="H20" s="177" t="s">
        <v>46</v>
      </c>
    </row>
    <row r="21" spans="2:8" x14ac:dyDescent="0.35">
      <c r="B21" s="157" t="s">
        <v>47</v>
      </c>
      <c r="C21" s="90" t="s">
        <v>48</v>
      </c>
      <c r="D21" s="127">
        <v>0.18181818181818182</v>
      </c>
      <c r="E21" s="67">
        <v>0.18181818181818182</v>
      </c>
      <c r="F21" s="121">
        <v>0.31550480769230771</v>
      </c>
      <c r="G21" s="122">
        <v>0.34555288461538458</v>
      </c>
      <c r="H21" s="178">
        <v>0.34555288461538458</v>
      </c>
    </row>
    <row r="22" spans="2:8" x14ac:dyDescent="0.35">
      <c r="B22" s="157" t="s">
        <v>49</v>
      </c>
      <c r="C22" s="90" t="s">
        <v>50</v>
      </c>
      <c r="D22" s="127">
        <v>0.37037037037037035</v>
      </c>
      <c r="E22" s="67">
        <v>0.37037037037037035</v>
      </c>
      <c r="F22" s="121">
        <v>0.36923076923076925</v>
      </c>
      <c r="G22" s="111">
        <v>0.36923076923076925</v>
      </c>
      <c r="H22" s="175">
        <v>0.36923076923076925</v>
      </c>
    </row>
    <row r="23" spans="2:8" x14ac:dyDescent="0.35">
      <c r="B23" s="157" t="s">
        <v>51</v>
      </c>
      <c r="C23" s="90" t="s">
        <v>52</v>
      </c>
      <c r="D23" s="127">
        <v>0.15432098765432098</v>
      </c>
      <c r="E23" s="67">
        <v>0.15432098765432098</v>
      </c>
      <c r="F23" s="121">
        <v>0.15384615384615383</v>
      </c>
      <c r="G23" s="111">
        <v>0.15384615384615383</v>
      </c>
      <c r="H23" s="175">
        <v>0.15384615384615383</v>
      </c>
    </row>
    <row r="24" spans="2:8" x14ac:dyDescent="0.35">
      <c r="B24" s="157" t="s">
        <v>53</v>
      </c>
      <c r="C24" s="92" t="s">
        <v>54</v>
      </c>
      <c r="D24" s="129" t="s">
        <v>55</v>
      </c>
      <c r="E24" s="29">
        <v>0.36363636363636365</v>
      </c>
      <c r="F24" s="121">
        <v>0.36363636363636365</v>
      </c>
      <c r="G24" s="111">
        <v>0.36363636363636365</v>
      </c>
      <c r="H24" s="175">
        <f>2.4/6.5</f>
        <v>0.3692307692307692</v>
      </c>
    </row>
    <row r="25" spans="2:8" x14ac:dyDescent="0.35">
      <c r="B25" s="157" t="s">
        <v>56</v>
      </c>
      <c r="C25" s="90" t="s">
        <v>57</v>
      </c>
      <c r="D25" s="129" t="s">
        <v>55</v>
      </c>
      <c r="E25" s="29">
        <v>0.24</v>
      </c>
      <c r="F25" s="121">
        <v>0.24</v>
      </c>
      <c r="G25" s="111">
        <v>0.24</v>
      </c>
      <c r="H25" s="175">
        <v>0.24</v>
      </c>
    </row>
    <row r="26" spans="2:8" x14ac:dyDescent="0.35">
      <c r="B26" s="157" t="s">
        <v>58</v>
      </c>
      <c r="C26" s="90" t="s">
        <v>59</v>
      </c>
      <c r="D26" s="129" t="s">
        <v>55</v>
      </c>
      <c r="E26" s="29">
        <v>0.2</v>
      </c>
      <c r="F26" s="121">
        <v>0.2</v>
      </c>
      <c r="G26" s="111">
        <v>0.2</v>
      </c>
      <c r="H26" s="175">
        <v>0.2</v>
      </c>
    </row>
    <row r="27" spans="2:8" x14ac:dyDescent="0.35">
      <c r="B27" s="157" t="s">
        <v>60</v>
      </c>
      <c r="C27" s="90" t="s">
        <v>61</v>
      </c>
      <c r="D27" s="129" t="s">
        <v>55</v>
      </c>
      <c r="E27" s="29">
        <v>0.3</v>
      </c>
      <c r="F27" s="121">
        <v>0.3</v>
      </c>
      <c r="G27" s="111">
        <v>0.3</v>
      </c>
      <c r="H27" s="175">
        <v>0.3</v>
      </c>
    </row>
    <row r="28" spans="2:8" x14ac:dyDescent="0.35">
      <c r="B28" s="157" t="s">
        <v>62</v>
      </c>
      <c r="C28" s="90" t="s">
        <v>63</v>
      </c>
      <c r="D28" s="129" t="s">
        <v>55</v>
      </c>
      <c r="E28" s="29">
        <v>0.2106060606060606</v>
      </c>
      <c r="F28" s="121">
        <v>0.2106060606060606</v>
      </c>
      <c r="G28" s="111">
        <v>0.2106060606060606</v>
      </c>
      <c r="H28" s="175">
        <v>0.2106060606060606</v>
      </c>
    </row>
    <row r="29" spans="2:8" x14ac:dyDescent="0.35">
      <c r="B29" s="157" t="s">
        <v>64</v>
      </c>
      <c r="C29" s="90" t="s">
        <v>101</v>
      </c>
      <c r="D29" s="129" t="s">
        <v>55</v>
      </c>
      <c r="E29" s="29">
        <v>0.34699999999999998</v>
      </c>
      <c r="F29" s="121">
        <v>0.34699999999999998</v>
      </c>
      <c r="G29" s="111">
        <v>0.37846153846153846</v>
      </c>
      <c r="H29" s="175">
        <v>0.32</v>
      </c>
    </row>
    <row r="30" spans="2:8" x14ac:dyDescent="0.35">
      <c r="B30" s="157" t="s">
        <v>102</v>
      </c>
      <c r="C30" s="90" t="s">
        <v>103</v>
      </c>
      <c r="D30" s="129" t="s">
        <v>55</v>
      </c>
      <c r="E30" s="154"/>
      <c r="F30" s="154"/>
      <c r="G30" s="154"/>
      <c r="H30" s="175">
        <v>0.3</v>
      </c>
    </row>
    <row r="31" spans="2:8" x14ac:dyDescent="0.35">
      <c r="B31" s="157" t="s">
        <v>104</v>
      </c>
      <c r="C31" s="90" t="s">
        <v>105</v>
      </c>
      <c r="D31" s="129" t="s">
        <v>55</v>
      </c>
      <c r="E31" s="154"/>
      <c r="F31" s="154"/>
      <c r="G31" s="154"/>
      <c r="H31" s="175">
        <v>0.14000000000000001</v>
      </c>
    </row>
    <row r="32" spans="2:8" x14ac:dyDescent="0.35">
      <c r="B32" s="157" t="s">
        <v>106</v>
      </c>
      <c r="C32" s="90" t="s">
        <v>107</v>
      </c>
      <c r="D32" s="129" t="s">
        <v>55</v>
      </c>
      <c r="E32" s="154"/>
      <c r="F32" s="154"/>
      <c r="G32" s="154"/>
      <c r="H32" s="175">
        <f>2.46/6.5</f>
        <v>0.37846153846153846</v>
      </c>
    </row>
    <row r="33" spans="1:10" x14ac:dyDescent="0.35">
      <c r="B33" s="157" t="s">
        <v>108</v>
      </c>
      <c r="C33" s="90" t="s">
        <v>109</v>
      </c>
      <c r="D33" s="129" t="s">
        <v>55</v>
      </c>
      <c r="E33" s="154"/>
      <c r="F33" s="154"/>
      <c r="G33" s="154"/>
      <c r="H33" s="175">
        <v>0.16</v>
      </c>
    </row>
    <row r="34" spans="1:10" x14ac:dyDescent="0.35">
      <c r="B34" s="157" t="s">
        <v>110</v>
      </c>
      <c r="C34" s="90" t="s">
        <v>111</v>
      </c>
      <c r="D34" s="129" t="s">
        <v>55</v>
      </c>
      <c r="E34" s="154"/>
      <c r="F34" s="154"/>
      <c r="G34" s="154"/>
      <c r="H34" s="175">
        <f>2.46/6.5</f>
        <v>0.37846153846153846</v>
      </c>
    </row>
    <row r="35" spans="1:10" x14ac:dyDescent="0.35">
      <c r="B35" s="101"/>
      <c r="D35" s="129"/>
      <c r="E35" s="154"/>
      <c r="F35" s="154"/>
      <c r="G35" s="154"/>
      <c r="H35" s="161"/>
    </row>
    <row r="36" spans="1:10" x14ac:dyDescent="0.35">
      <c r="B36" s="101"/>
      <c r="D36" s="129"/>
      <c r="E36" s="154"/>
      <c r="F36" s="154"/>
      <c r="G36" s="154"/>
      <c r="H36" s="161"/>
    </row>
    <row r="37" spans="1:10" x14ac:dyDescent="0.35">
      <c r="B37" s="102"/>
      <c r="C37" s="103"/>
      <c r="D37" s="130"/>
      <c r="E37" s="155"/>
      <c r="F37" s="154"/>
      <c r="G37" s="154"/>
      <c r="H37" s="161"/>
    </row>
    <row r="38" spans="1:10" x14ac:dyDescent="0.35">
      <c r="A38" s="86" t="s">
        <v>66</v>
      </c>
      <c r="B38" s="65" t="s">
        <v>67</v>
      </c>
      <c r="C38" s="65"/>
      <c r="D38" s="131">
        <f>AVERAGE(D22,D23,D21,D19,D17,D16,D13)</f>
        <v>0.27839448910877479</v>
      </c>
      <c r="E38" s="85">
        <f>AVERAGE(E22,E23,E21,E19,E17,E16,E13,E24:E29)</f>
        <v>0.27769260369260362</v>
      </c>
      <c r="F38" s="118">
        <f>AVERAGE(F22,F23,F21,F19,F17,F16,F13,F24:F29)</f>
        <v>0.29304988203866411</v>
      </c>
      <c r="G38" s="108">
        <f>AVERAGE(G22,G23,G21,G19,G17,G16,G13,G24:G29)</f>
        <v>0.29707133174280609</v>
      </c>
      <c r="H38" s="163">
        <f>AVERAGE(H22,H23,H21,H19,H17,H16,H13,H24:H36)</f>
        <v>0.28867549695674688</v>
      </c>
    </row>
    <row r="39" spans="1:10" x14ac:dyDescent="0.35">
      <c r="A39" s="86" t="s">
        <v>68</v>
      </c>
      <c r="B39" s="179" t="s">
        <v>112</v>
      </c>
      <c r="C39" s="179"/>
      <c r="D39" s="132" t="s">
        <v>113</v>
      </c>
      <c r="E39" s="135"/>
      <c r="F39" s="113"/>
      <c r="G39" s="104"/>
      <c r="H39" s="164"/>
    </row>
    <row r="40" spans="1:10" x14ac:dyDescent="0.35">
      <c r="A40" s="86" t="s">
        <v>70</v>
      </c>
      <c r="B40" t="s">
        <v>73</v>
      </c>
      <c r="D40" s="127">
        <f>D38*0.014</f>
        <v>3.8975228475228471E-3</v>
      </c>
      <c r="E40" s="67">
        <f t="shared" ref="E40:G40" si="0">E38*0.014</f>
        <v>3.887696451696451E-3</v>
      </c>
      <c r="F40" s="115">
        <f t="shared" si="0"/>
        <v>4.1026983485412975E-3</v>
      </c>
      <c r="G40" s="106">
        <f t="shared" si="0"/>
        <v>4.1589986443992854E-3</v>
      </c>
      <c r="H40" s="164">
        <f t="shared" ref="H40" si="1">H38*0.014</f>
        <v>4.0414569573944568E-3</v>
      </c>
    </row>
    <row r="41" spans="1:10" x14ac:dyDescent="0.35">
      <c r="A41" s="86" t="s">
        <v>72</v>
      </c>
      <c r="B41" t="s">
        <v>114</v>
      </c>
      <c r="D41" s="127">
        <f>D40+D38</f>
        <v>0.28229201195629766</v>
      </c>
      <c r="E41" s="67">
        <f t="shared" ref="E41:G41" si="2">E40+E38</f>
        <v>0.28158030014430008</v>
      </c>
      <c r="F41" s="115">
        <f t="shared" si="2"/>
        <v>0.29715258038720543</v>
      </c>
      <c r="G41" s="106">
        <f t="shared" si="2"/>
        <v>0.30123033038720537</v>
      </c>
      <c r="H41" s="164">
        <f t="shared" ref="H41" si="3">H40+H38</f>
        <v>0.29271695391414132</v>
      </c>
    </row>
    <row r="42" spans="1:10" x14ac:dyDescent="0.35">
      <c r="A42" s="86" t="s">
        <v>74</v>
      </c>
      <c r="B42" t="s">
        <v>77</v>
      </c>
      <c r="D42" s="127">
        <f>D41*0.07</f>
        <v>1.9760440836940837E-2</v>
      </c>
      <c r="E42" s="67">
        <f t="shared" ref="E42:G42" si="4">E41*0.07</f>
        <v>1.9710621010101008E-2</v>
      </c>
      <c r="F42" s="115">
        <f t="shared" si="4"/>
        <v>2.0800680627104381E-2</v>
      </c>
      <c r="G42" s="106">
        <f t="shared" si="4"/>
        <v>2.1086123127104377E-2</v>
      </c>
      <c r="H42" s="164">
        <f t="shared" ref="H42" si="5">H41*0.07</f>
        <v>2.0490186773989894E-2</v>
      </c>
    </row>
    <row r="43" spans="1:10" x14ac:dyDescent="0.35">
      <c r="A43" s="86" t="s">
        <v>76</v>
      </c>
      <c r="B43" s="95" t="s">
        <v>115</v>
      </c>
      <c r="C43" s="96"/>
      <c r="D43" s="151">
        <f>D41+D42</f>
        <v>0.3020524527932385</v>
      </c>
      <c r="E43" s="152">
        <f t="shared" ref="E43:G43" si="6">E41+E42</f>
        <v>0.30129092115440109</v>
      </c>
      <c r="F43" s="153">
        <f t="shared" si="6"/>
        <v>0.31795326101430982</v>
      </c>
      <c r="G43" s="162">
        <f t="shared" si="6"/>
        <v>0.32231645351430976</v>
      </c>
      <c r="H43" s="165">
        <f t="shared" ref="H43" si="7">H41+H42</f>
        <v>0.31320714068813121</v>
      </c>
    </row>
    <row r="44" spans="1:10" x14ac:dyDescent="0.35">
      <c r="A44" s="86"/>
      <c r="D44" s="67"/>
      <c r="E44" s="67"/>
      <c r="F44" s="67"/>
      <c r="G44" s="67"/>
      <c r="H44" s="67"/>
      <c r="I44" s="67"/>
      <c r="J44" s="67"/>
    </row>
    <row r="45" spans="1:10" x14ac:dyDescent="0.35">
      <c r="B45" s="65"/>
      <c r="C45" s="65"/>
      <c r="D45" s="65"/>
      <c r="E45" s="65"/>
    </row>
    <row r="46" spans="1:10" x14ac:dyDescent="0.35">
      <c r="B46" s="182"/>
      <c r="C46" s="182"/>
      <c r="D46" s="182"/>
      <c r="E46" s="65"/>
    </row>
    <row r="47" spans="1:10" x14ac:dyDescent="0.35">
      <c r="B47" s="65"/>
      <c r="C47" s="65"/>
      <c r="D47" s="65"/>
      <c r="E47" s="65"/>
    </row>
    <row r="48" spans="1:10" x14ac:dyDescent="0.35">
      <c r="B48" s="182"/>
      <c r="C48" s="182"/>
    </row>
    <row r="49" spans="1:16" x14ac:dyDescent="0.35">
      <c r="B49" s="184" t="s">
        <v>80</v>
      </c>
      <c r="C49" s="184"/>
      <c r="D49" s="184"/>
      <c r="E49" s="184"/>
    </row>
    <row r="50" spans="1:16" x14ac:dyDescent="0.35">
      <c r="B50" s="184" t="s">
        <v>20</v>
      </c>
      <c r="C50" s="184"/>
      <c r="D50" s="184"/>
      <c r="E50" s="184"/>
    </row>
    <row r="51" spans="1:16" x14ac:dyDescent="0.35">
      <c r="B51" s="182"/>
      <c r="C51" s="182"/>
      <c r="D51" s="182"/>
      <c r="E51" s="182"/>
    </row>
    <row r="52" spans="1:16" x14ac:dyDescent="0.35">
      <c r="B52" s="98" t="s">
        <v>21</v>
      </c>
      <c r="C52" s="99"/>
      <c r="D52" s="123" t="s">
        <v>81</v>
      </c>
      <c r="E52" s="133">
        <v>45292</v>
      </c>
      <c r="F52" s="119">
        <v>45323</v>
      </c>
      <c r="G52" s="109">
        <v>45352</v>
      </c>
      <c r="H52" s="160">
        <v>45383</v>
      </c>
      <c r="I52" s="69">
        <v>45413</v>
      </c>
      <c r="J52" s="69">
        <v>45444</v>
      </c>
      <c r="K52" s="69">
        <v>45474</v>
      </c>
      <c r="L52" s="69">
        <v>45505</v>
      </c>
      <c r="M52" s="69">
        <v>45536</v>
      </c>
      <c r="N52" s="69">
        <v>45566</v>
      </c>
      <c r="O52" s="69">
        <v>45597</v>
      </c>
      <c r="P52" s="69">
        <v>45627</v>
      </c>
    </row>
    <row r="53" spans="1:16" x14ac:dyDescent="0.35">
      <c r="B53" s="100"/>
      <c r="C53" s="182"/>
      <c r="D53" s="148" t="s">
        <v>25</v>
      </c>
      <c r="E53" s="149" t="s">
        <v>25</v>
      </c>
      <c r="F53" s="150" t="s">
        <v>25</v>
      </c>
      <c r="G53" s="166" t="s">
        <v>25</v>
      </c>
      <c r="H53" s="161"/>
    </row>
    <row r="54" spans="1:16" x14ac:dyDescent="0.35">
      <c r="B54" s="157" t="s">
        <v>47</v>
      </c>
      <c r="C54" s="90" t="s">
        <v>82</v>
      </c>
      <c r="D54" s="139">
        <v>0.36</v>
      </c>
      <c r="E54" s="1">
        <v>0.36</v>
      </c>
      <c r="F54" s="141">
        <v>0.36</v>
      </c>
      <c r="G54" s="143">
        <v>0.52</v>
      </c>
      <c r="H54" s="167">
        <v>0.52</v>
      </c>
    </row>
    <row r="55" spans="1:16" x14ac:dyDescent="0.35">
      <c r="B55" s="157" t="s">
        <v>83</v>
      </c>
      <c r="C55" s="90" t="s">
        <v>84</v>
      </c>
      <c r="D55" s="139">
        <v>0.43</v>
      </c>
      <c r="E55" s="1">
        <v>0.43</v>
      </c>
      <c r="F55" s="141">
        <v>0.43</v>
      </c>
      <c r="G55" s="144">
        <v>0.56000000000000005</v>
      </c>
      <c r="H55" s="168">
        <v>0.56000000000000005</v>
      </c>
    </row>
    <row r="56" spans="1:16" x14ac:dyDescent="0.35">
      <c r="B56" s="157" t="s">
        <v>85</v>
      </c>
      <c r="C56" s="90" t="s">
        <v>86</v>
      </c>
      <c r="D56" s="139">
        <v>0.43</v>
      </c>
      <c r="E56" s="1">
        <v>0.43</v>
      </c>
      <c r="F56" s="141">
        <v>0.43</v>
      </c>
      <c r="G56" s="145">
        <v>0.56000000000000005</v>
      </c>
      <c r="H56" s="169">
        <v>0.56000000000000005</v>
      </c>
    </row>
    <row r="57" spans="1:16" x14ac:dyDescent="0.35">
      <c r="B57" s="157" t="s">
        <v>87</v>
      </c>
      <c r="C57" s="90" t="s">
        <v>88</v>
      </c>
      <c r="D57" s="139">
        <v>0.36</v>
      </c>
      <c r="E57" s="1">
        <v>0.36</v>
      </c>
      <c r="F57" s="141">
        <v>0.36</v>
      </c>
      <c r="G57" s="143">
        <v>0.52</v>
      </c>
      <c r="H57" s="167">
        <v>0.52</v>
      </c>
    </row>
    <row r="58" spans="1:16" x14ac:dyDescent="0.35">
      <c r="B58" s="157" t="s">
        <v>89</v>
      </c>
      <c r="C58" s="90" t="s">
        <v>90</v>
      </c>
      <c r="D58" s="140">
        <v>0.06</v>
      </c>
      <c r="E58" s="147">
        <v>0.06</v>
      </c>
      <c r="F58" s="142">
        <v>0.06</v>
      </c>
      <c r="G58" s="146" t="s">
        <v>46</v>
      </c>
      <c r="H58" s="170" t="s">
        <v>46</v>
      </c>
    </row>
    <row r="59" spans="1:16" x14ac:dyDescent="0.35">
      <c r="B59" s="157" t="s">
        <v>91</v>
      </c>
      <c r="C59" s="90" t="s">
        <v>92</v>
      </c>
      <c r="D59" s="139">
        <v>0.36</v>
      </c>
      <c r="E59" s="1">
        <v>0.36</v>
      </c>
      <c r="F59" s="141">
        <v>0.36</v>
      </c>
      <c r="G59" s="143">
        <v>0.52</v>
      </c>
      <c r="H59" s="171" t="s">
        <v>46</v>
      </c>
    </row>
    <row r="60" spans="1:16" x14ac:dyDescent="0.35">
      <c r="B60" s="157" t="s">
        <v>83</v>
      </c>
      <c r="C60" s="90" t="s">
        <v>93</v>
      </c>
      <c r="D60" s="129" t="s">
        <v>55</v>
      </c>
      <c r="E60" s="66"/>
      <c r="F60" s="117"/>
      <c r="G60" s="144">
        <v>0.46</v>
      </c>
      <c r="H60" s="168">
        <v>0.46</v>
      </c>
    </row>
    <row r="61" spans="1:16" x14ac:dyDescent="0.35">
      <c r="B61" s="157" t="s">
        <v>83</v>
      </c>
      <c r="C61" s="90" t="s">
        <v>116</v>
      </c>
      <c r="D61" s="129" t="s">
        <v>55</v>
      </c>
      <c r="E61" s="66"/>
      <c r="F61" s="117"/>
      <c r="G61" s="156"/>
      <c r="H61" s="168">
        <v>0.64</v>
      </c>
    </row>
    <row r="62" spans="1:16" x14ac:dyDescent="0.35">
      <c r="B62" s="102"/>
      <c r="C62" s="103"/>
      <c r="D62" s="130"/>
      <c r="E62" s="66"/>
      <c r="F62" s="121"/>
      <c r="G62" s="144"/>
      <c r="H62" s="161"/>
    </row>
    <row r="63" spans="1:16" x14ac:dyDescent="0.35">
      <c r="A63" s="86" t="s">
        <v>66</v>
      </c>
      <c r="B63" s="65" t="s">
        <v>67</v>
      </c>
      <c r="C63" s="65"/>
      <c r="D63" s="131">
        <f>AVERAGE(D54:D57,D59)</f>
        <v>0.38800000000000001</v>
      </c>
      <c r="E63" s="85">
        <f t="shared" ref="E63:F63" si="8">AVERAGE(E54:E57,E59)</f>
        <v>0.38800000000000001</v>
      </c>
      <c r="F63" s="118">
        <f t="shared" si="8"/>
        <v>0.38800000000000001</v>
      </c>
      <c r="G63" s="108">
        <f>AVERAGE(G54:G57,G59:G61)</f>
        <v>0.52333333333333332</v>
      </c>
      <c r="H63" s="163">
        <f>AVERAGE(H54:H57,H59:H61)</f>
        <v>0.54333333333333333</v>
      </c>
    </row>
    <row r="64" spans="1:16" x14ac:dyDescent="0.35">
      <c r="A64" s="86" t="s">
        <v>68</v>
      </c>
      <c r="B64" t="s">
        <v>73</v>
      </c>
      <c r="D64" s="127">
        <f>D63*0.014</f>
        <v>5.4320000000000002E-3</v>
      </c>
      <c r="E64" s="67">
        <f>E63*0.014</f>
        <v>5.4320000000000002E-3</v>
      </c>
      <c r="F64" s="115">
        <f t="shared" ref="F64" si="9">F63*0.014</f>
        <v>5.4320000000000002E-3</v>
      </c>
      <c r="G64" s="106">
        <f t="shared" ref="G64:H64" si="10">G63*0.014</f>
        <v>7.3266666666666662E-3</v>
      </c>
      <c r="H64" s="164">
        <f t="shared" si="10"/>
        <v>7.606666666666667E-3</v>
      </c>
    </row>
    <row r="65" spans="1:8" x14ac:dyDescent="0.35">
      <c r="A65" s="86" t="s">
        <v>70</v>
      </c>
      <c r="B65" t="s">
        <v>94</v>
      </c>
      <c r="D65" s="127">
        <f>D63+D64</f>
        <v>0.393432</v>
      </c>
      <c r="E65" s="67">
        <f t="shared" ref="E65" si="11">E63+E64</f>
        <v>0.393432</v>
      </c>
      <c r="F65" s="115">
        <f t="shared" ref="F65" si="12">F63+F64</f>
        <v>0.393432</v>
      </c>
      <c r="G65" s="106">
        <f t="shared" ref="G65:H65" si="13">G63+G64</f>
        <v>0.53066000000000002</v>
      </c>
      <c r="H65" s="164">
        <f t="shared" si="13"/>
        <v>0.55093999999999999</v>
      </c>
    </row>
    <row r="66" spans="1:8" x14ac:dyDescent="0.35">
      <c r="A66" s="86" t="s">
        <v>72</v>
      </c>
      <c r="B66" t="s">
        <v>77</v>
      </c>
      <c r="D66" s="127">
        <f>D65*0.07</f>
        <v>2.7540240000000004E-2</v>
      </c>
      <c r="E66" s="67">
        <f t="shared" ref="E66" si="14">E65*0.07</f>
        <v>2.7540240000000004E-2</v>
      </c>
      <c r="F66" s="115">
        <f t="shared" ref="F66" si="15">F65*0.07</f>
        <v>2.7540240000000004E-2</v>
      </c>
      <c r="G66" s="106">
        <f t="shared" ref="G66:H66" si="16">G65*0.07</f>
        <v>3.7146200000000004E-2</v>
      </c>
      <c r="H66" s="164">
        <f t="shared" si="16"/>
        <v>3.8565800000000004E-2</v>
      </c>
    </row>
    <row r="67" spans="1:8" x14ac:dyDescent="0.35">
      <c r="A67" s="86" t="s">
        <v>74</v>
      </c>
      <c r="B67" s="95" t="s">
        <v>95</v>
      </c>
      <c r="C67" s="96"/>
      <c r="D67" s="151">
        <f>SUM(D65:D66)</f>
        <v>0.42097224</v>
      </c>
      <c r="E67" s="152">
        <f>SUM(E65:E66)</f>
        <v>0.42097224</v>
      </c>
      <c r="F67" s="153">
        <f t="shared" ref="F67" si="17">SUM(F65:F66)</f>
        <v>0.42097224</v>
      </c>
      <c r="G67" s="158">
        <f t="shared" ref="G67:H67" si="18">SUM(G65:G66)</f>
        <v>0.56780620000000004</v>
      </c>
      <c r="H67" s="172">
        <f t="shared" si="18"/>
        <v>0.58950579999999997</v>
      </c>
    </row>
    <row r="68" spans="1:8" x14ac:dyDescent="0.35">
      <c r="B68" s="65"/>
      <c r="C68" s="65"/>
      <c r="D68" s="65"/>
      <c r="E68" s="65"/>
    </row>
  </sheetData>
  <mergeCells count="7">
    <mergeCell ref="B6:E6"/>
    <mergeCell ref="B7:E7"/>
    <mergeCell ref="B49:E49"/>
    <mergeCell ref="B50:E50"/>
    <mergeCell ref="C2:G2"/>
    <mergeCell ref="C3:G3"/>
    <mergeCell ref="C4:G4"/>
  </mergeCells>
  <hyperlinks>
    <hyperlink ref="B29" r:id="rId1" xr:uid="{00000000-0004-0000-0300-000000000000}"/>
    <hyperlink ref="B30" r:id="rId2" xr:uid="{00000000-0004-0000-0300-000001000000}"/>
    <hyperlink ref="B31" r:id="rId3" xr:uid="{00000000-0004-0000-0300-000002000000}"/>
    <hyperlink ref="B32" r:id="rId4" xr:uid="{00000000-0004-0000-0300-000003000000}"/>
    <hyperlink ref="B19" r:id="rId5" xr:uid="{00000000-0004-0000-0300-000004000000}"/>
    <hyperlink ref="B33" r:id="rId6" xr:uid="{00000000-0004-0000-0300-000005000000}"/>
    <hyperlink ref="B28" r:id="rId7" xr:uid="{00000000-0004-0000-0300-000006000000}"/>
    <hyperlink ref="B12" r:id="rId8" xr:uid="{00000000-0004-0000-0300-000007000000}"/>
    <hyperlink ref="B34" r:id="rId9" xr:uid="{00000000-0004-0000-0300-000008000000}"/>
    <hyperlink ref="B27" r:id="rId10" xr:uid="{00000000-0004-0000-0300-000009000000}"/>
    <hyperlink ref="B26" r:id="rId11" xr:uid="{00000000-0004-0000-0300-00000A000000}"/>
    <hyperlink ref="B25" r:id="rId12" xr:uid="{00000000-0004-0000-0300-00000B000000}"/>
    <hyperlink ref="B24" r:id="rId13" xr:uid="{00000000-0004-0000-0300-00000C000000}"/>
    <hyperlink ref="B13" r:id="rId14" xr:uid="{00000000-0004-0000-0300-00000D000000}"/>
    <hyperlink ref="B23" r:id="rId15" xr:uid="{00000000-0004-0000-0300-00000E000000}"/>
    <hyperlink ref="B22" r:id="rId16" xr:uid="{00000000-0004-0000-0300-00000F000000}"/>
    <hyperlink ref="B21" r:id="rId17" xr:uid="{00000000-0004-0000-0300-000010000000}"/>
    <hyperlink ref="B20" r:id="rId18" xr:uid="{00000000-0004-0000-0300-000011000000}"/>
    <hyperlink ref="B17" r:id="rId19" xr:uid="{00000000-0004-0000-0300-000012000000}"/>
    <hyperlink ref="B16" r:id="rId20" xr:uid="{00000000-0004-0000-0300-000013000000}"/>
    <hyperlink ref="B18" r:id="rId21" xr:uid="{00000000-0004-0000-0300-000014000000}"/>
    <hyperlink ref="B15" r:id="rId22" xr:uid="{00000000-0004-0000-0300-000015000000}"/>
    <hyperlink ref="B14" r:id="rId23" xr:uid="{00000000-0004-0000-0300-000016000000}"/>
    <hyperlink ref="B11" r:id="rId24" xr:uid="{00000000-0004-0000-0300-000017000000}"/>
    <hyperlink ref="B61" r:id="rId25" xr:uid="{00000000-0004-0000-0300-000018000000}"/>
    <hyperlink ref="B60" r:id="rId26" xr:uid="{00000000-0004-0000-0300-000019000000}"/>
    <hyperlink ref="B59" r:id="rId27" xr:uid="{00000000-0004-0000-0300-00001A000000}"/>
    <hyperlink ref="B58" r:id="rId28" xr:uid="{00000000-0004-0000-0300-00001B000000}"/>
    <hyperlink ref="B57" r:id="rId29" xr:uid="{00000000-0004-0000-0300-00001C000000}"/>
    <hyperlink ref="B56" r:id="rId30" xr:uid="{00000000-0004-0000-0300-00001D000000}"/>
    <hyperlink ref="B55" r:id="rId31" xr:uid="{00000000-0004-0000-0300-00001E000000}"/>
    <hyperlink ref="B54" r:id="rId32" xr:uid="{00000000-0004-0000-0300-00001F000000}"/>
  </hyperlinks>
  <pageMargins left="0.7" right="0.7" top="0.75" bottom="0.75" header="0.3" footer="0.3"/>
  <pageSetup scale="47" orientation="portrait" horizontalDpi="1200" verticalDpi="1200" r:id="rId33"/>
  <headerFooter>
    <oddHeader>&amp;RIndianapolis Power and Light d/b/a AES Indiana
Cause No. 45843
First Quarterly Report Work Paper 3
Page &amp;P of &amp;N</oddHeader>
  </headerFooter>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3:H16"/>
  <sheetViews>
    <sheetView showGridLines="0" workbookViewId="0">
      <selection activeCell="H22" sqref="H22"/>
    </sheetView>
  </sheetViews>
  <sheetFormatPr defaultColWidth="9.1796875" defaultRowHeight="14.5" x14ac:dyDescent="0.35"/>
  <cols>
    <col min="1" max="1" width="21.1796875" bestFit="1" customWidth="1"/>
    <col min="2" max="2" width="56.26953125" bestFit="1" customWidth="1"/>
    <col min="3" max="3" width="16.1796875" hidden="1" customWidth="1"/>
    <col min="4" max="5" width="21.81640625" customWidth="1"/>
    <col min="6" max="6" width="24.453125" bestFit="1" customWidth="1"/>
    <col min="7" max="7" width="15.1796875" customWidth="1"/>
  </cols>
  <sheetData>
    <row r="3" spans="1:8" x14ac:dyDescent="0.35">
      <c r="A3" s="9" t="s">
        <v>117</v>
      </c>
      <c r="B3" s="9" t="s">
        <v>22</v>
      </c>
      <c r="C3" s="9" t="s">
        <v>118</v>
      </c>
      <c r="D3" s="9" t="s">
        <v>119</v>
      </c>
      <c r="E3" s="9" t="s">
        <v>120</v>
      </c>
      <c r="F3" s="9" t="s">
        <v>121</v>
      </c>
      <c r="G3" s="9" t="s">
        <v>122</v>
      </c>
    </row>
    <row r="4" spans="1:8" x14ac:dyDescent="0.35">
      <c r="A4" t="s">
        <v>47</v>
      </c>
      <c r="B4" t="s">
        <v>82</v>
      </c>
      <c r="C4" t="s">
        <v>123</v>
      </c>
      <c r="D4" s="3">
        <v>50</v>
      </c>
      <c r="E4" s="1">
        <f>G4*D4</f>
        <v>18</v>
      </c>
      <c r="F4" s="6">
        <f t="shared" ref="F4:F9" si="0">D4/60</f>
        <v>0.83333333333333337</v>
      </c>
      <c r="G4" s="1">
        <v>0.36</v>
      </c>
      <c r="H4" s="13" t="s">
        <v>124</v>
      </c>
    </row>
    <row r="5" spans="1:8" x14ac:dyDescent="0.35">
      <c r="A5" t="s">
        <v>83</v>
      </c>
      <c r="B5" t="s">
        <v>84</v>
      </c>
      <c r="C5" t="s">
        <v>125</v>
      </c>
      <c r="D5" s="4">
        <v>150</v>
      </c>
      <c r="E5" s="1">
        <f t="shared" ref="E5:E9" si="1">G5*D5</f>
        <v>64.5</v>
      </c>
      <c r="F5" s="7">
        <f t="shared" si="0"/>
        <v>2.5</v>
      </c>
      <c r="G5" s="1">
        <v>0.43</v>
      </c>
      <c r="H5" s="13" t="s">
        <v>126</v>
      </c>
    </row>
    <row r="6" spans="1:8" x14ac:dyDescent="0.35">
      <c r="A6" t="s">
        <v>85</v>
      </c>
      <c r="B6" t="s">
        <v>86</v>
      </c>
      <c r="C6" t="s">
        <v>125</v>
      </c>
      <c r="D6" s="4">
        <v>150</v>
      </c>
      <c r="E6" s="1">
        <f t="shared" si="1"/>
        <v>64.5</v>
      </c>
      <c r="F6" s="7">
        <f t="shared" si="0"/>
        <v>2.5</v>
      </c>
      <c r="G6" s="1">
        <v>0.43</v>
      </c>
      <c r="H6" s="13" t="s">
        <v>127</v>
      </c>
    </row>
    <row r="7" spans="1:8" x14ac:dyDescent="0.35">
      <c r="A7" t="s">
        <v>87</v>
      </c>
      <c r="B7" t="s">
        <v>88</v>
      </c>
      <c r="C7" t="s">
        <v>123</v>
      </c>
      <c r="D7" s="3">
        <v>50</v>
      </c>
      <c r="E7" s="1">
        <f t="shared" si="1"/>
        <v>18</v>
      </c>
      <c r="F7" s="6">
        <f t="shared" si="0"/>
        <v>0.83333333333333337</v>
      </c>
      <c r="G7" s="1">
        <v>0.36</v>
      </c>
    </row>
    <row r="8" spans="1:8" x14ac:dyDescent="0.35">
      <c r="A8" t="s">
        <v>89</v>
      </c>
      <c r="B8" t="s">
        <v>90</v>
      </c>
      <c r="D8" s="3">
        <v>50</v>
      </c>
      <c r="E8" s="1">
        <f t="shared" ca="1" si="1"/>
        <v>18</v>
      </c>
      <c r="F8" s="6">
        <f t="shared" si="0"/>
        <v>0.83333333333333337</v>
      </c>
      <c r="G8" s="1">
        <f ca="1">E8/F8</f>
        <v>0.06</v>
      </c>
    </row>
    <row r="9" spans="1:8" x14ac:dyDescent="0.35">
      <c r="A9" t="s">
        <v>91</v>
      </c>
      <c r="B9" t="s">
        <v>92</v>
      </c>
      <c r="D9" s="3">
        <v>50</v>
      </c>
      <c r="E9" s="1">
        <f t="shared" si="1"/>
        <v>18</v>
      </c>
      <c r="F9" s="6">
        <f t="shared" si="0"/>
        <v>0.83333333333333337</v>
      </c>
      <c r="G9" s="1">
        <v>0.36</v>
      </c>
    </row>
    <row r="11" spans="1:8" x14ac:dyDescent="0.35">
      <c r="A11" s="10" t="s">
        <v>128</v>
      </c>
      <c r="E11" s="2" t="s">
        <v>66</v>
      </c>
      <c r="F11" t="s">
        <v>129</v>
      </c>
      <c r="G11" s="8">
        <f ca="1">AVERAGE(G4:G9)</f>
        <v>0.33333333333333331</v>
      </c>
    </row>
    <row r="12" spans="1:8" x14ac:dyDescent="0.35">
      <c r="A12" t="s">
        <v>130</v>
      </c>
      <c r="E12" s="2" t="s">
        <v>68</v>
      </c>
      <c r="F12" t="s">
        <v>73</v>
      </c>
      <c r="G12" s="8">
        <f ca="1">G11*0.014</f>
        <v>4.6666666666666662E-3</v>
      </c>
    </row>
    <row r="13" spans="1:8" x14ac:dyDescent="0.35">
      <c r="A13" t="s">
        <v>131</v>
      </c>
      <c r="E13" s="2" t="s">
        <v>70</v>
      </c>
      <c r="F13" t="s">
        <v>94</v>
      </c>
      <c r="G13" s="8">
        <f ca="1">G11+G12</f>
        <v>0.33799999999999997</v>
      </c>
    </row>
    <row r="14" spans="1:8" x14ac:dyDescent="0.35">
      <c r="A14" t="s">
        <v>132</v>
      </c>
      <c r="E14" s="2" t="s">
        <v>72</v>
      </c>
      <c r="F14" t="s">
        <v>77</v>
      </c>
      <c r="G14" s="1">
        <f ca="1">G13*0.07</f>
        <v>2.366E-2</v>
      </c>
    </row>
    <row r="15" spans="1:8" x14ac:dyDescent="0.35">
      <c r="A15" t="s">
        <v>133</v>
      </c>
      <c r="F15" t="s">
        <v>95</v>
      </c>
      <c r="G15" s="8">
        <f ca="1">G13+G14</f>
        <v>0.36165999999999998</v>
      </c>
    </row>
    <row r="16" spans="1:8" x14ac:dyDescent="0.35">
      <c r="A16" t="s">
        <v>134</v>
      </c>
    </row>
  </sheetData>
  <hyperlinks>
    <hyperlink ref="H6" r:id="rId1" xr:uid="{00000000-0004-0000-0400-000000000000}"/>
    <hyperlink ref="H5" r:id="rId2" xr:uid="{00000000-0004-0000-0400-000001000000}"/>
    <hyperlink ref="H4" r:id="rId3" xr:uid="{00000000-0004-0000-0400-000002000000}"/>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K27"/>
  <sheetViews>
    <sheetView topLeftCell="B1" workbookViewId="0">
      <selection activeCell="K8" sqref="K8"/>
    </sheetView>
  </sheetViews>
  <sheetFormatPr defaultRowHeight="14.5" x14ac:dyDescent="0.35"/>
  <cols>
    <col min="1" max="2" width="28.7265625" customWidth="1"/>
    <col min="3" max="3" width="51.54296875" customWidth="1"/>
    <col min="4" max="4" width="26.54296875" customWidth="1"/>
    <col min="5" max="5" width="9.453125" customWidth="1"/>
    <col min="6" max="6" width="17.453125" style="14" customWidth="1"/>
    <col min="7" max="7" width="10.7265625" customWidth="1"/>
    <col min="8" max="8" width="21.54296875" customWidth="1"/>
    <col min="9" max="9" width="22.453125" customWidth="1"/>
    <col min="10" max="10" width="19.453125" customWidth="1"/>
    <col min="11" max="11" width="56.1796875" customWidth="1"/>
  </cols>
  <sheetData>
    <row r="1" spans="1:11" s="17" customFormat="1" ht="12.5" x14ac:dyDescent="0.25">
      <c r="A1" s="17" t="s">
        <v>135</v>
      </c>
      <c r="B1" s="17" t="s">
        <v>136</v>
      </c>
      <c r="C1" s="17" t="s">
        <v>22</v>
      </c>
      <c r="D1" s="17" t="s">
        <v>137</v>
      </c>
      <c r="E1" s="17" t="s">
        <v>138</v>
      </c>
      <c r="F1" s="17" t="s">
        <v>119</v>
      </c>
      <c r="G1" s="17" t="s">
        <v>139</v>
      </c>
      <c r="H1" s="17" t="s">
        <v>140</v>
      </c>
      <c r="I1" s="17" t="s">
        <v>121</v>
      </c>
      <c r="J1" s="17" t="s">
        <v>122</v>
      </c>
      <c r="K1" s="17" t="s">
        <v>141</v>
      </c>
    </row>
    <row r="2" spans="1:11" s="18" customFormat="1" x14ac:dyDescent="0.35">
      <c r="A2" t="s">
        <v>123</v>
      </c>
      <c r="B2" t="s">
        <v>47</v>
      </c>
      <c r="C2" t="s">
        <v>82</v>
      </c>
      <c r="D2" t="s">
        <v>123</v>
      </c>
      <c r="E2" t="s">
        <v>142</v>
      </c>
      <c r="F2" s="3">
        <v>50</v>
      </c>
      <c r="G2" s="15">
        <f>F2*J2</f>
        <v>26</v>
      </c>
      <c r="H2" s="15">
        <f>G2/60</f>
        <v>0.43333333333333335</v>
      </c>
      <c r="I2" s="11">
        <f>H2/J2</f>
        <v>0.83333333333333337</v>
      </c>
      <c r="J2" s="16">
        <v>0.52</v>
      </c>
      <c r="K2" s="13" t="s">
        <v>124</v>
      </c>
    </row>
    <row r="3" spans="1:11" x14ac:dyDescent="0.35">
      <c r="A3" t="s">
        <v>125</v>
      </c>
      <c r="B3" t="s">
        <v>83</v>
      </c>
      <c r="C3" t="s">
        <v>84</v>
      </c>
      <c r="D3" t="s">
        <v>125</v>
      </c>
      <c r="E3" t="s">
        <v>143</v>
      </c>
      <c r="F3" s="4">
        <v>150</v>
      </c>
      <c r="G3" s="15">
        <f>F3*J3</f>
        <v>84.000000000000014</v>
      </c>
      <c r="H3" s="15">
        <f>G3/60</f>
        <v>1.4000000000000001</v>
      </c>
      <c r="I3" s="11">
        <f>H3/J3</f>
        <v>2.5</v>
      </c>
      <c r="J3" s="16">
        <v>0.56000000000000005</v>
      </c>
      <c r="K3" s="13" t="s">
        <v>126</v>
      </c>
    </row>
    <row r="4" spans="1:11" x14ac:dyDescent="0.35">
      <c r="A4" t="s">
        <v>125</v>
      </c>
      <c r="B4" t="s">
        <v>85</v>
      </c>
      <c r="C4" t="s">
        <v>86</v>
      </c>
      <c r="D4" t="s">
        <v>125</v>
      </c>
      <c r="E4" t="s">
        <v>143</v>
      </c>
      <c r="F4" s="4">
        <v>150</v>
      </c>
      <c r="G4" s="15">
        <f>F4*J4</f>
        <v>84.000000000000014</v>
      </c>
      <c r="H4" s="15">
        <f>G4/60</f>
        <v>1.4000000000000001</v>
      </c>
      <c r="I4" s="11">
        <f>H4/J4</f>
        <v>2.5</v>
      </c>
      <c r="J4" s="16">
        <v>0.56000000000000005</v>
      </c>
      <c r="K4" s="13" t="s">
        <v>127</v>
      </c>
    </row>
    <row r="5" spans="1:11" x14ac:dyDescent="0.35">
      <c r="A5" t="s">
        <v>123</v>
      </c>
      <c r="B5" t="s">
        <v>87</v>
      </c>
      <c r="C5" t="s">
        <v>88</v>
      </c>
      <c r="D5" t="s">
        <v>123</v>
      </c>
      <c r="E5" t="s">
        <v>142</v>
      </c>
      <c r="F5" s="3">
        <v>50</v>
      </c>
      <c r="G5" s="15">
        <f t="shared" ref="G5:G8" si="0">F5*J5</f>
        <v>26</v>
      </c>
      <c r="H5" s="15">
        <f t="shared" ref="H5:H8" si="1">G5/60</f>
        <v>0.43333333333333335</v>
      </c>
      <c r="I5" s="11">
        <f t="shared" ref="I5:I8" si="2">H5/J5</f>
        <v>0.83333333333333337</v>
      </c>
      <c r="J5" s="16">
        <v>0.52</v>
      </c>
      <c r="K5" s="13" t="s">
        <v>144</v>
      </c>
    </row>
    <row r="6" spans="1:11" x14ac:dyDescent="0.35">
      <c r="A6" t="s">
        <v>145</v>
      </c>
      <c r="B6" t="s">
        <v>89</v>
      </c>
      <c r="C6" t="s">
        <v>90</v>
      </c>
      <c r="D6" t="s">
        <v>145</v>
      </c>
      <c r="E6" t="s">
        <v>143</v>
      </c>
      <c r="F6" s="3">
        <v>50</v>
      </c>
      <c r="G6" s="188" t="s">
        <v>146</v>
      </c>
      <c r="H6" s="188"/>
      <c r="I6" s="188"/>
      <c r="J6" s="16"/>
      <c r="K6" s="13" t="s">
        <v>147</v>
      </c>
    </row>
    <row r="7" spans="1:11" x14ac:dyDescent="0.35">
      <c r="A7" t="s">
        <v>123</v>
      </c>
      <c r="B7" t="s">
        <v>91</v>
      </c>
      <c r="C7" t="s">
        <v>92</v>
      </c>
      <c r="D7" t="s">
        <v>123</v>
      </c>
      <c r="E7" t="s">
        <v>148</v>
      </c>
      <c r="F7" s="3">
        <v>50</v>
      </c>
      <c r="G7" s="15">
        <f t="shared" si="0"/>
        <v>26</v>
      </c>
      <c r="H7" s="15">
        <f t="shared" si="1"/>
        <v>0.43333333333333335</v>
      </c>
      <c r="I7" s="11">
        <f t="shared" si="2"/>
        <v>0.83333333333333337</v>
      </c>
      <c r="J7" s="16">
        <v>0.52</v>
      </c>
      <c r="K7" s="13" t="s">
        <v>149</v>
      </c>
    </row>
    <row r="8" spans="1:11" x14ac:dyDescent="0.35">
      <c r="A8" t="s">
        <v>150</v>
      </c>
      <c r="B8" t="s">
        <v>83</v>
      </c>
      <c r="C8" t="s">
        <v>93</v>
      </c>
      <c r="D8" t="s">
        <v>150</v>
      </c>
      <c r="E8" t="s">
        <v>151</v>
      </c>
      <c r="F8" s="4">
        <v>250</v>
      </c>
      <c r="G8" s="15">
        <f t="shared" si="0"/>
        <v>115</v>
      </c>
      <c r="H8" s="15">
        <f t="shared" si="1"/>
        <v>1.9166666666666667</v>
      </c>
      <c r="I8" s="11">
        <f t="shared" si="2"/>
        <v>4.166666666666667</v>
      </c>
      <c r="J8" s="16">
        <v>0.46</v>
      </c>
      <c r="K8" s="13" t="s">
        <v>152</v>
      </c>
    </row>
    <row r="9" spans="1:11" x14ac:dyDescent="0.35">
      <c r="F9" s="26"/>
      <c r="G9" s="1"/>
      <c r="H9" s="15"/>
      <c r="I9" s="6"/>
      <c r="J9" s="16"/>
      <c r="K9" s="13"/>
    </row>
    <row r="10" spans="1:11" x14ac:dyDescent="0.35">
      <c r="F10" s="26"/>
      <c r="G10" s="1"/>
      <c r="H10" s="15"/>
      <c r="I10" s="6"/>
      <c r="J10" s="16"/>
      <c r="K10" s="13"/>
    </row>
    <row r="11" spans="1:11" x14ac:dyDescent="0.35">
      <c r="F11" s="26"/>
      <c r="G11" s="15"/>
      <c r="H11" s="15"/>
      <c r="I11" s="6"/>
      <c r="J11" s="16"/>
      <c r="K11" s="13"/>
    </row>
    <row r="12" spans="1:11" x14ac:dyDescent="0.35">
      <c r="F12" s="26"/>
      <c r="G12" s="15"/>
      <c r="H12" s="15"/>
      <c r="I12" s="6"/>
      <c r="J12" s="16"/>
      <c r="K12" s="13"/>
    </row>
    <row r="13" spans="1:11" x14ac:dyDescent="0.35">
      <c r="D13" s="18"/>
      <c r="F13" s="26"/>
      <c r="G13" s="15"/>
      <c r="H13" s="15"/>
      <c r="I13" s="6"/>
      <c r="J13" s="16"/>
      <c r="K13" s="13"/>
    </row>
    <row r="14" spans="1:11" x14ac:dyDescent="0.35">
      <c r="F14" s="26"/>
      <c r="G14" s="1"/>
      <c r="H14" s="15"/>
      <c r="I14" s="6"/>
      <c r="J14" s="16"/>
      <c r="K14" s="13"/>
    </row>
    <row r="15" spans="1:11" x14ac:dyDescent="0.35">
      <c r="C15" s="24"/>
      <c r="F15" s="26"/>
      <c r="G15" s="1"/>
      <c r="H15" s="15"/>
      <c r="I15" s="6"/>
      <c r="J15" s="16"/>
      <c r="K15" s="13"/>
    </row>
    <row r="16" spans="1:11" x14ac:dyDescent="0.35">
      <c r="C16" s="24"/>
      <c r="F16" s="26"/>
      <c r="G16" s="1"/>
      <c r="H16" s="15"/>
      <c r="I16" s="6"/>
      <c r="J16" s="16"/>
      <c r="K16" s="13"/>
    </row>
    <row r="17" spans="6:11" x14ac:dyDescent="0.35">
      <c r="F17" s="26"/>
      <c r="G17" s="1"/>
      <c r="H17" s="15"/>
      <c r="I17" s="6"/>
      <c r="J17" s="16"/>
      <c r="K17" s="13"/>
    </row>
    <row r="18" spans="6:11" x14ac:dyDescent="0.35">
      <c r="F18" s="26"/>
      <c r="G18" s="1"/>
      <c r="H18" s="15"/>
      <c r="I18" s="6"/>
      <c r="J18" s="16"/>
      <c r="K18" s="13"/>
    </row>
    <row r="19" spans="6:11" x14ac:dyDescent="0.35">
      <c r="F19" s="26"/>
      <c r="G19" s="1"/>
      <c r="H19" s="15"/>
      <c r="I19" s="6"/>
      <c r="J19" s="16"/>
      <c r="K19" s="13"/>
    </row>
    <row r="20" spans="6:11" x14ac:dyDescent="0.35">
      <c r="F20" s="26"/>
      <c r="G20" s="1"/>
      <c r="H20" s="15"/>
      <c r="I20" s="6"/>
      <c r="J20" s="16"/>
      <c r="K20" s="13"/>
    </row>
    <row r="23" spans="6:11" x14ac:dyDescent="0.35">
      <c r="H23" s="2" t="s">
        <v>66</v>
      </c>
      <c r="I23" t="s">
        <v>129</v>
      </c>
      <c r="J23" s="8">
        <f>AVERAGE(J2:J20)</f>
        <v>0.52333333333333332</v>
      </c>
    </row>
    <row r="24" spans="6:11" x14ac:dyDescent="0.35">
      <c r="H24" s="2" t="s">
        <v>68</v>
      </c>
      <c r="I24" t="s">
        <v>73</v>
      </c>
      <c r="J24" s="8">
        <f>J23*0.014</f>
        <v>7.3266666666666662E-3</v>
      </c>
    </row>
    <row r="25" spans="6:11" x14ac:dyDescent="0.35">
      <c r="H25" s="2" t="s">
        <v>70</v>
      </c>
      <c r="I25" t="s">
        <v>94</v>
      </c>
      <c r="J25" s="8">
        <f>J23+J24</f>
        <v>0.53066000000000002</v>
      </c>
    </row>
    <row r="26" spans="6:11" x14ac:dyDescent="0.35">
      <c r="H26" s="2" t="s">
        <v>72</v>
      </c>
      <c r="I26" t="s">
        <v>77</v>
      </c>
      <c r="J26" s="1">
        <f>J25*0.07</f>
        <v>3.7146200000000004E-2</v>
      </c>
    </row>
    <row r="27" spans="6:11" x14ac:dyDescent="0.35">
      <c r="I27" t="s">
        <v>95</v>
      </c>
      <c r="J27" s="8">
        <f>J25+J26</f>
        <v>0.56780620000000004</v>
      </c>
    </row>
  </sheetData>
  <autoFilter ref="A1:K1" xr:uid="{00000000-0009-0000-0000-000005000000}"/>
  <mergeCells count="1">
    <mergeCell ref="G6:I6"/>
  </mergeCells>
  <hyperlinks>
    <hyperlink ref="K2" r:id="rId1" xr:uid="{00000000-0004-0000-0500-000000000000}"/>
    <hyperlink ref="K4" r:id="rId2" xr:uid="{00000000-0004-0000-0500-000001000000}"/>
    <hyperlink ref="K3" r:id="rId3" xr:uid="{00000000-0004-0000-0500-000002000000}"/>
    <hyperlink ref="K5" r:id="rId4" location="/en/map?lat=40.00397&amp;lng=-86.12665&amp;locId=117086" xr:uid="{00000000-0004-0000-0500-000003000000}"/>
    <hyperlink ref="K6" r:id="rId5" xr:uid="{00000000-0004-0000-0500-000004000000}"/>
    <hyperlink ref="K7" r:id="rId6" xr:uid="{00000000-0004-0000-0500-000005000000}"/>
    <hyperlink ref="K8" r:id="rId7" xr:uid="{00000000-0004-0000-0500-000006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3:M29"/>
  <sheetViews>
    <sheetView showGridLines="0" workbookViewId="0">
      <selection activeCell="B4" sqref="B4:B13"/>
    </sheetView>
  </sheetViews>
  <sheetFormatPr defaultRowHeight="14.5" x14ac:dyDescent="0.35"/>
  <cols>
    <col min="1" max="1" width="31" customWidth="1"/>
    <col min="2" max="2" width="56.26953125" bestFit="1" customWidth="1"/>
    <col min="3" max="3" width="9.1796875" customWidth="1"/>
    <col min="4" max="6" width="21.81640625" customWidth="1"/>
    <col min="7" max="7" width="24.453125" bestFit="1" customWidth="1"/>
    <col min="8" max="8" width="15.1796875" customWidth="1"/>
  </cols>
  <sheetData>
    <row r="3" spans="1:13" x14ac:dyDescent="0.35">
      <c r="A3" s="9" t="s">
        <v>117</v>
      </c>
      <c r="B3" s="9" t="s">
        <v>22</v>
      </c>
      <c r="C3" s="9" t="s">
        <v>118</v>
      </c>
      <c r="D3" s="9" t="s">
        <v>119</v>
      </c>
      <c r="E3" s="9" t="s">
        <v>120</v>
      </c>
      <c r="F3" s="9" t="s">
        <v>140</v>
      </c>
      <c r="G3" s="9" t="s">
        <v>121</v>
      </c>
      <c r="H3" s="9" t="s">
        <v>122</v>
      </c>
      <c r="L3" s="1"/>
    </row>
    <row r="4" spans="1:13" x14ac:dyDescent="0.35">
      <c r="A4" t="s">
        <v>26</v>
      </c>
      <c r="B4" t="s">
        <v>27</v>
      </c>
      <c r="C4" t="s">
        <v>123</v>
      </c>
      <c r="D4" s="11">
        <v>6.6</v>
      </c>
      <c r="E4" s="29">
        <f>F4*60</f>
        <v>0.5</v>
      </c>
      <c r="F4" s="29">
        <f>0.5/60</f>
        <v>8.3333333333333332E-3</v>
      </c>
      <c r="G4" s="6">
        <f t="shared" ref="G4:G13" si="0">D4/60</f>
        <v>0.11</v>
      </c>
      <c r="H4" s="1">
        <f>F4/G4</f>
        <v>7.575757575757576E-2</v>
      </c>
      <c r="L4" s="1"/>
      <c r="M4" s="1"/>
    </row>
    <row r="5" spans="1:13" x14ac:dyDescent="0.35">
      <c r="A5" t="s">
        <v>30</v>
      </c>
      <c r="B5" t="s">
        <v>31</v>
      </c>
      <c r="C5" t="s">
        <v>125</v>
      </c>
      <c r="D5" s="4">
        <v>7</v>
      </c>
      <c r="E5" s="29">
        <f t="shared" ref="E5:E13" si="1">F5*60</f>
        <v>2</v>
      </c>
      <c r="F5" s="30">
        <f>2/60</f>
        <v>3.3333333333333333E-2</v>
      </c>
      <c r="G5" s="7">
        <f t="shared" si="0"/>
        <v>0.11666666666666667</v>
      </c>
      <c r="H5" s="1">
        <f t="shared" ref="H5" si="2">F5/G5</f>
        <v>0.2857142857142857</v>
      </c>
      <c r="L5" s="1"/>
      <c r="M5" s="1"/>
    </row>
    <row r="6" spans="1:13" x14ac:dyDescent="0.35">
      <c r="A6" t="s">
        <v>36</v>
      </c>
      <c r="B6" t="s">
        <v>37</v>
      </c>
      <c r="D6" s="3">
        <v>6.6</v>
      </c>
      <c r="E6" s="29">
        <f t="shared" si="1"/>
        <v>2.4</v>
      </c>
      <c r="F6" s="29">
        <f>2.4/60</f>
        <v>0.04</v>
      </c>
      <c r="G6" s="6">
        <f t="shared" si="0"/>
        <v>0.11</v>
      </c>
      <c r="H6" s="1">
        <f>F6/G6</f>
        <v>0.36363636363636365</v>
      </c>
      <c r="L6" s="1"/>
      <c r="M6" s="1"/>
    </row>
    <row r="7" spans="1:13" x14ac:dyDescent="0.35">
      <c r="A7" t="s">
        <v>38</v>
      </c>
      <c r="B7" t="s">
        <v>39</v>
      </c>
      <c r="D7">
        <v>6.48</v>
      </c>
      <c r="E7" s="29">
        <f>H7*D7</f>
        <v>2.5920000000000005</v>
      </c>
      <c r="F7" s="30">
        <f>E7/60</f>
        <v>4.3200000000000009E-2</v>
      </c>
      <c r="G7" s="2">
        <f t="shared" si="0"/>
        <v>0.10800000000000001</v>
      </c>
      <c r="H7" s="1">
        <v>0.4</v>
      </c>
      <c r="L7" s="1"/>
      <c r="M7" s="1"/>
    </row>
    <row r="8" spans="1:13" x14ac:dyDescent="0.35">
      <c r="A8" t="s">
        <v>40</v>
      </c>
      <c r="B8" t="s">
        <v>41</v>
      </c>
      <c r="D8">
        <v>6.48</v>
      </c>
      <c r="E8" s="29">
        <f t="shared" si="1"/>
        <v>0.5</v>
      </c>
      <c r="F8" s="29">
        <f>0.5/60</f>
        <v>8.3333333333333332E-3</v>
      </c>
      <c r="G8" s="6">
        <f t="shared" si="0"/>
        <v>0.10800000000000001</v>
      </c>
      <c r="H8" s="1">
        <f t="shared" ref="H8:H13" si="3">F8/G8</f>
        <v>7.716049382716049E-2</v>
      </c>
      <c r="I8" s="12"/>
      <c r="L8" s="1"/>
      <c r="M8" s="1"/>
    </row>
    <row r="9" spans="1:13" x14ac:dyDescent="0.35">
      <c r="A9" t="s">
        <v>42</v>
      </c>
      <c r="B9" t="s">
        <v>43</v>
      </c>
      <c r="D9">
        <v>6.48</v>
      </c>
      <c r="E9" s="29">
        <f t="shared" si="1"/>
        <v>1.25</v>
      </c>
      <c r="F9" s="29">
        <f>1.25/60</f>
        <v>2.0833333333333332E-2</v>
      </c>
      <c r="G9" s="6">
        <f t="shared" si="0"/>
        <v>0.10800000000000001</v>
      </c>
      <c r="H9" s="1">
        <f t="shared" si="3"/>
        <v>0.1929012345679012</v>
      </c>
      <c r="L9" s="1"/>
      <c r="M9" s="1"/>
    </row>
    <row r="10" spans="1:13" s="71" customFormat="1" x14ac:dyDescent="0.35">
      <c r="A10" s="71" t="s">
        <v>44</v>
      </c>
      <c r="B10" s="71" t="s">
        <v>45</v>
      </c>
      <c r="D10" s="71">
        <v>6.48</v>
      </c>
      <c r="E10" s="70">
        <f t="shared" si="1"/>
        <v>10</v>
      </c>
      <c r="F10" s="70">
        <f>10/60</f>
        <v>0.16666666666666666</v>
      </c>
      <c r="G10" s="75">
        <f t="shared" si="0"/>
        <v>0.10800000000000001</v>
      </c>
      <c r="H10" s="76">
        <f t="shared" si="3"/>
        <v>1.5432098765432096</v>
      </c>
      <c r="J10" s="71" t="s">
        <v>146</v>
      </c>
      <c r="L10" s="76"/>
      <c r="M10" s="76"/>
    </row>
    <row r="11" spans="1:13" x14ac:dyDescent="0.35">
      <c r="A11" t="s">
        <v>47</v>
      </c>
      <c r="B11" t="s">
        <v>48</v>
      </c>
      <c r="D11">
        <v>6.6</v>
      </c>
      <c r="E11" s="29">
        <f t="shared" si="1"/>
        <v>1.2</v>
      </c>
      <c r="F11" s="29">
        <v>0.02</v>
      </c>
      <c r="G11" s="6">
        <f t="shared" si="0"/>
        <v>0.11</v>
      </c>
      <c r="H11" s="1">
        <f t="shared" si="3"/>
        <v>0.18181818181818182</v>
      </c>
      <c r="L11" s="1"/>
      <c r="M11" s="1"/>
    </row>
    <row r="12" spans="1:13" x14ac:dyDescent="0.35">
      <c r="A12" t="s">
        <v>49</v>
      </c>
      <c r="B12" t="s">
        <v>50</v>
      </c>
      <c r="D12">
        <v>6.48</v>
      </c>
      <c r="E12" s="29">
        <f t="shared" si="1"/>
        <v>2.4</v>
      </c>
      <c r="F12" s="29">
        <f>2.4/60</f>
        <v>0.04</v>
      </c>
      <c r="G12" s="6">
        <f t="shared" si="0"/>
        <v>0.10800000000000001</v>
      </c>
      <c r="H12" s="1">
        <f t="shared" si="3"/>
        <v>0.37037037037037035</v>
      </c>
      <c r="L12" s="1"/>
    </row>
    <row r="13" spans="1:13" x14ac:dyDescent="0.35">
      <c r="A13" t="s">
        <v>51</v>
      </c>
      <c r="B13" t="s">
        <v>52</v>
      </c>
      <c r="D13">
        <v>6.48</v>
      </c>
      <c r="E13" s="29">
        <f t="shared" si="1"/>
        <v>1</v>
      </c>
      <c r="F13" s="29">
        <f>1/60</f>
        <v>1.6666666666666666E-2</v>
      </c>
      <c r="G13" s="6">
        <f t="shared" si="0"/>
        <v>0.10800000000000001</v>
      </c>
      <c r="H13" s="1">
        <f t="shared" si="3"/>
        <v>0.15432098765432098</v>
      </c>
    </row>
    <row r="15" spans="1:13" x14ac:dyDescent="0.35">
      <c r="A15" s="10" t="s">
        <v>128</v>
      </c>
      <c r="F15" s="2" t="s">
        <v>66</v>
      </c>
      <c r="G15" t="s">
        <v>129</v>
      </c>
      <c r="H15" s="8">
        <f>AVERAGE(H4:H13)</f>
        <v>0.36448893698893692</v>
      </c>
    </row>
    <row r="16" spans="1:13" x14ac:dyDescent="0.35">
      <c r="A16" t="s">
        <v>130</v>
      </c>
      <c r="F16" s="2" t="s">
        <v>68</v>
      </c>
      <c r="G16" t="s">
        <v>73</v>
      </c>
      <c r="H16" s="8">
        <f>H15*0.014</f>
        <v>5.1028451178451173E-3</v>
      </c>
    </row>
    <row r="17" spans="1:8" x14ac:dyDescent="0.35">
      <c r="A17" t="s">
        <v>153</v>
      </c>
      <c r="F17" s="2" t="s">
        <v>70</v>
      </c>
      <c r="G17" t="s">
        <v>94</v>
      </c>
      <c r="H17" s="8">
        <f>H15+H16</f>
        <v>0.36959178210678201</v>
      </c>
    </row>
    <row r="18" spans="1:8" x14ac:dyDescent="0.35">
      <c r="A18" t="s">
        <v>154</v>
      </c>
      <c r="F18" s="2" t="s">
        <v>72</v>
      </c>
      <c r="G18" t="s">
        <v>77</v>
      </c>
      <c r="H18" s="1">
        <f>H17*0.07</f>
        <v>2.5871424747474742E-2</v>
      </c>
    </row>
    <row r="19" spans="1:8" x14ac:dyDescent="0.35">
      <c r="A19" t="s">
        <v>155</v>
      </c>
      <c r="G19" t="s">
        <v>95</v>
      </c>
      <c r="H19" s="8">
        <f>H17+H18</f>
        <v>0.39546320685425673</v>
      </c>
    </row>
    <row r="29" spans="1:8" x14ac:dyDescent="0.35">
      <c r="F29"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K22"/>
  <sheetViews>
    <sheetView topLeftCell="B1" workbookViewId="0">
      <selection activeCell="K5" sqref="K5"/>
    </sheetView>
  </sheetViews>
  <sheetFormatPr defaultRowHeight="14.5" x14ac:dyDescent="0.35"/>
  <cols>
    <col min="1" max="2" width="28.7265625" customWidth="1"/>
    <col min="3" max="3" width="51.54296875" customWidth="1"/>
    <col min="4" max="4" width="26.54296875" customWidth="1"/>
    <col min="5" max="5" width="9.453125" customWidth="1"/>
    <col min="6" max="6" width="17.453125" style="14" customWidth="1"/>
    <col min="7" max="7" width="10.7265625" customWidth="1"/>
    <col min="8" max="8" width="21.54296875" customWidth="1"/>
    <col min="9" max="9" width="22.453125" customWidth="1"/>
    <col min="10" max="10" width="19.453125" customWidth="1"/>
    <col min="11" max="11" width="56.1796875" customWidth="1"/>
  </cols>
  <sheetData>
    <row r="1" spans="1:11" s="17" customFormat="1" ht="12.5" x14ac:dyDescent="0.25">
      <c r="A1" s="17" t="s">
        <v>135</v>
      </c>
      <c r="B1" s="17" t="s">
        <v>136</v>
      </c>
      <c r="C1" s="17" t="s">
        <v>22</v>
      </c>
      <c r="D1" s="17" t="s">
        <v>137</v>
      </c>
      <c r="E1" s="17" t="s">
        <v>138</v>
      </c>
      <c r="F1" s="17" t="s">
        <v>119</v>
      </c>
      <c r="G1" s="17" t="s">
        <v>139</v>
      </c>
      <c r="H1" s="17" t="s">
        <v>140</v>
      </c>
      <c r="I1" s="17" t="s">
        <v>121</v>
      </c>
      <c r="J1" s="17" t="s">
        <v>122</v>
      </c>
      <c r="K1" s="17" t="s">
        <v>141</v>
      </c>
    </row>
    <row r="2" spans="1:11" s="18" customFormat="1" x14ac:dyDescent="0.35">
      <c r="A2" t="s">
        <v>156</v>
      </c>
      <c r="B2" s="18" t="s">
        <v>157</v>
      </c>
      <c r="C2" s="19" t="s">
        <v>54</v>
      </c>
      <c r="D2" s="18" t="s">
        <v>158</v>
      </c>
      <c r="E2" s="18" t="s">
        <v>159</v>
      </c>
      <c r="F2" s="25">
        <v>6.6</v>
      </c>
      <c r="G2" s="20">
        <v>2.4</v>
      </c>
      <c r="H2" s="20">
        <f>G2/60</f>
        <v>0.04</v>
      </c>
      <c r="I2" s="21">
        <f>F2/60</f>
        <v>0.11</v>
      </c>
      <c r="J2" s="22">
        <f>H2/I2</f>
        <v>0.36363636363636365</v>
      </c>
      <c r="K2" s="23" t="s">
        <v>160</v>
      </c>
    </row>
    <row r="3" spans="1:11" x14ac:dyDescent="0.35">
      <c r="A3" t="s">
        <v>156</v>
      </c>
      <c r="B3" t="s">
        <v>64</v>
      </c>
      <c r="C3" t="s">
        <v>65</v>
      </c>
      <c r="D3" t="s">
        <v>161</v>
      </c>
      <c r="E3" t="s">
        <v>159</v>
      </c>
      <c r="F3" s="26">
        <v>6.6</v>
      </c>
      <c r="G3" s="1">
        <v>2.11</v>
      </c>
      <c r="H3" s="15">
        <f t="shared" ref="H3:H4" si="0">G3/60</f>
        <v>3.5166666666666666E-2</v>
      </c>
      <c r="I3" s="6">
        <f t="shared" ref="I3:I4" si="1">F3/60</f>
        <v>0.11</v>
      </c>
      <c r="J3" s="16">
        <f t="shared" ref="J3:J4" si="2">H3/I3</f>
        <v>0.3196969696969697</v>
      </c>
      <c r="K3" s="13" t="s">
        <v>162</v>
      </c>
    </row>
    <row r="4" spans="1:11" x14ac:dyDescent="0.35">
      <c r="A4" t="s">
        <v>145</v>
      </c>
      <c r="B4" t="s">
        <v>30</v>
      </c>
      <c r="C4" t="s">
        <v>163</v>
      </c>
      <c r="D4" s="18" t="s">
        <v>158</v>
      </c>
      <c r="E4" t="s">
        <v>159</v>
      </c>
      <c r="F4" s="26">
        <v>6.5</v>
      </c>
      <c r="G4" s="15">
        <v>2.4</v>
      </c>
      <c r="H4" s="15">
        <f t="shared" si="0"/>
        <v>0.04</v>
      </c>
      <c r="I4" s="6">
        <f t="shared" si="1"/>
        <v>0.10833333333333334</v>
      </c>
      <c r="J4" s="16">
        <f t="shared" si="2"/>
        <v>0.36923076923076925</v>
      </c>
      <c r="K4" s="13" t="s">
        <v>164</v>
      </c>
    </row>
    <row r="5" spans="1:11" x14ac:dyDescent="0.35">
      <c r="A5" t="s">
        <v>145</v>
      </c>
      <c r="B5" t="s">
        <v>36</v>
      </c>
      <c r="C5" t="s">
        <v>37</v>
      </c>
      <c r="D5" s="18" t="s">
        <v>158</v>
      </c>
      <c r="E5" t="s">
        <v>159</v>
      </c>
      <c r="F5" s="26">
        <v>6.5</v>
      </c>
      <c r="G5" s="15">
        <v>2.4</v>
      </c>
      <c r="H5" s="15">
        <f t="shared" ref="H5:H11" si="3">G5/60</f>
        <v>0.04</v>
      </c>
      <c r="I5" s="6">
        <f t="shared" ref="I5:I11" si="4">F5/60</f>
        <v>0.10833333333333334</v>
      </c>
      <c r="J5" s="16">
        <f t="shared" ref="J5:J11" si="5">H5/I5</f>
        <v>0.36923076923076925</v>
      </c>
      <c r="K5" s="13" t="s">
        <v>165</v>
      </c>
    </row>
    <row r="6" spans="1:11" x14ac:dyDescent="0.35">
      <c r="A6" t="s">
        <v>145</v>
      </c>
      <c r="B6" t="s">
        <v>38</v>
      </c>
      <c r="C6" t="s">
        <v>39</v>
      </c>
      <c r="D6" t="s">
        <v>38</v>
      </c>
      <c r="E6" t="s">
        <v>159</v>
      </c>
      <c r="F6" s="26">
        <v>6.5</v>
      </c>
      <c r="G6" s="1">
        <v>2.46</v>
      </c>
      <c r="H6" s="15">
        <f t="shared" si="3"/>
        <v>4.1000000000000002E-2</v>
      </c>
      <c r="I6" s="6">
        <f t="shared" si="4"/>
        <v>0.10833333333333334</v>
      </c>
      <c r="J6" s="16">
        <f t="shared" si="5"/>
        <v>0.37846153846153846</v>
      </c>
      <c r="K6" s="13" t="s">
        <v>149</v>
      </c>
    </row>
    <row r="7" spans="1:11" x14ac:dyDescent="0.35">
      <c r="A7" t="s">
        <v>145</v>
      </c>
      <c r="B7" t="s">
        <v>42</v>
      </c>
      <c r="C7" t="s">
        <v>43</v>
      </c>
      <c r="D7" t="s">
        <v>42</v>
      </c>
      <c r="E7" t="s">
        <v>159</v>
      </c>
      <c r="F7" s="26">
        <v>6.48</v>
      </c>
      <c r="G7" s="1">
        <v>1.25</v>
      </c>
      <c r="H7" s="15">
        <f t="shared" si="3"/>
        <v>2.0833333333333332E-2</v>
      </c>
      <c r="I7" s="6">
        <f t="shared" si="4"/>
        <v>0.10800000000000001</v>
      </c>
      <c r="J7" s="16">
        <f t="shared" si="5"/>
        <v>0.1929012345679012</v>
      </c>
      <c r="K7" s="13" t="s">
        <v>149</v>
      </c>
    </row>
    <row r="8" spans="1:11" s="71" customFormat="1" x14ac:dyDescent="0.35">
      <c r="A8" s="71" t="s">
        <v>145</v>
      </c>
      <c r="B8" s="71" t="s">
        <v>44</v>
      </c>
      <c r="C8" s="71" t="s">
        <v>45</v>
      </c>
      <c r="D8" s="71" t="s">
        <v>44</v>
      </c>
      <c r="E8" s="71" t="s">
        <v>159</v>
      </c>
      <c r="F8" s="77">
        <v>6.48</v>
      </c>
      <c r="G8" s="27" t="s">
        <v>166</v>
      </c>
      <c r="H8" s="78"/>
      <c r="I8" s="75"/>
      <c r="J8" s="79"/>
      <c r="K8" s="80" t="s">
        <v>167</v>
      </c>
    </row>
    <row r="9" spans="1:11" x14ac:dyDescent="0.35">
      <c r="A9" t="s">
        <v>123</v>
      </c>
      <c r="B9" t="s">
        <v>47</v>
      </c>
      <c r="C9" t="s">
        <v>48</v>
      </c>
      <c r="D9" t="s">
        <v>123</v>
      </c>
      <c r="E9" t="s">
        <v>159</v>
      </c>
      <c r="F9" s="26">
        <v>6.6559999999999997</v>
      </c>
      <c r="G9" s="15">
        <v>2.1</v>
      </c>
      <c r="H9" s="15">
        <f t="shared" si="3"/>
        <v>3.5000000000000003E-2</v>
      </c>
      <c r="I9" s="6">
        <f t="shared" si="4"/>
        <v>0.11093333333333333</v>
      </c>
      <c r="J9" s="16">
        <f t="shared" si="5"/>
        <v>0.31550480769230771</v>
      </c>
      <c r="K9" s="13" t="s">
        <v>168</v>
      </c>
    </row>
    <row r="10" spans="1:11" x14ac:dyDescent="0.35">
      <c r="A10" t="s">
        <v>145</v>
      </c>
      <c r="B10" t="s">
        <v>49</v>
      </c>
      <c r="C10" t="s">
        <v>50</v>
      </c>
      <c r="D10" s="18" t="s">
        <v>158</v>
      </c>
      <c r="E10" t="s">
        <v>159</v>
      </c>
      <c r="F10" s="26">
        <v>6.5</v>
      </c>
      <c r="G10" s="15">
        <v>2.4</v>
      </c>
      <c r="H10" s="15">
        <f t="shared" si="3"/>
        <v>0.04</v>
      </c>
      <c r="I10" s="6">
        <f t="shared" si="4"/>
        <v>0.10833333333333334</v>
      </c>
      <c r="J10" s="16">
        <f t="shared" si="5"/>
        <v>0.36923076923076925</v>
      </c>
      <c r="K10" s="13" t="s">
        <v>169</v>
      </c>
    </row>
    <row r="11" spans="1:11" x14ac:dyDescent="0.35">
      <c r="A11" t="s">
        <v>145</v>
      </c>
      <c r="B11" t="s">
        <v>51</v>
      </c>
      <c r="C11" t="s">
        <v>52</v>
      </c>
      <c r="D11" t="s">
        <v>51</v>
      </c>
      <c r="E11" t="s">
        <v>159</v>
      </c>
      <c r="F11" s="26">
        <v>6.5</v>
      </c>
      <c r="G11" s="1">
        <v>1</v>
      </c>
      <c r="H11" s="15">
        <f t="shared" si="3"/>
        <v>1.6666666666666666E-2</v>
      </c>
      <c r="I11" s="6">
        <f t="shared" si="4"/>
        <v>0.10833333333333334</v>
      </c>
      <c r="J11" s="16">
        <f t="shared" si="5"/>
        <v>0.15384615384615383</v>
      </c>
      <c r="K11" s="13" t="s">
        <v>170</v>
      </c>
    </row>
    <row r="12" spans="1:11" x14ac:dyDescent="0.35">
      <c r="A12" t="s">
        <v>171</v>
      </c>
      <c r="B12" t="s">
        <v>56</v>
      </c>
      <c r="C12" t="s">
        <v>57</v>
      </c>
      <c r="D12" t="s">
        <v>171</v>
      </c>
      <c r="E12" t="s">
        <v>159</v>
      </c>
      <c r="F12" s="26">
        <v>11.5</v>
      </c>
      <c r="G12" s="1">
        <v>2.76</v>
      </c>
      <c r="H12" s="15">
        <f t="shared" ref="H12" si="6">G12/60</f>
        <v>4.5999999999999999E-2</v>
      </c>
      <c r="I12" s="6">
        <f t="shared" ref="I12" si="7">F12/60</f>
        <v>0.19166666666666668</v>
      </c>
      <c r="J12" s="16">
        <f t="shared" ref="J12" si="8">H12/I12</f>
        <v>0.24</v>
      </c>
      <c r="K12" s="13" t="s">
        <v>149</v>
      </c>
    </row>
    <row r="13" spans="1:11" x14ac:dyDescent="0.35">
      <c r="A13" t="s">
        <v>145</v>
      </c>
      <c r="B13" t="s">
        <v>58</v>
      </c>
      <c r="C13" t="s">
        <v>59</v>
      </c>
      <c r="D13" t="s">
        <v>58</v>
      </c>
      <c r="E13" t="s">
        <v>159</v>
      </c>
      <c r="F13" s="26">
        <v>6.6</v>
      </c>
      <c r="G13" s="1">
        <v>1.32</v>
      </c>
      <c r="H13" s="15">
        <f t="shared" ref="H13" si="9">G13/60</f>
        <v>2.2000000000000002E-2</v>
      </c>
      <c r="I13" s="6">
        <f t="shared" ref="I13" si="10">F13/60</f>
        <v>0.11</v>
      </c>
      <c r="J13" s="16">
        <f t="shared" ref="J13" si="11">H13/I13</f>
        <v>0.2</v>
      </c>
      <c r="K13" s="13" t="s">
        <v>149</v>
      </c>
    </row>
    <row r="14" spans="1:11" x14ac:dyDescent="0.35">
      <c r="A14" t="s">
        <v>171</v>
      </c>
      <c r="B14" t="s">
        <v>60</v>
      </c>
      <c r="C14" t="s">
        <v>61</v>
      </c>
      <c r="D14" t="s">
        <v>171</v>
      </c>
      <c r="E14" t="s">
        <v>159</v>
      </c>
      <c r="F14" s="26">
        <v>11.5</v>
      </c>
      <c r="G14" s="1">
        <v>3.45</v>
      </c>
      <c r="H14" s="15">
        <f t="shared" ref="H14" si="12">G14/60</f>
        <v>5.7500000000000002E-2</v>
      </c>
      <c r="I14" s="6">
        <f t="shared" ref="I14" si="13">F14/60</f>
        <v>0.19166666666666668</v>
      </c>
      <c r="J14" s="16">
        <f t="shared" ref="J14" si="14">H14/I14</f>
        <v>0.3</v>
      </c>
      <c r="K14" s="13" t="s">
        <v>149</v>
      </c>
    </row>
    <row r="15" spans="1:11" x14ac:dyDescent="0.35">
      <c r="A15" t="s">
        <v>145</v>
      </c>
      <c r="B15" t="s">
        <v>62</v>
      </c>
      <c r="C15" t="s">
        <v>63</v>
      </c>
      <c r="D15" t="s">
        <v>172</v>
      </c>
      <c r="E15" t="s">
        <v>159</v>
      </c>
      <c r="F15" s="26">
        <v>6.6</v>
      </c>
      <c r="G15" s="1">
        <v>1.39</v>
      </c>
      <c r="H15" s="15">
        <f t="shared" ref="H15" si="15">G15/60</f>
        <v>2.3166666666666665E-2</v>
      </c>
      <c r="I15" s="6">
        <f t="shared" ref="I15" si="16">F15/60</f>
        <v>0.11</v>
      </c>
      <c r="J15" s="16">
        <f t="shared" ref="J15" si="17">H15/I15</f>
        <v>0.2106060606060606</v>
      </c>
      <c r="K15" s="13" t="s">
        <v>149</v>
      </c>
    </row>
    <row r="18" spans="8:10" x14ac:dyDescent="0.35">
      <c r="H18" s="2" t="s">
        <v>66</v>
      </c>
      <c r="I18" t="s">
        <v>129</v>
      </c>
      <c r="J18" s="8">
        <f>AVERAGE(J2:J15)</f>
        <v>0.29094964893843095</v>
      </c>
    </row>
    <row r="19" spans="8:10" x14ac:dyDescent="0.35">
      <c r="H19" s="2" t="s">
        <v>68</v>
      </c>
      <c r="I19" t="s">
        <v>73</v>
      </c>
      <c r="J19" s="8">
        <f>J18*0.014</f>
        <v>4.0732950851380331E-3</v>
      </c>
    </row>
    <row r="20" spans="8:10" x14ac:dyDescent="0.35">
      <c r="H20" s="2" t="s">
        <v>70</v>
      </c>
      <c r="I20" t="s">
        <v>94</v>
      </c>
      <c r="J20" s="8">
        <f>J18+J19</f>
        <v>0.29502294402356899</v>
      </c>
    </row>
    <row r="21" spans="8:10" x14ac:dyDescent="0.35">
      <c r="H21" s="2" t="s">
        <v>72</v>
      </c>
      <c r="I21" t="s">
        <v>77</v>
      </c>
      <c r="J21" s="1">
        <f>J20*0.07</f>
        <v>2.0651606081649832E-2</v>
      </c>
    </row>
    <row r="22" spans="8:10" x14ac:dyDescent="0.35">
      <c r="I22" t="s">
        <v>95</v>
      </c>
      <c r="J22" s="8">
        <f>J20+J21</f>
        <v>0.31567455010521883</v>
      </c>
    </row>
  </sheetData>
  <autoFilter ref="A1:K1" xr:uid="{00000000-0009-0000-0000-000007000000}"/>
  <hyperlinks>
    <hyperlink ref="K2" r:id="rId1" xr:uid="{00000000-0004-0000-0700-000000000000}"/>
    <hyperlink ref="K3" r:id="rId2" xr:uid="{00000000-0004-0000-0700-000001000000}"/>
    <hyperlink ref="K4" r:id="rId3" xr:uid="{00000000-0004-0000-0700-000002000000}"/>
    <hyperlink ref="K9" r:id="rId4" xr:uid="{00000000-0004-0000-0700-000003000000}"/>
    <hyperlink ref="K5" r:id="rId5" xr:uid="{00000000-0004-0000-0700-000004000000}"/>
    <hyperlink ref="K6" r:id="rId6" xr:uid="{00000000-0004-0000-0700-000005000000}"/>
    <hyperlink ref="K7" r:id="rId7" xr:uid="{00000000-0004-0000-0700-000006000000}"/>
    <hyperlink ref="K11" r:id="rId8" xr:uid="{00000000-0004-0000-0700-000007000000}"/>
    <hyperlink ref="K10" r:id="rId9" xr:uid="{00000000-0004-0000-0700-000008000000}"/>
    <hyperlink ref="K12" r:id="rId10" xr:uid="{00000000-0004-0000-0700-000009000000}"/>
    <hyperlink ref="K13" r:id="rId11" xr:uid="{00000000-0004-0000-0700-00000A000000}"/>
    <hyperlink ref="K14" r:id="rId12" xr:uid="{00000000-0004-0000-0700-00000B000000}"/>
    <hyperlink ref="K15" r:id="rId13" xr:uid="{00000000-0004-0000-0700-00000C000000}"/>
    <hyperlink ref="K8" r:id="rId14" xr:uid="{00000000-0004-0000-0700-00000D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K22"/>
  <sheetViews>
    <sheetView workbookViewId="0">
      <selection activeCell="B2" sqref="B2"/>
    </sheetView>
  </sheetViews>
  <sheetFormatPr defaultRowHeight="14.5" x14ac:dyDescent="0.35"/>
  <cols>
    <col min="1" max="2" width="28.7265625" customWidth="1"/>
    <col min="3" max="3" width="51.54296875" customWidth="1"/>
    <col min="4" max="4" width="26.54296875" customWidth="1"/>
    <col min="5" max="5" width="9.453125" customWidth="1"/>
    <col min="6" max="6" width="17.453125" style="14" customWidth="1"/>
    <col min="7" max="7" width="10.7265625" customWidth="1"/>
    <col min="8" max="8" width="21.54296875" customWidth="1"/>
    <col min="9" max="9" width="22.453125" customWidth="1"/>
    <col min="10" max="10" width="19.453125" customWidth="1"/>
    <col min="11" max="11" width="56.1796875" customWidth="1"/>
  </cols>
  <sheetData>
    <row r="1" spans="1:11" s="17" customFormat="1" ht="12.5" x14ac:dyDescent="0.25">
      <c r="A1" s="17" t="s">
        <v>135</v>
      </c>
      <c r="B1" s="17" t="s">
        <v>136</v>
      </c>
      <c r="C1" s="17" t="s">
        <v>22</v>
      </c>
      <c r="D1" s="17" t="s">
        <v>137</v>
      </c>
      <c r="E1" s="17" t="s">
        <v>138</v>
      </c>
      <c r="F1" s="17" t="s">
        <v>119</v>
      </c>
      <c r="G1" s="17" t="s">
        <v>139</v>
      </c>
      <c r="H1" s="17" t="s">
        <v>140</v>
      </c>
      <c r="I1" s="17" t="s">
        <v>121</v>
      </c>
      <c r="J1" s="17" t="s">
        <v>122</v>
      </c>
      <c r="K1" s="17" t="s">
        <v>141</v>
      </c>
    </row>
    <row r="2" spans="1:11" s="18" customFormat="1" x14ac:dyDescent="0.35">
      <c r="A2" t="s">
        <v>156</v>
      </c>
      <c r="B2" s="18" t="s">
        <v>157</v>
      </c>
      <c r="C2" s="19" t="s">
        <v>54</v>
      </c>
      <c r="D2" s="18" t="s">
        <v>158</v>
      </c>
      <c r="E2" s="18" t="s">
        <v>159</v>
      </c>
      <c r="F2" s="25">
        <v>6.6</v>
      </c>
      <c r="G2" s="27">
        <v>2.4</v>
      </c>
      <c r="H2" s="20">
        <f>G2/60</f>
        <v>0.04</v>
      </c>
      <c r="I2" s="21">
        <f>F2/60</f>
        <v>0.11</v>
      </c>
      <c r="J2" s="22">
        <f>H2/I2</f>
        <v>0.36363636363636365</v>
      </c>
      <c r="K2" s="23" t="s">
        <v>160</v>
      </c>
    </row>
    <row r="3" spans="1:11" x14ac:dyDescent="0.35">
      <c r="A3" t="s">
        <v>156</v>
      </c>
      <c r="B3" t="s">
        <v>64</v>
      </c>
      <c r="C3" t="s">
        <v>65</v>
      </c>
      <c r="D3" t="s">
        <v>161</v>
      </c>
      <c r="E3" t="s">
        <v>159</v>
      </c>
      <c r="F3" s="26">
        <v>6.6</v>
      </c>
      <c r="G3" s="28">
        <v>2.11</v>
      </c>
      <c r="H3" s="15">
        <f t="shared" ref="H3:H15" si="0">G3/60</f>
        <v>3.5166666666666666E-2</v>
      </c>
      <c r="I3" s="6">
        <f t="shared" ref="I3:I15" si="1">F3/60</f>
        <v>0.11</v>
      </c>
      <c r="J3" s="16">
        <f t="shared" ref="J3:J15" si="2">H3/I3</f>
        <v>0.3196969696969697</v>
      </c>
      <c r="K3" s="13" t="s">
        <v>162</v>
      </c>
    </row>
    <row r="4" spans="1:11" x14ac:dyDescent="0.35">
      <c r="A4" t="s">
        <v>145</v>
      </c>
      <c r="B4" t="s">
        <v>30</v>
      </c>
      <c r="C4" t="s">
        <v>163</v>
      </c>
      <c r="D4" s="18" t="s">
        <v>158</v>
      </c>
      <c r="E4" t="s">
        <v>159</v>
      </c>
      <c r="F4" s="26">
        <v>6.5</v>
      </c>
      <c r="G4" s="27">
        <v>2.4</v>
      </c>
      <c r="H4" s="15">
        <f t="shared" si="0"/>
        <v>0.04</v>
      </c>
      <c r="I4" s="6">
        <f t="shared" si="1"/>
        <v>0.10833333333333334</v>
      </c>
      <c r="J4" s="16">
        <f t="shared" si="2"/>
        <v>0.36923076923076925</v>
      </c>
      <c r="K4" s="13" t="s">
        <v>164</v>
      </c>
    </row>
    <row r="5" spans="1:11" x14ac:dyDescent="0.35">
      <c r="A5" t="s">
        <v>145</v>
      </c>
      <c r="B5" t="s">
        <v>36</v>
      </c>
      <c r="C5" t="s">
        <v>37</v>
      </c>
      <c r="D5" s="18" t="s">
        <v>158</v>
      </c>
      <c r="E5" t="s">
        <v>159</v>
      </c>
      <c r="F5" s="26">
        <v>6.5</v>
      </c>
      <c r="G5" s="27">
        <v>2.4</v>
      </c>
      <c r="H5" s="15">
        <f t="shared" si="0"/>
        <v>0.04</v>
      </c>
      <c r="I5" s="6">
        <f t="shared" si="1"/>
        <v>0.10833333333333334</v>
      </c>
      <c r="J5" s="16">
        <f t="shared" si="2"/>
        <v>0.36923076923076925</v>
      </c>
      <c r="K5" s="13" t="s">
        <v>165</v>
      </c>
    </row>
    <row r="6" spans="1:11" x14ac:dyDescent="0.35">
      <c r="A6" t="s">
        <v>145</v>
      </c>
      <c r="B6" t="s">
        <v>38</v>
      </c>
      <c r="C6" t="s">
        <v>39</v>
      </c>
      <c r="D6" t="s">
        <v>38</v>
      </c>
      <c r="E6" t="s">
        <v>159</v>
      </c>
      <c r="F6" s="26">
        <v>6.5</v>
      </c>
      <c r="G6" s="28">
        <v>2.46</v>
      </c>
      <c r="H6" s="15">
        <f t="shared" si="0"/>
        <v>4.1000000000000002E-2</v>
      </c>
      <c r="I6" s="6">
        <f t="shared" si="1"/>
        <v>0.10833333333333334</v>
      </c>
      <c r="J6" s="16">
        <f t="shared" si="2"/>
        <v>0.37846153846153846</v>
      </c>
      <c r="K6" s="13" t="s">
        <v>149</v>
      </c>
    </row>
    <row r="7" spans="1:11" x14ac:dyDescent="0.35">
      <c r="A7" t="s">
        <v>145</v>
      </c>
      <c r="B7" t="s">
        <v>42</v>
      </c>
      <c r="C7" t="s">
        <v>43</v>
      </c>
      <c r="D7" t="s">
        <v>42</v>
      </c>
      <c r="E7" t="s">
        <v>159</v>
      </c>
      <c r="F7" s="26">
        <v>6.48</v>
      </c>
      <c r="G7" s="28">
        <v>1.25</v>
      </c>
      <c r="H7" s="15">
        <f t="shared" si="0"/>
        <v>2.0833333333333332E-2</v>
      </c>
      <c r="I7" s="6">
        <f t="shared" si="1"/>
        <v>0.10800000000000001</v>
      </c>
      <c r="J7" s="16">
        <f t="shared" si="2"/>
        <v>0.1929012345679012</v>
      </c>
      <c r="K7" s="13" t="s">
        <v>149</v>
      </c>
    </row>
    <row r="8" spans="1:11" x14ac:dyDescent="0.35">
      <c r="A8" t="s">
        <v>145</v>
      </c>
      <c r="B8" t="s">
        <v>44</v>
      </c>
      <c r="C8" t="s">
        <v>45</v>
      </c>
      <c r="D8" t="s">
        <v>44</v>
      </c>
      <c r="E8" t="s">
        <v>159</v>
      </c>
      <c r="F8" s="26">
        <v>6.48</v>
      </c>
      <c r="G8" s="27" t="s">
        <v>166</v>
      </c>
      <c r="H8" s="15"/>
      <c r="I8" s="6"/>
      <c r="J8" s="16"/>
      <c r="K8" s="13" t="s">
        <v>167</v>
      </c>
    </row>
    <row r="9" spans="1:11" x14ac:dyDescent="0.35">
      <c r="A9" t="s">
        <v>123</v>
      </c>
      <c r="B9" t="s">
        <v>47</v>
      </c>
      <c r="C9" t="s">
        <v>48</v>
      </c>
      <c r="D9" t="s">
        <v>123</v>
      </c>
      <c r="E9" t="s">
        <v>159</v>
      </c>
      <c r="F9" s="26">
        <v>6.6559999999999997</v>
      </c>
      <c r="G9" s="27">
        <v>2.2999999999999998</v>
      </c>
      <c r="H9" s="15">
        <f t="shared" si="0"/>
        <v>3.833333333333333E-2</v>
      </c>
      <c r="I9" s="6">
        <f t="shared" si="1"/>
        <v>0.11093333333333333</v>
      </c>
      <c r="J9" s="16">
        <f t="shared" si="2"/>
        <v>0.34555288461538458</v>
      </c>
      <c r="K9" s="13" t="s">
        <v>168</v>
      </c>
    </row>
    <row r="10" spans="1:11" x14ac:dyDescent="0.35">
      <c r="A10" t="s">
        <v>145</v>
      </c>
      <c r="B10" t="s">
        <v>49</v>
      </c>
      <c r="C10" t="s">
        <v>50</v>
      </c>
      <c r="D10" s="18" t="s">
        <v>158</v>
      </c>
      <c r="E10" t="s">
        <v>159</v>
      </c>
      <c r="F10" s="26">
        <v>6.5</v>
      </c>
      <c r="G10" s="27">
        <v>2.4</v>
      </c>
      <c r="H10" s="15">
        <f t="shared" si="0"/>
        <v>0.04</v>
      </c>
      <c r="I10" s="6">
        <f t="shared" si="1"/>
        <v>0.10833333333333334</v>
      </c>
      <c r="J10" s="16">
        <f t="shared" si="2"/>
        <v>0.36923076923076925</v>
      </c>
      <c r="K10" s="13" t="s">
        <v>169</v>
      </c>
    </row>
    <row r="11" spans="1:11" x14ac:dyDescent="0.35">
      <c r="A11" t="s">
        <v>145</v>
      </c>
      <c r="B11" t="s">
        <v>51</v>
      </c>
      <c r="C11" t="s">
        <v>52</v>
      </c>
      <c r="D11" t="s">
        <v>51</v>
      </c>
      <c r="E11" t="s">
        <v>159</v>
      </c>
      <c r="F11" s="26">
        <v>6.5</v>
      </c>
      <c r="G11" s="28">
        <v>1</v>
      </c>
      <c r="H11" s="15">
        <f t="shared" si="0"/>
        <v>1.6666666666666666E-2</v>
      </c>
      <c r="I11" s="6">
        <f t="shared" si="1"/>
        <v>0.10833333333333334</v>
      </c>
      <c r="J11" s="16">
        <f t="shared" si="2"/>
        <v>0.15384615384615383</v>
      </c>
      <c r="K11" s="13" t="s">
        <v>170</v>
      </c>
    </row>
    <row r="12" spans="1:11" x14ac:dyDescent="0.35">
      <c r="A12" t="s">
        <v>171</v>
      </c>
      <c r="B12" t="s">
        <v>56</v>
      </c>
      <c r="C12" t="s">
        <v>57</v>
      </c>
      <c r="D12" t="s">
        <v>171</v>
      </c>
      <c r="E12" t="s">
        <v>159</v>
      </c>
      <c r="F12" s="26">
        <v>11.5</v>
      </c>
      <c r="G12" s="28">
        <v>2.76</v>
      </c>
      <c r="H12" s="15">
        <f t="shared" si="0"/>
        <v>4.5999999999999999E-2</v>
      </c>
      <c r="I12" s="6">
        <f t="shared" si="1"/>
        <v>0.19166666666666668</v>
      </c>
      <c r="J12" s="16">
        <f t="shared" si="2"/>
        <v>0.24</v>
      </c>
      <c r="K12" s="13" t="s">
        <v>149</v>
      </c>
    </row>
    <row r="13" spans="1:11" x14ac:dyDescent="0.35">
      <c r="A13" t="s">
        <v>145</v>
      </c>
      <c r="B13" t="s">
        <v>58</v>
      </c>
      <c r="C13" t="s">
        <v>59</v>
      </c>
      <c r="D13" t="s">
        <v>58</v>
      </c>
      <c r="E13" t="s">
        <v>159</v>
      </c>
      <c r="F13" s="26">
        <v>6.6</v>
      </c>
      <c r="G13" s="28">
        <v>1.32</v>
      </c>
      <c r="H13" s="15">
        <f t="shared" si="0"/>
        <v>2.2000000000000002E-2</v>
      </c>
      <c r="I13" s="6">
        <f t="shared" si="1"/>
        <v>0.11</v>
      </c>
      <c r="J13" s="16">
        <f t="shared" si="2"/>
        <v>0.2</v>
      </c>
      <c r="K13" s="13" t="s">
        <v>149</v>
      </c>
    </row>
    <row r="14" spans="1:11" x14ac:dyDescent="0.35">
      <c r="A14" t="s">
        <v>171</v>
      </c>
      <c r="B14" t="s">
        <v>60</v>
      </c>
      <c r="C14" t="s">
        <v>61</v>
      </c>
      <c r="D14" t="s">
        <v>171</v>
      </c>
      <c r="E14" t="s">
        <v>159</v>
      </c>
      <c r="F14" s="26">
        <v>11.5</v>
      </c>
      <c r="G14" s="28">
        <v>3.45</v>
      </c>
      <c r="H14" s="15">
        <f t="shared" si="0"/>
        <v>5.7500000000000002E-2</v>
      </c>
      <c r="I14" s="6">
        <f t="shared" si="1"/>
        <v>0.19166666666666668</v>
      </c>
      <c r="J14" s="16">
        <f t="shared" si="2"/>
        <v>0.3</v>
      </c>
      <c r="K14" s="13" t="s">
        <v>149</v>
      </c>
    </row>
    <row r="15" spans="1:11" x14ac:dyDescent="0.35">
      <c r="A15" t="s">
        <v>145</v>
      </c>
      <c r="B15" t="s">
        <v>62</v>
      </c>
      <c r="C15" t="s">
        <v>63</v>
      </c>
      <c r="D15" t="s">
        <v>172</v>
      </c>
      <c r="E15" t="s">
        <v>159</v>
      </c>
      <c r="F15" s="26">
        <v>6.6</v>
      </c>
      <c r="G15" s="28">
        <v>1.39</v>
      </c>
      <c r="H15" s="15">
        <f t="shared" si="0"/>
        <v>2.3166666666666665E-2</v>
      </c>
      <c r="I15" s="6">
        <f t="shared" si="1"/>
        <v>0.11</v>
      </c>
      <c r="J15" s="16">
        <f t="shared" si="2"/>
        <v>0.2106060606060606</v>
      </c>
      <c r="K15" s="13" t="s">
        <v>149</v>
      </c>
    </row>
    <row r="18" spans="8:10" x14ac:dyDescent="0.35">
      <c r="H18" s="2" t="s">
        <v>66</v>
      </c>
      <c r="I18" t="s">
        <v>129</v>
      </c>
      <c r="J18" s="8">
        <f>AVERAGE(J2:J15)</f>
        <v>0.29326103947097532</v>
      </c>
    </row>
    <row r="19" spans="8:10" x14ac:dyDescent="0.35">
      <c r="H19" s="2" t="s">
        <v>68</v>
      </c>
      <c r="I19" t="s">
        <v>73</v>
      </c>
      <c r="J19" s="8">
        <f>J18*0.014</f>
        <v>4.1056545525936542E-3</v>
      </c>
    </row>
    <row r="20" spans="8:10" x14ac:dyDescent="0.35">
      <c r="H20" s="2" t="s">
        <v>70</v>
      </c>
      <c r="I20" t="s">
        <v>94</v>
      </c>
      <c r="J20" s="8">
        <f>J18+J19</f>
        <v>0.29736669402356897</v>
      </c>
    </row>
    <row r="21" spans="8:10" x14ac:dyDescent="0.35">
      <c r="H21" s="2" t="s">
        <v>72</v>
      </c>
      <c r="I21" t="s">
        <v>77</v>
      </c>
      <c r="J21" s="1">
        <f>J20*0.07</f>
        <v>2.0815668581649828E-2</v>
      </c>
    </row>
    <row r="22" spans="8:10" x14ac:dyDescent="0.35">
      <c r="I22" t="s">
        <v>95</v>
      </c>
      <c r="J22" s="8">
        <f>J20+J21</f>
        <v>0.31818236260521882</v>
      </c>
    </row>
  </sheetData>
  <autoFilter ref="A1:K1" xr:uid="{00000000-0009-0000-0000-000008000000}"/>
  <hyperlinks>
    <hyperlink ref="K2" r:id="rId1" xr:uid="{00000000-0004-0000-0800-000000000000}"/>
    <hyperlink ref="K3" r:id="rId2" xr:uid="{00000000-0004-0000-0800-000001000000}"/>
    <hyperlink ref="K4" r:id="rId3" xr:uid="{00000000-0004-0000-0800-000002000000}"/>
    <hyperlink ref="K9" r:id="rId4" xr:uid="{00000000-0004-0000-0800-000003000000}"/>
    <hyperlink ref="K5" r:id="rId5" xr:uid="{00000000-0004-0000-0800-000004000000}"/>
    <hyperlink ref="K6" r:id="rId6" xr:uid="{00000000-0004-0000-0800-000005000000}"/>
    <hyperlink ref="K7" r:id="rId7" xr:uid="{00000000-0004-0000-0800-000006000000}"/>
    <hyperlink ref="K11" r:id="rId8" xr:uid="{00000000-0004-0000-0800-000007000000}"/>
    <hyperlink ref="K10" r:id="rId9" xr:uid="{00000000-0004-0000-0800-000008000000}"/>
    <hyperlink ref="K12" r:id="rId10" xr:uid="{00000000-0004-0000-0800-000009000000}"/>
    <hyperlink ref="K13" r:id="rId11" xr:uid="{00000000-0004-0000-0800-00000A000000}"/>
    <hyperlink ref="K14" r:id="rId12" xr:uid="{00000000-0004-0000-0800-00000B000000}"/>
    <hyperlink ref="K15" r:id="rId13" xr:uid="{00000000-0004-0000-0800-00000C000000}"/>
    <hyperlink ref="K8" r:id="rId14" xr:uid="{00000000-0004-0000-0800-00000D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6" ma:contentTypeDescription="Create a new document." ma:contentTypeScope="" ma:versionID="74c5940f497891f254bc15682dd452d1">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fe85ad5fc585b86e243c3c53079c0e90"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db5066c-6899-482b-9ea0-5145f9da9989" xsi:nil="true"/>
    <_ip_UnifiedCompliancePolicyProperties xmlns="http://schemas.microsoft.com/sharepoint/v3" xsi:nil="true"/>
    <lcf76f155ced4ddcb4097134ff3c332f xmlns="f5536f26-5d7e-4d2b-a510-6667eeb1ad7c">
      <Terms xmlns="http://schemas.microsoft.com/office/infopath/2007/PartnerControls"/>
    </lcf76f155ced4ddcb4097134ff3c332f>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8978E-0B14-4AFC-BBCD-A43032F950FA}"/>
</file>

<file path=customXml/itemProps2.xml><?xml version="1.0" encoding="utf-8"?>
<ds:datastoreItem xmlns:ds="http://schemas.openxmlformats.org/officeDocument/2006/customXml" ds:itemID="{DABA870B-B23D-43DB-9512-4C058A52DAB0}">
  <ds:schemaRefs>
    <ds:schemaRef ds:uri="http://schemas.microsoft.com/office/2006/metadata/properties"/>
    <ds:schemaRef ds:uri="http://schemas.microsoft.com/office/infopath/2007/PartnerControls"/>
    <ds:schemaRef ds:uri="http://schemas.microsoft.com/sharepoint/v3"/>
    <ds:schemaRef ds:uri="7558938a-8a22-4524-afb0-58b165029303"/>
    <ds:schemaRef ds:uri="ddb5066c-6899-482b-9ea0-5145f9da9989"/>
  </ds:schemaRefs>
</ds:datastoreItem>
</file>

<file path=customXml/itemProps3.xml><?xml version="1.0" encoding="utf-8"?>
<ds:datastoreItem xmlns:ds="http://schemas.openxmlformats.org/officeDocument/2006/customXml" ds:itemID="{213B2CAB-CB5C-4E5B-AD96-37B1DC4000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vt:lpstr>
      <vt:lpstr>Wrk Paper 1_Rate Avg Summary</vt:lpstr>
      <vt:lpstr>Wrk Paper 2 Rate Comps Sum. V1</vt:lpstr>
      <vt:lpstr>Wrk Paper 3 Rate Comps Sum. V2</vt:lpstr>
      <vt:lpstr>Rate DCFC - Jan-Feb 2024</vt:lpstr>
      <vt:lpstr>Rate DCFC - March 2024 </vt:lpstr>
      <vt:lpstr>Rate EVP - Jan 2024</vt:lpstr>
      <vt:lpstr>Rate EVP - Feb 2024</vt:lpstr>
      <vt:lpstr>Rate EVP - March 2024</vt:lpstr>
      <vt:lpstr>'Wrk Paper 3 Rate Comps Sum. V2'!Print_Area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 Elliot</dc:creator>
  <cp:keywords/>
  <dc:description/>
  <cp:lastModifiedBy>Bruce, Carla</cp:lastModifiedBy>
  <cp:revision/>
  <dcterms:created xsi:type="dcterms:W3CDTF">2022-11-11T15:30:06Z</dcterms:created>
  <dcterms:modified xsi:type="dcterms:W3CDTF">2024-04-30T14:54:16Z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0x01010017F62C1BAB7D1B4998D0BFFEC59B8AD2</vt:lpwstr>
  </property>
</Properties>
</file>