
<file path=[Content_Types].xml><?xml version="1.0" encoding="utf-8"?>
<Types xmlns="http://schemas.openxmlformats.org/package/2006/content-types">
  <Default Extension="bin" ContentType="application/vnd.openxmlformats-officedocument.spreadsheetml.customProperty"/>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rinterSettings/printerSettings1.bin" ContentType="application/vnd.openxmlformats-officedocument.spreadsheetml.printerSettings"/>
  <Override PartName="/xl/printerSettings/printerSettings2.bin" ContentType="application/vnd.openxmlformats-officedocument.spreadsheetml.printerSettings"/>
  <Override PartName="/xl/printerSettings/printerSettings3.bin" ContentType="application/vnd.openxmlformats-officedocument.spreadsheetml.printerSettings"/>
  <Override PartName="/xl/printerSettings/printerSettings4.bin" ContentType="application/vnd.openxmlformats-officedocument.spreadsheetml.printerSettings"/>
  <Override PartName="/xl/printerSettings/printerSettings5.bin" ContentType="application/vnd.openxmlformats-officedocument.spreadsheetml.printerSettings"/>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filterPrivacy="1"/>
  <xr:revisionPtr revIDLastSave="0" documentId="8_{46FFB817-F2EE-4AE1-AA2B-5E2296A4891B}" xr6:coauthVersionLast="47" xr6:coauthVersionMax="47" xr10:uidLastSave="{00000000-0000-0000-0000-000000000000}"/>
  <bookViews>
    <workbookView xWindow="20370" yWindow="-3675" windowWidth="29040" windowHeight="17640" tabRatio="724" xr2:uid="{00000000-000D-0000-FFFF-FFFF00000000}"/>
  </bookViews>
  <sheets>
    <sheet name="Cover Page" sheetId="8" r:id="rId1"/>
    <sheet name="Attch1 P1 VEDN Res (Q1-4,6-7)" sheetId="1" r:id="rId2"/>
    <sheet name="Attch1 P2 VEDN NonRes(Q1-4,6-7)" sheetId="2" r:id="rId3"/>
    <sheet name="Attch 1 P3 VEDS Res (Q1-4,6-7)" sheetId="4" r:id="rId4"/>
    <sheet name="Attch1 P4 VEDS NonRes(Q1-4,6-7)" sheetId="5" r:id="rId5"/>
    <sheet name="Attch 1 P5" sheetId="13" r:id="rId6"/>
  </sheets>
  <definedNames>
    <definedName name="_xlnm.Print_Area" localSheetId="5">'Attch 1 P5'!$A$1:$E$21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39" i="4" l="1"/>
  <c r="H39" i="4"/>
  <c r="I39" i="1"/>
  <c r="G39" i="1"/>
  <c r="J38" i="5" l="1"/>
  <c r="H38" i="5"/>
  <c r="J38" i="4"/>
  <c r="H38" i="4"/>
  <c r="G38" i="2"/>
  <c r="I38" i="1"/>
  <c r="G38" i="1"/>
  <c r="H37" i="5" l="1"/>
  <c r="H37" i="4"/>
  <c r="G37" i="2"/>
  <c r="G37" i="1"/>
  <c r="J37" i="5" l="1"/>
  <c r="J37" i="4"/>
  <c r="I37" i="2"/>
  <c r="I37" i="1"/>
  <c r="D9" i="13" l="1"/>
  <c r="C9" i="13"/>
  <c r="D12" i="13"/>
  <c r="C12" i="13"/>
  <c r="E12" i="13" s="1"/>
  <c r="D11" i="13"/>
  <c r="C11" i="13"/>
  <c r="E11" i="13" s="1"/>
  <c r="E10" i="13"/>
  <c r="D10" i="13"/>
  <c r="D8" i="13"/>
  <c r="C8" i="13"/>
  <c r="C14" i="13" s="1"/>
  <c r="A9" i="13"/>
  <c r="A10" i="13"/>
  <c r="A11" i="13" s="1"/>
  <c r="A12" i="13" s="1"/>
  <c r="E9" i="13" l="1"/>
  <c r="D14" i="13"/>
  <c r="E8" i="13"/>
  <c r="E14" i="13" l="1"/>
  <c r="H36" i="5" l="1"/>
  <c r="H36" i="4"/>
  <c r="G36" i="2"/>
  <c r="I36" i="1"/>
  <c r="G36" i="1"/>
  <c r="J35" i="5" l="1"/>
  <c r="I35" i="5"/>
  <c r="H35" i="5"/>
  <c r="J35" i="4"/>
  <c r="I35" i="4"/>
  <c r="H35" i="4"/>
  <c r="G35" i="2"/>
  <c r="I35" i="1"/>
  <c r="G35" i="1"/>
  <c r="A14" i="13" l="1"/>
  <c r="H34" i="5" l="1"/>
  <c r="J34" i="4" l="1"/>
  <c r="H34" i="4"/>
  <c r="G34" i="2"/>
  <c r="F34" i="2"/>
  <c r="I34" i="1"/>
  <c r="G34" i="1"/>
  <c r="J33" i="5" l="1"/>
  <c r="H33" i="5"/>
  <c r="J33" i="4"/>
  <c r="I33" i="4"/>
  <c r="H33" i="4"/>
  <c r="I33" i="2"/>
  <c r="G33" i="2"/>
  <c r="I33" i="1"/>
  <c r="G33" i="1"/>
  <c r="C32" i="2" l="1"/>
  <c r="J32" i="5" l="1"/>
  <c r="H32" i="5"/>
  <c r="J32" i="4"/>
  <c r="H32" i="4"/>
  <c r="G32" i="2"/>
  <c r="I32" i="1"/>
  <c r="G32" i="1"/>
  <c r="J31" i="5" l="1"/>
  <c r="H31" i="5"/>
  <c r="J31" i="4"/>
  <c r="H31" i="4"/>
  <c r="I31" i="2"/>
  <c r="G31" i="2"/>
  <c r="I31" i="1"/>
  <c r="G31" i="1"/>
  <c r="J30" i="5" l="1"/>
  <c r="H30" i="5"/>
  <c r="J30" i="4"/>
  <c r="H30" i="4"/>
  <c r="I30" i="2"/>
  <c r="G30" i="2"/>
  <c r="I30" i="1"/>
  <c r="G30" i="1"/>
  <c r="H29" i="5" l="1"/>
  <c r="J29" i="4"/>
  <c r="H29" i="4"/>
  <c r="I29" i="2"/>
  <c r="G29" i="2"/>
  <c r="I29" i="1"/>
  <c r="G29" i="1"/>
  <c r="J28" i="5" l="1"/>
  <c r="H28" i="5"/>
  <c r="J28" i="4"/>
  <c r="H28" i="4"/>
  <c r="I28" i="2"/>
  <c r="G28" i="2"/>
  <c r="I28" i="1"/>
  <c r="G28" i="1"/>
  <c r="I27" i="2" l="1"/>
  <c r="G27" i="2"/>
  <c r="F27" i="2"/>
  <c r="I27" i="1"/>
  <c r="G27" i="1"/>
  <c r="J27" i="5"/>
  <c r="G27" i="5"/>
  <c r="I27" i="5"/>
  <c r="H27" i="5"/>
  <c r="J27" i="4"/>
  <c r="H27" i="4"/>
  <c r="J26" i="5" l="1"/>
  <c r="H26" i="5"/>
  <c r="G26" i="5"/>
  <c r="J26" i="4"/>
  <c r="I26" i="4"/>
  <c r="H26" i="4"/>
  <c r="I26" i="2"/>
  <c r="G26" i="2"/>
  <c r="F26" i="2"/>
  <c r="I26" i="1"/>
  <c r="G26" i="1"/>
  <c r="J25" i="5" l="1"/>
  <c r="H25" i="5"/>
  <c r="J25" i="4"/>
  <c r="H25" i="4"/>
  <c r="G25" i="2"/>
  <c r="I25" i="1"/>
  <c r="I24" i="2" l="1"/>
  <c r="G24" i="2"/>
  <c r="I24" i="1"/>
  <c r="G24" i="1"/>
  <c r="F24" i="1"/>
  <c r="J24" i="5"/>
  <c r="H24" i="5"/>
  <c r="J24" i="4"/>
  <c r="H24" i="4"/>
  <c r="C23" i="5" l="1"/>
  <c r="D23" i="5"/>
  <c r="C23" i="2"/>
  <c r="J23" i="5" l="1"/>
  <c r="J23" i="4"/>
  <c r="I23" i="2"/>
  <c r="I23" i="1"/>
  <c r="H23" i="5"/>
  <c r="H23" i="4"/>
  <c r="G23" i="2"/>
  <c r="G23" i="1"/>
  <c r="H20" i="5" l="1"/>
  <c r="G20" i="2" l="1"/>
</calcChain>
</file>

<file path=xl/sharedStrings.xml><?xml version="1.0" encoding="utf-8"?>
<sst xmlns="http://schemas.openxmlformats.org/spreadsheetml/2006/main" count="134" uniqueCount="75">
  <si>
    <t>Year</t>
  </si>
  <si>
    <t>Month</t>
  </si>
  <si>
    <t>Number of Accounts</t>
  </si>
  <si>
    <t>Accounts with 90+ Day Arrears</t>
  </si>
  <si>
    <t>90+ Day Arrears Amount</t>
  </si>
  <si>
    <t>Vectren North Residential Account Data</t>
  </si>
  <si>
    <t>Vectren North Non-Residential Account Data</t>
  </si>
  <si>
    <t>Vectren South Residential Account Data</t>
  </si>
  <si>
    <t>Vectren South Non-Residential Account Data</t>
  </si>
  <si>
    <t>Number of Accounts - Electric</t>
  </si>
  <si>
    <t>Number of Accounts - Gas</t>
  </si>
  <si>
    <t>Question 1</t>
  </si>
  <si>
    <t>Question 2</t>
  </si>
  <si>
    <t>Question 3</t>
  </si>
  <si>
    <t>Question 4</t>
  </si>
  <si>
    <t>Question 5</t>
  </si>
  <si>
    <t>Question 7</t>
  </si>
  <si>
    <t>Cause No. 45380</t>
  </si>
  <si>
    <t>Vectren Energy Delivery of Indiana, Inc.</t>
  </si>
  <si>
    <t>Attachment 1</t>
  </si>
  <si>
    <t>Number of Disconnections</t>
  </si>
  <si>
    <t xml:space="preserve">Number of Reconnections </t>
  </si>
  <si>
    <t>Notes:</t>
  </si>
  <si>
    <t>(1)</t>
  </si>
  <si>
    <t>(2)</t>
  </si>
  <si>
    <t>(3)</t>
  </si>
  <si>
    <t>Vectren</t>
  </si>
  <si>
    <r>
      <t xml:space="preserve">COVID-19 Reporting </t>
    </r>
    <r>
      <rPr>
        <b/>
        <vertAlign val="superscript"/>
        <sz val="11"/>
        <color theme="1"/>
        <rFont val="Calibri"/>
        <family val="2"/>
      </rPr>
      <t>(1)</t>
    </r>
  </si>
  <si>
    <t>(dollars in thousands)</t>
  </si>
  <si>
    <t>Line No.</t>
  </si>
  <si>
    <t>COVID-Related Costs (Incremental Portion to Be Determined):</t>
  </si>
  <si>
    <r>
      <t>VEDS</t>
    </r>
    <r>
      <rPr>
        <b/>
        <vertAlign val="superscript"/>
        <sz val="11"/>
        <color theme="1"/>
        <rFont val="Calibri"/>
        <family val="2"/>
      </rPr>
      <t xml:space="preserve"> (2)</t>
    </r>
  </si>
  <si>
    <t>VEDN</t>
  </si>
  <si>
    <t>Vectren Total</t>
  </si>
  <si>
    <t>Bad debt expense</t>
  </si>
  <si>
    <t xml:space="preserve">Safety-related (PPE/masks/sanitizer/temperature checks/testing/etc.) </t>
  </si>
  <si>
    <t>Software &amp; Subscriptions</t>
  </si>
  <si>
    <t xml:space="preserve">Other   </t>
  </si>
  <si>
    <t>Late payment fees</t>
  </si>
  <si>
    <t>Total COVID-Related Costs</t>
  </si>
  <si>
    <t>VEDS include both Vectren South-Gas and Vectren South-Electric.</t>
  </si>
  <si>
    <t>Some amounts are preliminary and subject to final audited results.</t>
  </si>
  <si>
    <r>
      <rPr>
        <vertAlign val="superscript"/>
        <sz val="11"/>
        <color theme="1"/>
        <rFont val="Calibri"/>
        <family val="2"/>
        <scheme val="minor"/>
      </rPr>
      <t>3</t>
    </r>
    <r>
      <rPr>
        <sz val="11"/>
        <color theme="1"/>
        <rFont val="Calibri"/>
        <family val="2"/>
        <scheme val="minor"/>
      </rPr>
      <t xml:space="preserve"> </t>
    </r>
    <r>
      <rPr>
        <sz val="9"/>
        <color theme="1"/>
        <rFont val="Calibri"/>
        <family val="2"/>
        <scheme val="minor"/>
      </rPr>
      <t>Represents disconnections beginning August 17, 2020 pursuant to the Commission's order dated August 12, 2020.</t>
    </r>
  </si>
  <si>
    <t xml:space="preserve">Question 1 </t>
  </si>
  <si>
    <t xml:space="preserve">Question 2 </t>
  </si>
  <si>
    <t xml:space="preserve">Question 3 </t>
  </si>
  <si>
    <t xml:space="preserve">Question 4 </t>
  </si>
  <si>
    <t xml:space="preserve">Question 6 </t>
  </si>
  <si>
    <t xml:space="preserve">Question 7 </t>
  </si>
  <si>
    <r>
      <t xml:space="preserve">$269,509 </t>
    </r>
    <r>
      <rPr>
        <vertAlign val="superscript"/>
        <sz val="11"/>
        <color theme="1"/>
        <rFont val="Calibri"/>
        <family val="2"/>
        <scheme val="minor"/>
      </rPr>
      <t>2</t>
    </r>
  </si>
  <si>
    <r>
      <rPr>
        <vertAlign val="superscript"/>
        <sz val="11"/>
        <color theme="1"/>
        <rFont val="Calibri"/>
        <family val="2"/>
        <scheme val="minor"/>
      </rPr>
      <t>2</t>
    </r>
    <r>
      <rPr>
        <sz val="11"/>
        <color theme="1"/>
        <rFont val="Calibri"/>
        <family val="2"/>
        <scheme val="minor"/>
      </rPr>
      <t xml:space="preserve"> </t>
    </r>
    <r>
      <rPr>
        <sz val="9"/>
        <color theme="1"/>
        <rFont val="Calibri"/>
        <family val="2"/>
        <scheme val="minor"/>
      </rPr>
      <t>November 24, 2020 Monthly Report correction was made in December 21, 2020 Monthly Report.</t>
    </r>
  </si>
  <si>
    <r>
      <t xml:space="preserve">  1,647 </t>
    </r>
    <r>
      <rPr>
        <vertAlign val="superscript"/>
        <sz val="11"/>
        <color theme="1"/>
        <rFont val="Calibri"/>
        <family val="2"/>
        <scheme val="minor"/>
      </rPr>
      <t>3</t>
    </r>
  </si>
  <si>
    <r>
      <t xml:space="preserve">  111 </t>
    </r>
    <r>
      <rPr>
        <vertAlign val="superscript"/>
        <sz val="11"/>
        <color theme="1"/>
        <rFont val="Calibri"/>
        <family val="2"/>
        <scheme val="minor"/>
      </rPr>
      <t>2</t>
    </r>
  </si>
  <si>
    <r>
      <rPr>
        <vertAlign val="superscript"/>
        <sz val="11"/>
        <color theme="1"/>
        <rFont val="Calibri"/>
        <family val="2"/>
        <scheme val="minor"/>
      </rPr>
      <t>2</t>
    </r>
    <r>
      <rPr>
        <sz val="11"/>
        <color theme="1"/>
        <rFont val="Calibri"/>
        <family val="2"/>
        <scheme val="minor"/>
      </rPr>
      <t xml:space="preserve"> </t>
    </r>
    <r>
      <rPr>
        <sz val="9"/>
        <color theme="1"/>
        <rFont val="Calibri"/>
        <family val="2"/>
        <scheme val="minor"/>
      </rPr>
      <t>Represents disconnections beginning August 17, 2020 pursuant to the Commission's order dated August 12, 2020.</t>
    </r>
  </si>
  <si>
    <r>
      <t xml:space="preserve">  323 </t>
    </r>
    <r>
      <rPr>
        <vertAlign val="superscript"/>
        <sz val="11"/>
        <color theme="1"/>
        <rFont val="Calibri"/>
        <family val="2"/>
        <scheme val="minor"/>
      </rPr>
      <t>2</t>
    </r>
  </si>
  <si>
    <r>
      <t xml:space="preserve">  13 </t>
    </r>
    <r>
      <rPr>
        <vertAlign val="superscript"/>
        <sz val="11"/>
        <color theme="1"/>
        <rFont val="Calibri"/>
        <family val="2"/>
        <scheme val="minor"/>
      </rPr>
      <t>2</t>
    </r>
  </si>
  <si>
    <r>
      <t xml:space="preserve">$236,472 </t>
    </r>
    <r>
      <rPr>
        <vertAlign val="superscript"/>
        <sz val="11"/>
        <color theme="1"/>
        <rFont val="Calibri"/>
        <family val="2"/>
        <scheme val="minor"/>
      </rPr>
      <t>3</t>
    </r>
  </si>
  <si>
    <r>
      <rPr>
        <vertAlign val="superscript"/>
        <sz val="11"/>
        <rFont val="Calibri"/>
        <family val="2"/>
        <scheme val="minor"/>
      </rPr>
      <t>3</t>
    </r>
    <r>
      <rPr>
        <sz val="11"/>
        <rFont val="Calibri"/>
        <family val="2"/>
        <scheme val="minor"/>
      </rPr>
      <t xml:space="preserve"> </t>
    </r>
    <r>
      <rPr>
        <sz val="9"/>
        <rFont val="Calibri"/>
        <family val="2"/>
        <scheme val="minor"/>
      </rPr>
      <t>October 27, 2021 Monthly Report correction was made in November 24, 2021 Monthly Report.</t>
    </r>
  </si>
  <si>
    <r>
      <rPr>
        <vertAlign val="superscript"/>
        <sz val="11"/>
        <rFont val="Calibri"/>
        <family val="2"/>
        <scheme val="minor"/>
      </rPr>
      <t>1</t>
    </r>
    <r>
      <rPr>
        <sz val="11"/>
        <rFont val="Calibri"/>
        <family val="2"/>
        <scheme val="minor"/>
      </rPr>
      <t xml:space="preserve"> </t>
    </r>
    <r>
      <rPr>
        <sz val="9"/>
        <rFont val="Calibri"/>
        <family val="2"/>
        <scheme val="minor"/>
      </rPr>
      <t>Prior history of payment extensions is unavailable by residential and non-residential break out.  Please see VEDN Residential tab for total payment extensions through April 2020.  New report was written in May 2020 to break these out going forward.</t>
    </r>
  </si>
  <si>
    <r>
      <rPr>
        <vertAlign val="superscript"/>
        <sz val="11"/>
        <color theme="1"/>
        <rFont val="Calibri"/>
        <family val="2"/>
        <scheme val="minor"/>
      </rPr>
      <t>1</t>
    </r>
    <r>
      <rPr>
        <sz val="11"/>
        <color theme="1"/>
        <rFont val="Calibri"/>
        <family val="2"/>
        <scheme val="minor"/>
      </rPr>
      <t xml:space="preserve"> </t>
    </r>
    <r>
      <rPr>
        <sz val="9"/>
        <color theme="1"/>
        <rFont val="Calibri"/>
        <family val="2"/>
        <scheme val="minor"/>
      </rPr>
      <t>Prior history of payment extensions is unavailable by residential and non-residential break out.  Payment extensions through April 2020 reflects total payment extensions.  New report was written in May 2020 to break these out going forward.</t>
    </r>
  </si>
  <si>
    <r>
      <rPr>
        <vertAlign val="superscript"/>
        <sz val="11"/>
        <rFont val="Calibri"/>
        <family val="2"/>
        <scheme val="minor"/>
      </rPr>
      <t>1</t>
    </r>
    <r>
      <rPr>
        <sz val="11"/>
        <rFont val="Calibri"/>
        <family val="2"/>
        <scheme val="minor"/>
      </rPr>
      <t xml:space="preserve"> </t>
    </r>
    <r>
      <rPr>
        <sz val="9"/>
        <rFont val="Calibri"/>
        <family val="2"/>
        <scheme val="minor"/>
      </rPr>
      <t>Prior history of payment extensions is unavailable by residential and non-residential break out.  Payment extensions through April 2020 reflects total payment extensions.  New report was written in May 2020 to break these out going forward.</t>
    </r>
  </si>
  <si>
    <r>
      <rPr>
        <vertAlign val="superscript"/>
        <sz val="11"/>
        <color theme="1"/>
        <rFont val="Calibri"/>
        <family val="2"/>
        <scheme val="minor"/>
      </rPr>
      <t>1</t>
    </r>
    <r>
      <rPr>
        <sz val="11"/>
        <color theme="1"/>
        <rFont val="Calibri"/>
        <family val="2"/>
        <scheme val="minor"/>
      </rPr>
      <t xml:space="preserve"> </t>
    </r>
    <r>
      <rPr>
        <sz val="9"/>
        <color theme="1"/>
        <rFont val="Calibri"/>
        <family val="2"/>
        <scheme val="minor"/>
      </rPr>
      <t>Prior history of payment extensions is unavailable by residential and non-residential break out.  Please see VEDS Residential tab for total payment extensions through April 2020.  New report was written in May 2020 to break these out going forward.</t>
    </r>
  </si>
  <si>
    <r>
      <rPr>
        <vertAlign val="superscript"/>
        <sz val="11"/>
        <color theme="1"/>
        <rFont val="Calibri"/>
        <family val="2"/>
        <scheme val="minor"/>
      </rPr>
      <t>3</t>
    </r>
    <r>
      <rPr>
        <sz val="9"/>
        <color theme="1"/>
        <rFont val="Calibri"/>
        <family val="2"/>
        <scheme val="minor"/>
      </rPr>
      <t xml:space="preserve"> Payment extension information is unavailble by residential and non-residential break out for December 2021.  Please see VEDN Residential tab for total payment extensions in December 2021.</t>
    </r>
  </si>
  <si>
    <r>
      <rPr>
        <vertAlign val="superscript"/>
        <sz val="11"/>
        <color theme="1"/>
        <rFont val="Calibri"/>
        <family val="2"/>
        <scheme val="minor"/>
      </rPr>
      <t>3</t>
    </r>
    <r>
      <rPr>
        <sz val="9"/>
        <color theme="1"/>
        <rFont val="Calibri"/>
        <family val="2"/>
        <scheme val="minor"/>
      </rPr>
      <t xml:space="preserve"> Payment extension information is unavailble by residential and non-residential break out for December 2021.  Please see VEDS Residential tab for total payment extensions in December 2021.</t>
    </r>
  </si>
  <si>
    <r>
      <t xml:space="preserve">March 2020 - December 2021 </t>
    </r>
    <r>
      <rPr>
        <b/>
        <vertAlign val="superscript"/>
        <sz val="11"/>
        <color theme="1"/>
        <rFont val="Calibri"/>
        <family val="2"/>
      </rPr>
      <t>(3)</t>
    </r>
  </si>
  <si>
    <t xml:space="preserve">Vectren has deferred a portion of the listed costs in this table on its books as of December 31, 2021.  Vectren continues to review the incremental nature of all of these amounts in accordance with the Commission’s Orders in this proceeding.  </t>
  </si>
  <si>
    <r>
      <t xml:space="preserve">Number of Accounts on Pay Extensions </t>
    </r>
    <r>
      <rPr>
        <b/>
        <vertAlign val="superscript"/>
        <sz val="11"/>
        <color theme="0"/>
        <rFont val="Calibri"/>
        <family val="2"/>
        <scheme val="minor"/>
      </rPr>
      <t>1, 3</t>
    </r>
  </si>
  <si>
    <r>
      <t xml:space="preserve">Pay Extension Account Balances </t>
    </r>
    <r>
      <rPr>
        <b/>
        <vertAlign val="superscript"/>
        <sz val="11"/>
        <color theme="0"/>
        <rFont val="Calibri"/>
        <family val="2"/>
        <scheme val="minor"/>
      </rPr>
      <t>1, 3</t>
    </r>
  </si>
  <si>
    <r>
      <t xml:space="preserve">Number of Defaulted Pay Extensions </t>
    </r>
    <r>
      <rPr>
        <b/>
        <vertAlign val="superscript"/>
        <sz val="11"/>
        <color theme="0"/>
        <rFont val="Calibri"/>
        <family val="2"/>
        <scheme val="minor"/>
      </rPr>
      <t>1, 3</t>
    </r>
  </si>
  <si>
    <r>
      <t xml:space="preserve">Amount of Defaulted Pay Extensions </t>
    </r>
    <r>
      <rPr>
        <b/>
        <vertAlign val="superscript"/>
        <sz val="11"/>
        <color theme="0"/>
        <rFont val="Calibri"/>
        <family val="2"/>
        <scheme val="minor"/>
      </rPr>
      <t>1, 3</t>
    </r>
  </si>
  <si>
    <r>
      <t xml:space="preserve">Number of Accounts on Pay Extensions </t>
    </r>
    <r>
      <rPr>
        <b/>
        <vertAlign val="superscript"/>
        <sz val="11"/>
        <color theme="0"/>
        <rFont val="Calibri"/>
        <family val="2"/>
        <scheme val="minor"/>
      </rPr>
      <t>1, 4</t>
    </r>
  </si>
  <si>
    <r>
      <t xml:space="preserve">Pay Extension Account Balances </t>
    </r>
    <r>
      <rPr>
        <b/>
        <vertAlign val="superscript"/>
        <sz val="11"/>
        <color theme="0"/>
        <rFont val="Calibri"/>
        <family val="2"/>
        <scheme val="minor"/>
      </rPr>
      <t>1, 4</t>
    </r>
  </si>
  <si>
    <r>
      <t xml:space="preserve">Number of Defaulted Pay Extensions </t>
    </r>
    <r>
      <rPr>
        <b/>
        <vertAlign val="superscript"/>
        <sz val="11"/>
        <color theme="0"/>
        <rFont val="Calibri"/>
        <family val="2"/>
        <scheme val="minor"/>
      </rPr>
      <t>1, 4</t>
    </r>
  </si>
  <si>
    <r>
      <t xml:space="preserve">Amount of Defaulted Pay Extensions </t>
    </r>
    <r>
      <rPr>
        <b/>
        <vertAlign val="superscript"/>
        <sz val="11"/>
        <color theme="0"/>
        <rFont val="Calibri"/>
        <family val="2"/>
        <scheme val="minor"/>
      </rPr>
      <t>1, 4</t>
    </r>
  </si>
  <si>
    <r>
      <rPr>
        <vertAlign val="superscript"/>
        <sz val="11"/>
        <rFont val="Calibri"/>
        <family val="2"/>
        <scheme val="minor"/>
      </rPr>
      <t>4</t>
    </r>
    <r>
      <rPr>
        <sz val="11"/>
        <rFont val="Calibri"/>
        <family val="2"/>
        <scheme val="minor"/>
      </rPr>
      <t xml:space="preserve"> </t>
    </r>
    <r>
      <rPr>
        <sz val="9"/>
        <rFont val="Calibri"/>
        <family val="2"/>
        <scheme val="minor"/>
      </rPr>
      <t xml:space="preserve">Payment extension information is unavailable by residential and non-residential break out for December 2021.  Payment extensions reflect total payment extensions for December 2021.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</si>
</sst>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4" formatCode="_(&quot;$&quot;* #,##0.00_);_(&quot;$&quot;* \(#,##0.00\);_(&quot;$&quot;* &quot;-&quot;??_);_(@_)"/>
    <numFmt numFmtId="43" formatCode="_(* #,##0.00_);_(* \(#,##0.00\);_(* &quot;-&quot;??_);_(@_)"/>
    <numFmt numFmtId="164" formatCode="&quot;$&quot;#,##0"/>
    <numFmt numFmtId="165" formatCode="_(&quot;$&quot;* #,##0_);_(&quot;$&quot;* \(#,##0\);_(&quot;$&quot;* &quot;-&quot;??_);_(@_)"/>
  </numFmts>
  <fonts count="17" x14ac:knownFonts="1">
    <font>
      <sz val="11"/>
      <color theme="1"/>
      <name val="Calibri"/>
      <family val="2"/>
      <scheme val="minor"/>
    </font>
    <font>
      <b/>
      <sz val="11"/>
      <color theme="0"/>
      <name val="Calibri"/>
      <family val="2"/>
      <scheme val="minor"/>
    </font>
    <font>
      <sz val="10"/>
      <name val="Arial"/>
      <family val="2"/>
    </font>
    <font>
      <b/>
      <sz val="14"/>
      <color theme="0"/>
      <name val="Calibri"/>
      <family val="2"/>
      <scheme val="minor"/>
    </font>
    <font>
      <b/>
      <vertAlign val="superscript"/>
      <sz val="11"/>
      <color theme="0"/>
      <name val="Calibri"/>
      <family val="2"/>
      <scheme val="minor"/>
    </font>
    <font>
      <vertAlign val="superscript"/>
      <sz val="11"/>
      <color theme="1"/>
      <name val="Calibri"/>
      <family val="2"/>
      <scheme val="minor"/>
    </font>
    <font>
      <sz val="9"/>
      <color theme="1"/>
      <name val="Calibri"/>
      <family val="2"/>
      <scheme val="minor"/>
    </font>
    <font>
      <sz val="10"/>
      <name val="Arial"/>
      <family val="2"/>
    </font>
    <font>
      <sz val="11"/>
      <color theme="1"/>
      <name val="Calibri"/>
      <family val="2"/>
    </font>
    <font>
      <b/>
      <sz val="11"/>
      <color theme="1"/>
      <name val="Calibri"/>
      <family val="2"/>
    </font>
    <font>
      <b/>
      <vertAlign val="superscript"/>
      <sz val="11"/>
      <color theme="1"/>
      <name val="Calibri"/>
      <family val="2"/>
    </font>
    <font>
      <i/>
      <sz val="11"/>
      <color theme="1"/>
      <name val="Calibri"/>
      <family val="2"/>
    </font>
    <font>
      <sz val="11"/>
      <name val="Calibri"/>
      <family val="2"/>
    </font>
    <font>
      <sz val="11"/>
      <color theme="0"/>
      <name val="Calibri"/>
      <family val="2"/>
      <scheme val="minor"/>
    </font>
    <font>
      <sz val="11"/>
      <name val="Calibri"/>
      <family val="2"/>
      <scheme val="minor"/>
    </font>
    <font>
      <vertAlign val="superscript"/>
      <sz val="11"/>
      <name val="Calibri"/>
      <family val="2"/>
      <scheme val="minor"/>
    </font>
    <font>
      <sz val="9"/>
      <name val="Calibri"/>
      <family val="2"/>
      <scheme val="minor"/>
    </font>
  </fonts>
  <fills count="6">
    <fill>
      <patternFill patternType="none"/>
    </fill>
    <fill>
      <patternFill patternType="gray125"/>
    </fill>
    <fill>
      <patternFill patternType="solid">
        <fgColor theme="3"/>
        <bgColor indexed="64"/>
      </patternFill>
    </fill>
    <fill>
      <patternFill patternType="solid">
        <fgColor theme="4" tint="0.79998168889431442"/>
        <bgColor theme="4" tint="0.79998168889431442"/>
      </patternFill>
    </fill>
    <fill>
      <patternFill patternType="solid">
        <fgColor rgb="FFFFFF00"/>
        <bgColor indexed="64"/>
      </patternFill>
    </fill>
    <fill>
      <patternFill patternType="solid">
        <fgColor theme="4" tint="0.79998168889431442"/>
        <bgColor indexed="64"/>
      </patternFill>
    </fill>
  </fills>
  <borders count="5">
    <border>
      <left/>
      <right/>
      <top/>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top/>
      <bottom style="thin">
        <color indexed="64"/>
      </bottom>
      <diagonal/>
    </border>
  </borders>
  <cellStyleXfs count="6">
    <xf numFmtId="0" fontId="0" fillId="0" borderId="0"/>
    <xf numFmtId="0" fontId="2" fillId="0" borderId="0"/>
    <xf numFmtId="43" fontId="7" fillId="0" borderId="0" applyFont="0" applyFill="0" applyBorder="0" applyAlignment="0" applyProtection="0"/>
    <xf numFmtId="43" fontId="2" fillId="0" borderId="0" applyFont="0" applyFill="0" applyBorder="0" applyAlignment="0" applyProtection="0"/>
    <xf numFmtId="0" fontId="8" fillId="0" borderId="0"/>
    <xf numFmtId="44" fontId="8" fillId="0" borderId="0" applyFont="0" applyFill="0" applyBorder="0" applyAlignment="0" applyProtection="0"/>
  </cellStyleXfs>
  <cellXfs count="80">
    <xf numFmtId="0" fontId="0" fillId="0" borderId="0" xfId="0"/>
    <xf numFmtId="0" fontId="1" fillId="2" borderId="0" xfId="0" applyFont="1" applyFill="1" applyAlignment="1">
      <alignment horizontal="center"/>
    </xf>
    <xf numFmtId="164" fontId="1" fillId="2" borderId="0" xfId="0" applyNumberFormat="1" applyFont="1" applyFill="1" applyAlignment="1">
      <alignment horizontal="center" wrapText="1"/>
    </xf>
    <xf numFmtId="3" fontId="1" fillId="2" borderId="0" xfId="0" applyNumberFormat="1" applyFont="1" applyFill="1" applyAlignment="1">
      <alignment horizontal="center" wrapText="1"/>
    </xf>
    <xf numFmtId="0" fontId="0" fillId="3" borderId="1" xfId="0" applyFont="1" applyFill="1" applyBorder="1" applyAlignment="1">
      <alignment horizontal="center"/>
    </xf>
    <xf numFmtId="3" fontId="0" fillId="3" borderId="2" xfId="0" applyNumberFormat="1" applyFont="1" applyFill="1" applyBorder="1" applyAlignment="1">
      <alignment horizontal="center"/>
    </xf>
    <xf numFmtId="164" fontId="0" fillId="3" borderId="3" xfId="0" applyNumberFormat="1" applyFont="1" applyFill="1" applyBorder="1" applyAlignment="1">
      <alignment horizontal="center"/>
    </xf>
    <xf numFmtId="164" fontId="0" fillId="3" borderId="2" xfId="0" applyNumberFormat="1" applyFont="1" applyFill="1" applyBorder="1" applyAlignment="1">
      <alignment horizontal="center"/>
    </xf>
    <xf numFmtId="3" fontId="0" fillId="3" borderId="3" xfId="0" applyNumberFormat="1" applyFont="1" applyFill="1" applyBorder="1" applyAlignment="1">
      <alignment horizontal="center"/>
    </xf>
    <xf numFmtId="0" fontId="0" fillId="0" borderId="1" xfId="0" applyFont="1" applyBorder="1" applyAlignment="1">
      <alignment horizontal="center"/>
    </xf>
    <xf numFmtId="3" fontId="0" fillId="0" borderId="2" xfId="0" applyNumberFormat="1" applyFont="1" applyBorder="1" applyAlignment="1">
      <alignment horizontal="center"/>
    </xf>
    <xf numFmtId="164" fontId="0" fillId="0" borderId="3" xfId="0" applyNumberFormat="1" applyFont="1" applyBorder="1" applyAlignment="1">
      <alignment horizontal="center"/>
    </xf>
    <xf numFmtId="164" fontId="0" fillId="0" borderId="2" xfId="0" applyNumberFormat="1" applyFont="1" applyBorder="1" applyAlignment="1">
      <alignment horizontal="center"/>
    </xf>
    <xf numFmtId="3" fontId="0" fillId="0" borderId="3" xfId="0" applyNumberFormat="1" applyFont="1" applyBorder="1" applyAlignment="1">
      <alignment horizontal="center"/>
    </xf>
    <xf numFmtId="164" fontId="0" fillId="0" borderId="0" xfId="0" applyNumberFormat="1"/>
    <xf numFmtId="3" fontId="0" fillId="0" borderId="0" xfId="0" applyNumberFormat="1"/>
    <xf numFmtId="3" fontId="0" fillId="3" borderId="1" xfId="0" applyNumberFormat="1" applyFont="1" applyFill="1" applyBorder="1" applyAlignment="1">
      <alignment horizontal="center"/>
    </xf>
    <xf numFmtId="3" fontId="0" fillId="0" borderId="1" xfId="0" applyNumberFormat="1" applyFont="1" applyBorder="1" applyAlignment="1">
      <alignment horizontal="center"/>
    </xf>
    <xf numFmtId="0" fontId="0" fillId="3" borderId="1" xfId="0" applyFill="1" applyBorder="1" applyAlignment="1">
      <alignment horizontal="center"/>
    </xf>
    <xf numFmtId="3" fontId="0" fillId="3" borderId="2" xfId="0" applyNumberFormat="1" applyFill="1" applyBorder="1" applyAlignment="1">
      <alignment horizontal="center"/>
    </xf>
    <xf numFmtId="3" fontId="0" fillId="0" borderId="2" xfId="0" applyNumberFormat="1" applyFont="1" applyFill="1" applyBorder="1" applyAlignment="1">
      <alignment horizontal="center"/>
    </xf>
    <xf numFmtId="3" fontId="0" fillId="0" borderId="3" xfId="0" applyNumberFormat="1" applyFont="1" applyFill="1" applyBorder="1" applyAlignment="1">
      <alignment horizontal="center"/>
    </xf>
    <xf numFmtId="0" fontId="0" fillId="0" borderId="0" xfId="0" applyFont="1" applyBorder="1" applyAlignment="1">
      <alignment horizontal="center"/>
    </xf>
    <xf numFmtId="3" fontId="0" fillId="0" borderId="0" xfId="0" applyNumberFormat="1" applyFont="1" applyFill="1" applyBorder="1" applyAlignment="1">
      <alignment horizontal="center"/>
    </xf>
    <xf numFmtId="164" fontId="0" fillId="0" borderId="0" xfId="0" applyNumberFormat="1" applyFont="1" applyBorder="1" applyAlignment="1">
      <alignment horizontal="center"/>
    </xf>
    <xf numFmtId="3" fontId="0" fillId="0" borderId="0" xfId="0" applyNumberFormat="1" applyFont="1" applyBorder="1" applyAlignment="1">
      <alignment horizontal="center"/>
    </xf>
    <xf numFmtId="0" fontId="0" fillId="0" borderId="0" xfId="0"/>
    <xf numFmtId="0" fontId="0" fillId="0" borderId="0" xfId="0"/>
    <xf numFmtId="164" fontId="0" fillId="0" borderId="0" xfId="0" applyNumberFormat="1"/>
    <xf numFmtId="3" fontId="0" fillId="0" borderId="0" xfId="0" applyNumberFormat="1"/>
    <xf numFmtId="164" fontId="0" fillId="0" borderId="3" xfId="0" applyNumberFormat="1" applyBorder="1" applyAlignment="1">
      <alignment horizontal="center"/>
    </xf>
    <xf numFmtId="0" fontId="0" fillId="0" borderId="0" xfId="0"/>
    <xf numFmtId="164" fontId="0" fillId="0" borderId="0" xfId="0" applyNumberFormat="1"/>
    <xf numFmtId="3" fontId="0" fillId="0" borderId="0" xfId="0" applyNumberFormat="1"/>
    <xf numFmtId="0" fontId="0" fillId="0" borderId="0" xfId="0" quotePrefix="1"/>
    <xf numFmtId="164" fontId="0" fillId="3" borderId="2" xfId="0" applyNumberFormat="1" applyFill="1" applyBorder="1" applyAlignment="1">
      <alignment horizontal="center"/>
    </xf>
    <xf numFmtId="3" fontId="0" fillId="3" borderId="3" xfId="0" applyNumberFormat="1" applyFill="1" applyBorder="1" applyAlignment="1">
      <alignment horizontal="center"/>
    </xf>
    <xf numFmtId="164" fontId="0" fillId="3" borderId="3" xfId="0" applyNumberFormat="1" applyFill="1" applyBorder="1" applyAlignment="1">
      <alignment horizontal="center"/>
    </xf>
    <xf numFmtId="3" fontId="0" fillId="3" borderId="1" xfId="0" applyNumberFormat="1" applyFill="1" applyBorder="1" applyAlignment="1">
      <alignment horizontal="center"/>
    </xf>
    <xf numFmtId="3" fontId="3" fillId="2" borderId="0" xfId="0" applyNumberFormat="1" applyFont="1" applyFill="1" applyAlignment="1">
      <alignment horizontal="center" wrapText="1"/>
    </xf>
    <xf numFmtId="0" fontId="9" fillId="0" borderId="0" xfId="4" applyFont="1"/>
    <xf numFmtId="0" fontId="8" fillId="0" borderId="0" xfId="4"/>
    <xf numFmtId="165" fontId="0" fillId="0" borderId="0" xfId="5" applyNumberFormat="1" applyFont="1"/>
    <xf numFmtId="0" fontId="8" fillId="0" borderId="0" xfId="4" applyAlignment="1">
      <alignment horizontal="center"/>
    </xf>
    <xf numFmtId="0" fontId="11" fillId="0" borderId="0" xfId="4" applyFont="1"/>
    <xf numFmtId="0" fontId="9" fillId="0" borderId="0" xfId="4" applyFont="1" applyAlignment="1">
      <alignment horizontal="center"/>
    </xf>
    <xf numFmtId="165" fontId="9" fillId="0" borderId="0" xfId="5" applyNumberFormat="1" applyFont="1" applyAlignment="1">
      <alignment horizontal="center"/>
    </xf>
    <xf numFmtId="165" fontId="0" fillId="0" borderId="0" xfId="5" applyNumberFormat="1" applyFont="1" applyFill="1"/>
    <xf numFmtId="165" fontId="8" fillId="4" borderId="0" xfId="4" applyNumberFormat="1" applyFill="1"/>
    <xf numFmtId="0" fontId="8" fillId="4" borderId="0" xfId="4" applyFill="1"/>
    <xf numFmtId="165" fontId="0" fillId="0" borderId="0" xfId="5" applyNumberFormat="1" applyFont="1" applyFill="1" applyBorder="1"/>
    <xf numFmtId="165" fontId="0" fillId="0" borderId="0" xfId="5" applyNumberFormat="1" applyFont="1" applyBorder="1"/>
    <xf numFmtId="165" fontId="0" fillId="0" borderId="4" xfId="5" applyNumberFormat="1" applyFont="1" applyFill="1" applyBorder="1"/>
    <xf numFmtId="165" fontId="9" fillId="0" borderId="0" xfId="5" applyNumberFormat="1" applyFont="1" applyBorder="1"/>
    <xf numFmtId="6" fontId="8" fillId="0" borderId="0" xfId="4" applyNumberFormat="1"/>
    <xf numFmtId="0" fontId="8" fillId="0" borderId="0" xfId="4" quotePrefix="1" applyAlignment="1">
      <alignment horizontal="right" vertical="top"/>
    </xf>
    <xf numFmtId="0" fontId="13" fillId="0" borderId="0" xfId="0" applyFont="1"/>
    <xf numFmtId="3" fontId="0" fillId="0" borderId="3" xfId="0" applyNumberFormat="1" applyBorder="1" applyAlignment="1">
      <alignment horizontal="center"/>
    </xf>
    <xf numFmtId="3" fontId="0" fillId="0" borderId="1" xfId="0" applyNumberFormat="1" applyBorder="1" applyAlignment="1">
      <alignment horizontal="center"/>
    </xf>
    <xf numFmtId="3" fontId="0" fillId="0" borderId="2" xfId="0" applyNumberFormat="1" applyBorder="1" applyAlignment="1">
      <alignment horizontal="center"/>
    </xf>
    <xf numFmtId="164" fontId="0" fillId="0" borderId="2" xfId="0" applyNumberFormat="1" applyBorder="1" applyAlignment="1">
      <alignment horizontal="center"/>
    </xf>
    <xf numFmtId="165" fontId="9" fillId="0" borderId="0" xfId="5" applyNumberFormat="1" applyFont="1" applyFill="1"/>
    <xf numFmtId="0" fontId="0" fillId="0" borderId="0" xfId="0" quotePrefix="1" applyFill="1"/>
    <xf numFmtId="0" fontId="0" fillId="0" borderId="0" xfId="0" applyFill="1"/>
    <xf numFmtId="164" fontId="0" fillId="0" borderId="0" xfId="0" applyNumberFormat="1" applyFill="1"/>
    <xf numFmtId="3" fontId="0" fillId="0" borderId="0" xfId="0" applyNumberFormat="1" applyFill="1"/>
    <xf numFmtId="164" fontId="0" fillId="5" borderId="2" xfId="0" applyNumberFormat="1" applyFill="1" applyBorder="1" applyAlignment="1">
      <alignment horizontal="center"/>
    </xf>
    <xf numFmtId="0" fontId="0" fillId="0" borderId="0" xfId="0" applyFill="1" applyBorder="1" applyAlignment="1">
      <alignment horizontal="center"/>
    </xf>
    <xf numFmtId="3" fontId="0" fillId="0" borderId="0" xfId="0" applyNumberFormat="1" applyFill="1" applyBorder="1" applyAlignment="1">
      <alignment horizontal="center"/>
    </xf>
    <xf numFmtId="164" fontId="0" fillId="0" borderId="0" xfId="0" applyNumberFormat="1" applyFill="1" applyBorder="1" applyAlignment="1">
      <alignment horizontal="center"/>
    </xf>
    <xf numFmtId="3" fontId="3" fillId="2" borderId="0" xfId="0" applyNumberFormat="1" applyFont="1" applyFill="1" applyAlignment="1">
      <alignment horizontal="center" wrapText="1"/>
    </xf>
    <xf numFmtId="0" fontId="14" fillId="0" borderId="0" xfId="0" quotePrefix="1" applyFont="1" applyAlignment="1">
      <alignment wrapText="1"/>
    </xf>
    <xf numFmtId="0" fontId="14" fillId="0" borderId="0" xfId="0" quotePrefix="1" applyFont="1" applyFill="1" applyAlignment="1">
      <alignment wrapText="1"/>
    </xf>
    <xf numFmtId="0" fontId="6" fillId="0" borderId="0" xfId="0" quotePrefix="1" applyFont="1" applyFill="1" applyAlignment="1">
      <alignment horizontal="left" wrapText="1"/>
    </xf>
    <xf numFmtId="0" fontId="0" fillId="0" borderId="0" xfId="0" quotePrefix="1" applyAlignment="1">
      <alignment horizontal="left" wrapText="1"/>
    </xf>
    <xf numFmtId="0" fontId="14" fillId="0" borderId="0" xfId="0" quotePrefix="1" applyFont="1"/>
    <xf numFmtId="0" fontId="0" fillId="0" borderId="0" xfId="0" quotePrefix="1" applyFill="1" applyAlignment="1">
      <alignment wrapText="1"/>
    </xf>
    <xf numFmtId="165" fontId="9" fillId="0" borderId="0" xfId="5" applyNumberFormat="1" applyFont="1" applyFill="1" applyAlignment="1">
      <alignment horizontal="center"/>
    </xf>
    <xf numFmtId="0" fontId="8" fillId="0" borderId="0" xfId="4" applyAlignment="1">
      <alignment horizontal="left" vertical="top" wrapText="1"/>
    </xf>
    <xf numFmtId="0" fontId="12" fillId="0" borderId="0" xfId="4" applyFont="1" applyAlignment="1">
      <alignment horizontal="left"/>
    </xf>
  </cellXfs>
  <cellStyles count="6">
    <cellStyle name="Comma 2" xfId="2" xr:uid="{6E37BDBC-DE92-4FB7-9411-F82FC8F4AFF0}"/>
    <cellStyle name="Comma 2 2" xfId="3" xr:uid="{BE9988DE-5595-4CDE-A359-D798160AFBF5}"/>
    <cellStyle name="Currency 2" xfId="5" xr:uid="{0A851B76-7054-4523-94CE-0960C0516E8A}"/>
    <cellStyle name="Normal" xfId="0" builtinId="0"/>
    <cellStyle name="Normal 3" xfId="4" xr:uid="{40EE7139-5250-4066-960D-2C38FC7A0E95}"/>
    <cellStyle name="Normal 4"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85725</xdr:colOff>
      <xdr:row>6</xdr:row>
      <xdr:rowOff>104775</xdr:rowOff>
    </xdr:from>
    <xdr:to>
      <xdr:col>6</xdr:col>
      <xdr:colOff>523875</xdr:colOff>
      <xdr:row>11</xdr:row>
      <xdr:rowOff>57150</xdr:rowOff>
    </xdr:to>
    <xdr:sp macro="" textlink="">
      <xdr:nvSpPr>
        <xdr:cNvPr id="1025" name="Rectangle 1">
          <a:extLst>
            <a:ext uri="{FF2B5EF4-FFF2-40B4-BE49-F238E27FC236}">
              <a16:creationId xmlns:a16="http://schemas.microsoft.com/office/drawing/2014/main" id="{0F446004-7D91-4200-8444-B9B685681E8C}"/>
            </a:ext>
          </a:extLst>
        </xdr:cNvPr>
        <xdr:cNvSpPr>
          <a:spLocks noChangeArrowheads="1"/>
        </xdr:cNvSpPr>
      </xdr:nvSpPr>
      <xdr:spPr bwMode="auto">
        <a:xfrm>
          <a:off x="1914525" y="1247775"/>
          <a:ext cx="2266950" cy="904875"/>
        </a:xfrm>
        <a:prstGeom prst="rect">
          <a:avLst/>
        </a:prstGeom>
        <a:solidFill>
          <a:srgbClr val="FFFFFF"/>
        </a:solidFill>
        <a:ln w="9525">
          <a:solidFill>
            <a:srgbClr val="FF0000"/>
          </a:solidFill>
          <a:miter lim="800000"/>
          <a:headEnd/>
          <a:tailEnd/>
        </a:ln>
      </xdr:spPr>
      <xdr:txBody>
        <a:bodyPr vertOverflow="clip" wrap="square" lIns="91440" tIns="45720" rIns="91440" bIns="45720" anchor="t" upright="1"/>
        <a:lstStyle/>
        <a:p>
          <a:pPr algn="l" rtl="0">
            <a:defRPr sz="1000"/>
          </a:pPr>
          <a:r>
            <a:rPr lang="en-US" sz="1400" b="0" i="0" u="none" strike="noStrike" baseline="0">
              <a:solidFill>
                <a:srgbClr val="FF0000"/>
              </a:solidFill>
              <a:latin typeface="Calibri"/>
              <a:cs typeface="Calibri"/>
            </a:rPr>
            <a:t>FILED</a:t>
          </a:r>
          <a:endParaRPr lang="en-US" sz="1400" b="0" i="0" u="none" strike="noStrike" baseline="0">
            <a:solidFill>
              <a:srgbClr val="FF0000"/>
            </a:solidFill>
            <a:latin typeface="Times New Roman"/>
            <a:cs typeface="Times New Roman"/>
          </a:endParaRPr>
        </a:p>
        <a:p>
          <a:pPr algn="l" rtl="0">
            <a:defRPr sz="1000"/>
          </a:pPr>
          <a:r>
            <a:rPr lang="en-US" sz="1100" b="0" i="0" u="none" strike="noStrike" baseline="0">
              <a:solidFill>
                <a:srgbClr val="FF0000"/>
              </a:solidFill>
              <a:latin typeface="Calibri"/>
              <a:cs typeface="Calibri"/>
            </a:rPr>
            <a:t>February 18, 2022</a:t>
          </a:r>
        </a:p>
        <a:p>
          <a:pPr algn="l" rtl="0">
            <a:defRPr sz="1000"/>
          </a:pPr>
          <a:r>
            <a:rPr lang="en-US" sz="1100" b="0" i="0" u="none" strike="noStrike" baseline="0">
              <a:solidFill>
                <a:srgbClr val="FF0000"/>
              </a:solidFill>
              <a:latin typeface="Calibri"/>
              <a:cs typeface="Calibri"/>
            </a:rPr>
            <a:t>INDIANA UTILITY </a:t>
          </a:r>
        </a:p>
        <a:p>
          <a:pPr algn="l" rtl="0">
            <a:defRPr sz="1000"/>
          </a:pPr>
          <a:r>
            <a:rPr lang="en-US" sz="1100" b="0" i="0" u="none" strike="noStrike" baseline="0">
              <a:solidFill>
                <a:srgbClr val="FF0000"/>
              </a:solidFill>
              <a:latin typeface="Calibri"/>
              <a:cs typeface="Calibri"/>
            </a:rPr>
            <a:t>REGULATORY COMMISSION</a:t>
          </a:r>
        </a:p>
        <a:p>
          <a:pPr algn="l" rtl="0">
            <a:defRPr sz="1000"/>
          </a:pPr>
          <a:endParaRPr lang="en-US" sz="1100" b="0" i="0" u="none" strike="noStrike" baseline="0">
            <a:solidFill>
              <a:srgbClr val="FF0000"/>
            </a:solidFill>
            <a:latin typeface="Calibri"/>
            <a:cs typeface="Calibri"/>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4E627-0655-4241-B64C-0AA1F74D31DF}">
  <dimension ref="D4:D6"/>
  <sheetViews>
    <sheetView tabSelected="1" workbookViewId="0"/>
  </sheetViews>
  <sheetFormatPr defaultRowHeight="15" x14ac:dyDescent="0.25"/>
  <sheetData>
    <row r="4" spans="4:4" x14ac:dyDescent="0.25">
      <c r="D4" s="26" t="s">
        <v>17</v>
      </c>
    </row>
    <row r="5" spans="4:4" x14ac:dyDescent="0.25">
      <c r="D5" s="26" t="s">
        <v>18</v>
      </c>
    </row>
    <row r="6" spans="4:4" x14ac:dyDescent="0.25">
      <c r="D6" s="26" t="s">
        <v>19</v>
      </c>
    </row>
  </sheetData>
  <pageMargins left="0.7" right="0.7" top="0.75" bottom="0.75" header="0.3" footer="0.3"/>
  <customProperties>
    <customPr name="_pios_id" r:id="rId1"/>
  </customPropertie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5"/>
  <sheetViews>
    <sheetView zoomScaleNormal="100" workbookViewId="0">
      <pane xSplit="2" ySplit="3" topLeftCell="C19" activePane="bottomRight" state="frozen"/>
      <selection activeCell="B39" sqref="B39"/>
      <selection pane="topRight" activeCell="B39" sqref="B39"/>
      <selection pane="bottomLeft" activeCell="B39" sqref="B39"/>
      <selection pane="bottomRight" activeCell="H3" sqref="H3"/>
    </sheetView>
  </sheetViews>
  <sheetFormatPr defaultRowHeight="15" x14ac:dyDescent="0.25"/>
  <cols>
    <col min="1" max="1" width="5" bestFit="1" customWidth="1"/>
    <col min="2" max="2" width="7" bestFit="1" customWidth="1"/>
    <col min="3" max="3" width="11" style="14" customWidth="1"/>
    <col min="4" max="4" width="11.42578125" customWidth="1"/>
    <col min="5" max="5" width="10.28515625" style="15" customWidth="1"/>
    <col min="6" max="6" width="15" style="15" customWidth="1"/>
    <col min="7" max="7" width="11.42578125" customWidth="1"/>
    <col min="8" max="8" width="15.28515625" customWidth="1"/>
    <col min="9" max="9" width="14.42578125" customWidth="1"/>
    <col min="10" max="10" width="14.140625" style="31" customWidth="1"/>
    <col min="11" max="11" width="16" style="31" customWidth="1"/>
  </cols>
  <sheetData>
    <row r="1" spans="1:11" ht="18.75" customHeight="1" x14ac:dyDescent="0.3">
      <c r="A1" s="70" t="s">
        <v>5</v>
      </c>
      <c r="B1" s="70"/>
      <c r="C1" s="70"/>
      <c r="D1" s="70"/>
      <c r="E1" s="70"/>
      <c r="F1" s="70"/>
      <c r="G1" s="70"/>
      <c r="H1" s="70"/>
      <c r="I1" s="70"/>
      <c r="J1" s="70"/>
      <c r="K1" s="70"/>
    </row>
    <row r="2" spans="1:11" s="56" customFormat="1" ht="18.75" customHeight="1" x14ac:dyDescent="0.3">
      <c r="A2" s="39"/>
      <c r="B2" s="39"/>
      <c r="C2" s="2" t="s">
        <v>43</v>
      </c>
      <c r="D2" s="2" t="s">
        <v>44</v>
      </c>
      <c r="E2" s="2" t="s">
        <v>44</v>
      </c>
      <c r="F2" s="2" t="s">
        <v>45</v>
      </c>
      <c r="G2" s="2" t="s">
        <v>45</v>
      </c>
      <c r="H2" s="2" t="s">
        <v>46</v>
      </c>
      <c r="I2" s="2" t="s">
        <v>46</v>
      </c>
      <c r="J2" s="2" t="s">
        <v>47</v>
      </c>
      <c r="K2" s="2" t="s">
        <v>48</v>
      </c>
    </row>
    <row r="3" spans="1:11" s="56" customFormat="1" ht="62.25" x14ac:dyDescent="0.25">
      <c r="A3" s="1" t="s">
        <v>0</v>
      </c>
      <c r="B3" s="1" t="s">
        <v>1</v>
      </c>
      <c r="C3" s="2" t="s">
        <v>2</v>
      </c>
      <c r="D3" s="3" t="s">
        <v>4</v>
      </c>
      <c r="E3" s="3" t="s">
        <v>3</v>
      </c>
      <c r="F3" s="3" t="s">
        <v>70</v>
      </c>
      <c r="G3" s="3" t="s">
        <v>71</v>
      </c>
      <c r="H3" s="3" t="s">
        <v>72</v>
      </c>
      <c r="I3" s="3" t="s">
        <v>73</v>
      </c>
      <c r="J3" s="3" t="s">
        <v>20</v>
      </c>
      <c r="K3" s="3" t="s">
        <v>21</v>
      </c>
    </row>
    <row r="4" spans="1:11" x14ac:dyDescent="0.25">
      <c r="A4" s="4">
        <v>2019</v>
      </c>
      <c r="B4" s="4">
        <v>1</v>
      </c>
      <c r="C4" s="5">
        <v>555260</v>
      </c>
      <c r="D4" s="6">
        <v>287190</v>
      </c>
      <c r="E4" s="8">
        <v>3742</v>
      </c>
      <c r="F4" s="16">
        <v>3755</v>
      </c>
      <c r="G4" s="6">
        <v>931240</v>
      </c>
      <c r="H4" s="5">
        <v>787</v>
      </c>
      <c r="I4" s="7">
        <v>192815</v>
      </c>
      <c r="J4" s="5"/>
      <c r="K4" s="5"/>
    </row>
    <row r="5" spans="1:11" x14ac:dyDescent="0.25">
      <c r="A5" s="9">
        <v>2019</v>
      </c>
      <c r="B5" s="9">
        <v>2</v>
      </c>
      <c r="C5" s="10">
        <v>556271</v>
      </c>
      <c r="D5" s="11">
        <v>253327</v>
      </c>
      <c r="E5" s="13">
        <v>2886</v>
      </c>
      <c r="F5" s="17">
        <v>3367</v>
      </c>
      <c r="G5" s="11">
        <v>986531</v>
      </c>
      <c r="H5" s="10">
        <v>690</v>
      </c>
      <c r="I5" s="12">
        <v>211140</v>
      </c>
      <c r="J5" s="10"/>
      <c r="K5" s="10"/>
    </row>
    <row r="6" spans="1:11" x14ac:dyDescent="0.25">
      <c r="A6" s="4">
        <v>2019</v>
      </c>
      <c r="B6" s="4">
        <v>3</v>
      </c>
      <c r="C6" s="5">
        <v>556425</v>
      </c>
      <c r="D6" s="6">
        <v>305782</v>
      </c>
      <c r="E6" s="8">
        <v>3052</v>
      </c>
      <c r="F6" s="16">
        <v>3155</v>
      </c>
      <c r="G6" s="6">
        <v>1031685</v>
      </c>
      <c r="H6" s="5">
        <v>546</v>
      </c>
      <c r="I6" s="7">
        <v>161070</v>
      </c>
      <c r="J6" s="5"/>
      <c r="K6" s="5"/>
    </row>
    <row r="7" spans="1:11" x14ac:dyDescent="0.25">
      <c r="A7" s="9">
        <v>2019</v>
      </c>
      <c r="B7" s="9">
        <v>4</v>
      </c>
      <c r="C7" s="10">
        <v>555113</v>
      </c>
      <c r="D7" s="11">
        <v>429962</v>
      </c>
      <c r="E7" s="13">
        <v>3495</v>
      </c>
      <c r="F7" s="17">
        <v>3466</v>
      </c>
      <c r="G7" s="11">
        <v>918490</v>
      </c>
      <c r="H7" s="10">
        <v>695</v>
      </c>
      <c r="I7" s="12">
        <v>210585</v>
      </c>
      <c r="J7" s="10"/>
      <c r="K7" s="10"/>
    </row>
    <row r="8" spans="1:11" x14ac:dyDescent="0.25">
      <c r="A8" s="4">
        <v>2019</v>
      </c>
      <c r="B8" s="4">
        <v>5</v>
      </c>
      <c r="C8" s="5">
        <v>552681</v>
      </c>
      <c r="D8" s="6">
        <v>657800</v>
      </c>
      <c r="E8" s="8">
        <v>4468</v>
      </c>
      <c r="F8" s="16">
        <v>3270</v>
      </c>
      <c r="G8" s="6">
        <v>866550</v>
      </c>
      <c r="H8" s="5">
        <v>685</v>
      </c>
      <c r="I8" s="7">
        <v>181525</v>
      </c>
      <c r="J8" s="5"/>
      <c r="K8" s="5"/>
    </row>
    <row r="9" spans="1:11" x14ac:dyDescent="0.25">
      <c r="A9" s="9">
        <v>2019</v>
      </c>
      <c r="B9" s="9">
        <v>6</v>
      </c>
      <c r="C9" s="10">
        <v>550206</v>
      </c>
      <c r="D9" s="11">
        <v>895490</v>
      </c>
      <c r="E9" s="13">
        <v>6434</v>
      </c>
      <c r="F9" s="17">
        <v>1977</v>
      </c>
      <c r="G9" s="11">
        <v>381561</v>
      </c>
      <c r="H9" s="10">
        <v>372</v>
      </c>
      <c r="I9" s="12">
        <v>74400</v>
      </c>
      <c r="J9" s="10"/>
      <c r="K9" s="10"/>
    </row>
    <row r="10" spans="1:11" x14ac:dyDescent="0.25">
      <c r="A10" s="4">
        <v>2019</v>
      </c>
      <c r="B10" s="4">
        <v>7</v>
      </c>
      <c r="C10" s="5">
        <v>548152</v>
      </c>
      <c r="D10" s="6">
        <v>1201033</v>
      </c>
      <c r="E10" s="8">
        <v>8178</v>
      </c>
      <c r="F10" s="16">
        <v>1792</v>
      </c>
      <c r="G10" s="6">
        <v>304640</v>
      </c>
      <c r="H10" s="5">
        <v>392</v>
      </c>
      <c r="I10" s="7">
        <v>72128</v>
      </c>
      <c r="J10" s="5"/>
      <c r="K10" s="5"/>
    </row>
    <row r="11" spans="1:11" x14ac:dyDescent="0.25">
      <c r="A11" s="9">
        <v>2019</v>
      </c>
      <c r="B11" s="9">
        <v>8</v>
      </c>
      <c r="C11" s="10">
        <v>547211</v>
      </c>
      <c r="D11" s="11">
        <v>1040165</v>
      </c>
      <c r="E11" s="13">
        <v>9249</v>
      </c>
      <c r="F11" s="17">
        <v>1195</v>
      </c>
      <c r="G11" s="11">
        <v>223465</v>
      </c>
      <c r="H11" s="10">
        <v>229</v>
      </c>
      <c r="I11" s="12">
        <v>39619</v>
      </c>
      <c r="J11" s="10">
        <v>1997</v>
      </c>
      <c r="K11" s="10">
        <v>1466</v>
      </c>
    </row>
    <row r="12" spans="1:11" x14ac:dyDescent="0.25">
      <c r="A12" s="4">
        <v>2019</v>
      </c>
      <c r="B12" s="4">
        <v>9</v>
      </c>
      <c r="C12" s="5">
        <v>547823</v>
      </c>
      <c r="D12" s="6">
        <v>864646</v>
      </c>
      <c r="E12" s="8">
        <v>9843</v>
      </c>
      <c r="F12" s="16">
        <v>865</v>
      </c>
      <c r="G12" s="6">
        <v>161755</v>
      </c>
      <c r="H12" s="5">
        <v>159</v>
      </c>
      <c r="I12" s="7">
        <v>22737</v>
      </c>
      <c r="J12" s="5">
        <v>1673</v>
      </c>
      <c r="K12" s="5">
        <v>984</v>
      </c>
    </row>
    <row r="13" spans="1:11" x14ac:dyDescent="0.25">
      <c r="A13" s="9">
        <v>2019</v>
      </c>
      <c r="B13" s="9">
        <v>10</v>
      </c>
      <c r="C13" s="10">
        <v>550669</v>
      </c>
      <c r="D13" s="11">
        <v>595704</v>
      </c>
      <c r="E13" s="13">
        <v>7986</v>
      </c>
      <c r="F13" s="17">
        <v>1246</v>
      </c>
      <c r="G13" s="11">
        <v>267890</v>
      </c>
      <c r="H13" s="10">
        <v>236</v>
      </c>
      <c r="I13" s="12">
        <v>50740</v>
      </c>
      <c r="J13" s="10">
        <v>1467</v>
      </c>
      <c r="K13" s="10">
        <v>3035</v>
      </c>
    </row>
    <row r="14" spans="1:11" x14ac:dyDescent="0.25">
      <c r="A14" s="4">
        <v>2019</v>
      </c>
      <c r="B14" s="4">
        <v>11</v>
      </c>
      <c r="C14" s="5">
        <v>557868</v>
      </c>
      <c r="D14" s="6">
        <v>399137</v>
      </c>
      <c r="E14" s="8">
        <v>7300</v>
      </c>
      <c r="F14" s="16">
        <v>928</v>
      </c>
      <c r="G14" s="6">
        <v>130848</v>
      </c>
      <c r="H14" s="5">
        <v>227</v>
      </c>
      <c r="I14" s="7">
        <v>30645</v>
      </c>
      <c r="J14" s="5">
        <v>1162</v>
      </c>
      <c r="K14" s="5">
        <v>2200</v>
      </c>
    </row>
    <row r="15" spans="1:11" x14ac:dyDescent="0.25">
      <c r="A15" s="9">
        <v>2019</v>
      </c>
      <c r="B15" s="9">
        <v>12</v>
      </c>
      <c r="C15" s="10">
        <v>561198</v>
      </c>
      <c r="D15" s="11">
        <v>346855</v>
      </c>
      <c r="E15" s="13">
        <v>5076</v>
      </c>
      <c r="F15" s="17">
        <v>1650</v>
      </c>
      <c r="G15" s="11">
        <v>338250</v>
      </c>
      <c r="H15" s="10">
        <v>307</v>
      </c>
      <c r="I15" s="12">
        <v>54032</v>
      </c>
      <c r="J15" s="10">
        <v>1385</v>
      </c>
      <c r="K15" s="10">
        <v>1047</v>
      </c>
    </row>
    <row r="16" spans="1:11" x14ac:dyDescent="0.25">
      <c r="A16" s="4">
        <v>2020</v>
      </c>
      <c r="B16" s="4">
        <v>1</v>
      </c>
      <c r="C16" s="5">
        <v>562329</v>
      </c>
      <c r="D16" s="6">
        <v>277797</v>
      </c>
      <c r="E16" s="8">
        <v>3519</v>
      </c>
      <c r="F16" s="16">
        <v>3104</v>
      </c>
      <c r="G16" s="6">
        <v>682880</v>
      </c>
      <c r="H16" s="5">
        <v>638</v>
      </c>
      <c r="I16" s="7">
        <v>137808</v>
      </c>
      <c r="J16" s="5">
        <v>2623</v>
      </c>
      <c r="K16" s="5">
        <v>2112</v>
      </c>
    </row>
    <row r="17" spans="1:11" x14ac:dyDescent="0.25">
      <c r="A17" s="9">
        <v>2020</v>
      </c>
      <c r="B17" s="9">
        <v>2</v>
      </c>
      <c r="C17" s="10">
        <v>563196</v>
      </c>
      <c r="D17" s="11">
        <v>240410</v>
      </c>
      <c r="E17" s="13">
        <v>3084</v>
      </c>
      <c r="F17" s="17">
        <v>2697</v>
      </c>
      <c r="G17" s="11">
        <v>668856</v>
      </c>
      <c r="H17" s="10">
        <v>623</v>
      </c>
      <c r="I17" s="12">
        <v>158242</v>
      </c>
      <c r="J17" s="10">
        <v>2937</v>
      </c>
      <c r="K17" s="10">
        <v>2198</v>
      </c>
    </row>
    <row r="18" spans="1:11" x14ac:dyDescent="0.25">
      <c r="A18" s="4">
        <v>2020</v>
      </c>
      <c r="B18" s="4">
        <v>3</v>
      </c>
      <c r="C18" s="5">
        <v>563628</v>
      </c>
      <c r="D18" s="6">
        <v>340996</v>
      </c>
      <c r="E18" s="8">
        <v>3701</v>
      </c>
      <c r="F18" s="16">
        <v>2389</v>
      </c>
      <c r="G18" s="6">
        <v>640252</v>
      </c>
      <c r="H18" s="5">
        <v>639</v>
      </c>
      <c r="I18" s="7">
        <v>171252</v>
      </c>
      <c r="J18" s="5">
        <v>936</v>
      </c>
      <c r="K18" s="5">
        <v>1082</v>
      </c>
    </row>
    <row r="19" spans="1:11" x14ac:dyDescent="0.25">
      <c r="A19" s="9">
        <v>2020</v>
      </c>
      <c r="B19" s="9">
        <v>4</v>
      </c>
      <c r="C19" s="10">
        <v>563993</v>
      </c>
      <c r="D19" s="11">
        <v>463251</v>
      </c>
      <c r="E19" s="13">
        <v>4473</v>
      </c>
      <c r="F19" s="17">
        <v>998</v>
      </c>
      <c r="G19" s="11">
        <v>278442</v>
      </c>
      <c r="H19" s="10">
        <v>190</v>
      </c>
      <c r="I19" s="12">
        <v>49970</v>
      </c>
      <c r="J19" s="10">
        <v>0</v>
      </c>
      <c r="K19" s="10">
        <v>117</v>
      </c>
    </row>
    <row r="20" spans="1:11" x14ac:dyDescent="0.25">
      <c r="A20" s="4">
        <v>2020</v>
      </c>
      <c r="B20" s="4">
        <v>5</v>
      </c>
      <c r="C20" s="5">
        <v>564206</v>
      </c>
      <c r="D20" s="6">
        <v>803427</v>
      </c>
      <c r="E20" s="8">
        <v>7209</v>
      </c>
      <c r="F20" s="16">
        <v>812</v>
      </c>
      <c r="G20" s="6">
        <v>215180</v>
      </c>
      <c r="H20" s="5">
        <v>119</v>
      </c>
      <c r="I20" s="7">
        <v>30940</v>
      </c>
      <c r="J20" s="5">
        <v>211</v>
      </c>
      <c r="K20" s="5">
        <v>52</v>
      </c>
    </row>
    <row r="21" spans="1:11" x14ac:dyDescent="0.25">
      <c r="A21" s="9">
        <v>2020</v>
      </c>
      <c r="B21" s="9">
        <v>6</v>
      </c>
      <c r="C21" s="20">
        <v>564026</v>
      </c>
      <c r="D21" s="11">
        <v>1373302</v>
      </c>
      <c r="E21" s="13">
        <v>9123</v>
      </c>
      <c r="F21" s="17">
        <v>1348</v>
      </c>
      <c r="G21" s="11">
        <v>338348</v>
      </c>
      <c r="H21" s="10">
        <v>231</v>
      </c>
      <c r="I21" s="12">
        <v>60552</v>
      </c>
      <c r="J21" s="10">
        <v>562</v>
      </c>
      <c r="K21" s="10">
        <v>33</v>
      </c>
    </row>
    <row r="22" spans="1:11" x14ac:dyDescent="0.25">
      <c r="A22" s="4">
        <v>2020</v>
      </c>
      <c r="B22" s="4">
        <v>7</v>
      </c>
      <c r="C22" s="5">
        <v>563874</v>
      </c>
      <c r="D22" s="6">
        <v>1817320</v>
      </c>
      <c r="E22" s="8">
        <v>10626</v>
      </c>
      <c r="F22" s="16">
        <v>1037</v>
      </c>
      <c r="G22" s="6">
        <v>231251</v>
      </c>
      <c r="H22" s="5">
        <v>169</v>
      </c>
      <c r="I22" s="7">
        <v>40729</v>
      </c>
      <c r="J22" s="5">
        <v>990</v>
      </c>
      <c r="K22" s="5">
        <v>22</v>
      </c>
    </row>
    <row r="23" spans="1:11" ht="17.25" x14ac:dyDescent="0.25">
      <c r="A23" s="9">
        <v>2020</v>
      </c>
      <c r="B23" s="9">
        <v>8</v>
      </c>
      <c r="C23" s="20">
        <v>563686</v>
      </c>
      <c r="D23" s="11">
        <v>1868090</v>
      </c>
      <c r="E23" s="13">
        <v>12485</v>
      </c>
      <c r="F23" s="17">
        <v>2103</v>
      </c>
      <c r="G23" s="11">
        <f>2103*253</f>
        <v>532059</v>
      </c>
      <c r="H23" s="10">
        <v>335</v>
      </c>
      <c r="I23" s="12">
        <f>335*277</f>
        <v>92795</v>
      </c>
      <c r="J23" s="20" t="s">
        <v>51</v>
      </c>
      <c r="K23" s="10">
        <v>654</v>
      </c>
    </row>
    <row r="24" spans="1:11" x14ac:dyDescent="0.25">
      <c r="A24" s="4">
        <v>2020</v>
      </c>
      <c r="B24" s="4">
        <v>9</v>
      </c>
      <c r="C24" s="5">
        <v>562693</v>
      </c>
      <c r="D24" s="6">
        <v>1461653</v>
      </c>
      <c r="E24" s="8">
        <v>11183</v>
      </c>
      <c r="F24" s="16">
        <f>1803</f>
        <v>1803</v>
      </c>
      <c r="G24" s="6">
        <f>1803*202</f>
        <v>364206</v>
      </c>
      <c r="H24" s="5">
        <v>316</v>
      </c>
      <c r="I24" s="7">
        <f>316*220</f>
        <v>69520</v>
      </c>
      <c r="J24" s="5">
        <v>1566</v>
      </c>
      <c r="K24" s="5">
        <v>1611</v>
      </c>
    </row>
    <row r="25" spans="1:11" ht="17.25" x14ac:dyDescent="0.25">
      <c r="A25" s="9">
        <v>2020</v>
      </c>
      <c r="B25" s="9">
        <v>10</v>
      </c>
      <c r="C25" s="20">
        <v>564778</v>
      </c>
      <c r="D25" s="11">
        <v>1123136</v>
      </c>
      <c r="E25" s="13">
        <v>9654</v>
      </c>
      <c r="F25" s="17">
        <v>1489</v>
      </c>
      <c r="G25" s="30" t="s">
        <v>49</v>
      </c>
      <c r="H25" s="10">
        <v>278</v>
      </c>
      <c r="I25" s="12">
        <f>278*199</f>
        <v>55322</v>
      </c>
      <c r="J25" s="10">
        <v>1071</v>
      </c>
      <c r="K25" s="10">
        <v>2099</v>
      </c>
    </row>
    <row r="26" spans="1:11" x14ac:dyDescent="0.25">
      <c r="A26" s="4">
        <v>2020</v>
      </c>
      <c r="B26" s="4">
        <v>11</v>
      </c>
      <c r="C26" s="5">
        <v>567848</v>
      </c>
      <c r="D26" s="6">
        <v>1038625</v>
      </c>
      <c r="E26" s="8">
        <v>8854</v>
      </c>
      <c r="F26" s="16">
        <v>1338</v>
      </c>
      <c r="G26" s="6">
        <f>1338*168</f>
        <v>224784</v>
      </c>
      <c r="H26" s="5">
        <v>251</v>
      </c>
      <c r="I26" s="7">
        <f>251*165</f>
        <v>41415</v>
      </c>
      <c r="J26" s="5">
        <v>537</v>
      </c>
      <c r="K26" s="5">
        <v>1080</v>
      </c>
    </row>
    <row r="27" spans="1:11" x14ac:dyDescent="0.25">
      <c r="A27" s="9">
        <v>2020</v>
      </c>
      <c r="B27" s="9">
        <v>12</v>
      </c>
      <c r="C27" s="20">
        <v>570372</v>
      </c>
      <c r="D27" s="11">
        <v>565179</v>
      </c>
      <c r="E27" s="13">
        <v>6165</v>
      </c>
      <c r="F27" s="17">
        <v>2170</v>
      </c>
      <c r="G27" s="11">
        <f>2170*195</f>
        <v>423150</v>
      </c>
      <c r="H27" s="10">
        <v>358</v>
      </c>
      <c r="I27" s="12">
        <f>358*194</f>
        <v>69452</v>
      </c>
      <c r="J27" s="10">
        <v>524</v>
      </c>
      <c r="K27" s="10">
        <v>1090</v>
      </c>
    </row>
    <row r="28" spans="1:11" x14ac:dyDescent="0.25">
      <c r="A28" s="4">
        <v>2021</v>
      </c>
      <c r="B28" s="4">
        <v>1</v>
      </c>
      <c r="C28" s="5">
        <v>571934</v>
      </c>
      <c r="D28" s="6">
        <v>488271</v>
      </c>
      <c r="E28" s="8">
        <v>5419</v>
      </c>
      <c r="F28" s="16">
        <v>1814</v>
      </c>
      <c r="G28" s="6">
        <f>1814*237</f>
        <v>429918</v>
      </c>
      <c r="H28" s="5">
        <v>295</v>
      </c>
      <c r="I28" s="7">
        <f>295*243</f>
        <v>71685</v>
      </c>
      <c r="J28" s="5">
        <v>1533</v>
      </c>
      <c r="K28" s="5">
        <v>1636</v>
      </c>
    </row>
    <row r="29" spans="1:11" x14ac:dyDescent="0.25">
      <c r="A29" s="9">
        <v>2021</v>
      </c>
      <c r="B29" s="9">
        <v>2</v>
      </c>
      <c r="C29" s="20">
        <v>573291</v>
      </c>
      <c r="D29" s="11">
        <v>399962</v>
      </c>
      <c r="E29" s="13">
        <v>4652</v>
      </c>
      <c r="F29" s="17">
        <v>2577</v>
      </c>
      <c r="G29" s="11">
        <f>2577*270</f>
        <v>695790</v>
      </c>
      <c r="H29" s="10">
        <v>329</v>
      </c>
      <c r="I29" s="12">
        <f>329*288</f>
        <v>94752</v>
      </c>
      <c r="J29" s="10">
        <v>64</v>
      </c>
      <c r="K29" s="10">
        <v>396</v>
      </c>
    </row>
    <row r="30" spans="1:11" s="31" customFormat="1" x14ac:dyDescent="0.25">
      <c r="A30" s="18">
        <v>2021</v>
      </c>
      <c r="B30" s="18">
        <v>3</v>
      </c>
      <c r="C30" s="19">
        <v>573749</v>
      </c>
      <c r="D30" s="37">
        <v>421070</v>
      </c>
      <c r="E30" s="36">
        <v>4076</v>
      </c>
      <c r="F30" s="38">
        <v>1915</v>
      </c>
      <c r="G30" s="37">
        <f>1915*301</f>
        <v>576415</v>
      </c>
      <c r="H30" s="19">
        <v>356</v>
      </c>
      <c r="I30" s="35">
        <f>356*321</f>
        <v>114276</v>
      </c>
      <c r="J30" s="19">
        <v>1928</v>
      </c>
      <c r="K30" s="19">
        <v>1080</v>
      </c>
    </row>
    <row r="31" spans="1:11" s="31" customFormat="1" x14ac:dyDescent="0.25">
      <c r="A31" s="9">
        <v>2021</v>
      </c>
      <c r="B31" s="9">
        <v>4</v>
      </c>
      <c r="C31" s="20">
        <v>573033</v>
      </c>
      <c r="D31" s="11">
        <v>462697</v>
      </c>
      <c r="E31" s="13">
        <v>3630</v>
      </c>
      <c r="F31" s="17">
        <v>1055</v>
      </c>
      <c r="G31" s="11">
        <f>1055*275</f>
        <v>290125</v>
      </c>
      <c r="H31" s="10">
        <v>180</v>
      </c>
      <c r="I31" s="12">
        <f>180*278</f>
        <v>50040</v>
      </c>
      <c r="J31" s="10">
        <v>2099</v>
      </c>
      <c r="K31" s="10">
        <v>1662</v>
      </c>
    </row>
    <row r="32" spans="1:11" s="31" customFormat="1" x14ac:dyDescent="0.25">
      <c r="A32" s="18">
        <v>2021</v>
      </c>
      <c r="B32" s="18">
        <v>5</v>
      </c>
      <c r="C32" s="19">
        <v>571867</v>
      </c>
      <c r="D32" s="37">
        <v>606092</v>
      </c>
      <c r="E32" s="36">
        <v>4423</v>
      </c>
      <c r="F32" s="38">
        <v>1456</v>
      </c>
      <c r="G32" s="37">
        <f>1456*231</f>
        <v>336336</v>
      </c>
      <c r="H32" s="19">
        <v>250</v>
      </c>
      <c r="I32" s="35">
        <f>250*365</f>
        <v>91250</v>
      </c>
      <c r="J32" s="19">
        <v>2772</v>
      </c>
      <c r="K32" s="19">
        <v>1894</v>
      </c>
    </row>
    <row r="33" spans="1:11" s="31" customFormat="1" x14ac:dyDescent="0.25">
      <c r="A33" s="9">
        <v>2021</v>
      </c>
      <c r="B33" s="9">
        <v>6</v>
      </c>
      <c r="C33" s="20">
        <v>570478</v>
      </c>
      <c r="D33" s="11">
        <v>973455</v>
      </c>
      <c r="E33" s="13">
        <v>5642</v>
      </c>
      <c r="F33" s="17">
        <v>1410</v>
      </c>
      <c r="G33" s="11">
        <f>1410*191</f>
        <v>269310</v>
      </c>
      <c r="H33" s="10">
        <v>249</v>
      </c>
      <c r="I33" s="12">
        <f>249*202</f>
        <v>50298</v>
      </c>
      <c r="J33" s="10">
        <v>1920</v>
      </c>
      <c r="K33" s="10">
        <v>1431</v>
      </c>
    </row>
    <row r="34" spans="1:11" s="31" customFormat="1" x14ac:dyDescent="0.25">
      <c r="A34" s="18">
        <v>2021</v>
      </c>
      <c r="B34" s="18">
        <v>7</v>
      </c>
      <c r="C34" s="19">
        <v>569096</v>
      </c>
      <c r="D34" s="37">
        <v>1144558</v>
      </c>
      <c r="E34" s="36">
        <v>7270</v>
      </c>
      <c r="F34" s="38">
        <v>1131</v>
      </c>
      <c r="G34" s="37">
        <f>1131*174</f>
        <v>196794</v>
      </c>
      <c r="H34" s="19">
        <v>186</v>
      </c>
      <c r="I34" s="35">
        <f>186*184</f>
        <v>34224</v>
      </c>
      <c r="J34" s="19">
        <v>1688</v>
      </c>
      <c r="K34" s="19">
        <v>1341</v>
      </c>
    </row>
    <row r="35" spans="1:11" s="31" customFormat="1" x14ac:dyDescent="0.25">
      <c r="A35" s="9">
        <v>2021</v>
      </c>
      <c r="B35" s="9">
        <v>8</v>
      </c>
      <c r="C35" s="20">
        <v>568177</v>
      </c>
      <c r="D35" s="30">
        <v>1105829</v>
      </c>
      <c r="E35" s="57">
        <v>8506</v>
      </c>
      <c r="F35" s="58">
        <v>952</v>
      </c>
      <c r="G35" s="30">
        <f>952*158</f>
        <v>150416</v>
      </c>
      <c r="H35" s="59">
        <v>183</v>
      </c>
      <c r="I35" s="60">
        <f>183*165</f>
        <v>30195</v>
      </c>
      <c r="J35" s="10">
        <v>2231</v>
      </c>
      <c r="K35" s="10">
        <v>1476</v>
      </c>
    </row>
    <row r="36" spans="1:11" s="31" customFormat="1" x14ac:dyDescent="0.25">
      <c r="A36" s="18">
        <v>2021</v>
      </c>
      <c r="B36" s="18">
        <v>9</v>
      </c>
      <c r="C36" s="19">
        <v>568313</v>
      </c>
      <c r="D36" s="37">
        <v>860099</v>
      </c>
      <c r="E36" s="36">
        <v>8066</v>
      </c>
      <c r="F36" s="38">
        <v>749</v>
      </c>
      <c r="G36" s="37">
        <f>749*145</f>
        <v>108605</v>
      </c>
      <c r="H36" s="19">
        <v>155</v>
      </c>
      <c r="I36" s="35">
        <f>155*156</f>
        <v>24180</v>
      </c>
      <c r="J36" s="19">
        <v>1468</v>
      </c>
      <c r="K36" s="19">
        <v>1319</v>
      </c>
    </row>
    <row r="37" spans="1:11" s="31" customFormat="1" x14ac:dyDescent="0.25">
      <c r="A37" s="9">
        <v>2021</v>
      </c>
      <c r="B37" s="9">
        <v>10</v>
      </c>
      <c r="C37" s="20">
        <v>570079</v>
      </c>
      <c r="D37" s="30">
        <v>619484</v>
      </c>
      <c r="E37" s="57">
        <v>7935</v>
      </c>
      <c r="F37" s="58">
        <v>702</v>
      </c>
      <c r="G37" s="30">
        <f>702*148</f>
        <v>103896</v>
      </c>
      <c r="H37" s="59">
        <v>105</v>
      </c>
      <c r="I37" s="60">
        <f>105*156</f>
        <v>16380</v>
      </c>
      <c r="J37" s="10">
        <v>1123</v>
      </c>
      <c r="K37" s="10">
        <v>1816</v>
      </c>
    </row>
    <row r="38" spans="1:11" s="31" customFormat="1" x14ac:dyDescent="0.25">
      <c r="A38" s="18">
        <v>2021</v>
      </c>
      <c r="B38" s="18">
        <v>11</v>
      </c>
      <c r="C38" s="19">
        <v>575277</v>
      </c>
      <c r="D38" s="37">
        <v>509882</v>
      </c>
      <c r="E38" s="36">
        <v>7004</v>
      </c>
      <c r="F38" s="38">
        <v>957</v>
      </c>
      <c r="G38" s="37">
        <f>957*159</f>
        <v>152163</v>
      </c>
      <c r="H38" s="19">
        <v>171</v>
      </c>
      <c r="I38" s="35">
        <f>171*163</f>
        <v>27873</v>
      </c>
      <c r="J38" s="19">
        <v>691</v>
      </c>
      <c r="K38" s="19">
        <v>2104</v>
      </c>
    </row>
    <row r="39" spans="1:11" s="63" customFormat="1" x14ac:dyDescent="0.25">
      <c r="A39" s="67">
        <v>2021</v>
      </c>
      <c r="B39" s="67">
        <v>12</v>
      </c>
      <c r="C39" s="68">
        <v>578530</v>
      </c>
      <c r="D39" s="69">
        <v>412940</v>
      </c>
      <c r="E39" s="68">
        <v>5746</v>
      </c>
      <c r="F39" s="68">
        <v>1181</v>
      </c>
      <c r="G39" s="69">
        <f>1181*234</f>
        <v>276354</v>
      </c>
      <c r="H39" s="68">
        <v>254</v>
      </c>
      <c r="I39" s="69">
        <f>254*204</f>
        <v>51816</v>
      </c>
      <c r="J39" s="68">
        <v>690</v>
      </c>
      <c r="K39" s="68">
        <v>977</v>
      </c>
    </row>
    <row r="42" spans="1:11" ht="33.75" customHeight="1" x14ac:dyDescent="0.25">
      <c r="A42" s="71" t="s">
        <v>60</v>
      </c>
      <c r="B42" s="71"/>
      <c r="C42" s="71"/>
      <c r="D42" s="71"/>
      <c r="E42" s="71"/>
      <c r="F42" s="71"/>
      <c r="G42" s="71"/>
      <c r="H42" s="71"/>
      <c r="I42" s="71"/>
      <c r="J42" s="71"/>
      <c r="K42" s="71"/>
    </row>
    <row r="43" spans="1:11" ht="17.25" x14ac:dyDescent="0.25">
      <c r="A43" s="34" t="s">
        <v>50</v>
      </c>
      <c r="B43" s="27"/>
      <c r="C43" s="28"/>
      <c r="D43" s="27"/>
      <c r="E43" s="29"/>
      <c r="F43" s="29"/>
      <c r="G43" s="27"/>
      <c r="H43" s="27"/>
      <c r="I43" s="27"/>
    </row>
    <row r="44" spans="1:11" ht="17.25" x14ac:dyDescent="0.25">
      <c r="A44" s="34" t="s">
        <v>42</v>
      </c>
    </row>
    <row r="45" spans="1:11" ht="28.5" customHeight="1" x14ac:dyDescent="0.25">
      <c r="A45" s="71" t="s">
        <v>74</v>
      </c>
      <c r="B45" s="71"/>
      <c r="C45" s="71"/>
      <c r="D45" s="71"/>
      <c r="E45" s="71"/>
      <c r="F45" s="71"/>
      <c r="G45" s="71"/>
      <c r="H45" s="71"/>
      <c r="I45" s="71"/>
      <c r="J45" s="71"/>
      <c r="K45" s="71"/>
    </row>
  </sheetData>
  <mergeCells count="3">
    <mergeCell ref="A1:K1"/>
    <mergeCell ref="A42:K42"/>
    <mergeCell ref="A45:K45"/>
  </mergeCells>
  <pageMargins left="0.7" right="0.7" top="1" bottom="0.75" header="0.3" footer="0.3"/>
  <pageSetup scale="68" orientation="landscape" r:id="rId1"/>
  <headerFooter>
    <oddHeader>&amp;R&amp;10Vectren Energy Delivery of Indiana, Inc.
Cause No. 45380
Attachment 1
Page 1 of 6</oddHeader>
  </headerFooter>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D3403-516B-4B5A-8E3A-BBA4BB0B3DCC}">
  <sheetPr>
    <pageSetUpPr fitToPage="1"/>
  </sheetPr>
  <dimension ref="A1:K44"/>
  <sheetViews>
    <sheetView zoomScaleNormal="100" workbookViewId="0">
      <pane xSplit="2" ySplit="3" topLeftCell="C22" activePane="bottomRight" state="frozen"/>
      <selection activeCell="A39" sqref="A39:XFD39"/>
      <selection pane="topRight" activeCell="A39" sqref="A39:XFD39"/>
      <selection pane="bottomLeft" activeCell="A39" sqref="A39:XFD39"/>
      <selection pane="bottomRight" activeCell="A44" sqref="A44:K44"/>
    </sheetView>
  </sheetViews>
  <sheetFormatPr defaultRowHeight="15" x14ac:dyDescent="0.25"/>
  <cols>
    <col min="1" max="1" width="5" bestFit="1" customWidth="1"/>
    <col min="2" max="2" width="5.42578125" customWidth="1"/>
    <col min="3" max="3" width="10.85546875" style="14" customWidth="1"/>
    <col min="4" max="4" width="11.7109375" customWidth="1"/>
    <col min="5" max="5" width="10.7109375" style="15" customWidth="1"/>
    <col min="6" max="6" width="16.42578125" style="15" customWidth="1"/>
    <col min="7" max="7" width="11.42578125" customWidth="1"/>
    <col min="8" max="8" width="14.42578125" customWidth="1"/>
    <col min="9" max="9" width="15.42578125" customWidth="1"/>
    <col min="10" max="10" width="14.140625" style="31" customWidth="1"/>
    <col min="11" max="11" width="16" style="31" customWidth="1"/>
  </cols>
  <sheetData>
    <row r="1" spans="1:11" ht="18.75" customHeight="1" x14ac:dyDescent="0.3">
      <c r="A1" s="70" t="s">
        <v>6</v>
      </c>
      <c r="B1" s="70"/>
      <c r="C1" s="70"/>
      <c r="D1" s="70"/>
      <c r="E1" s="70"/>
      <c r="F1" s="70"/>
      <c r="G1" s="70"/>
      <c r="H1" s="70"/>
      <c r="I1" s="70"/>
      <c r="J1" s="70"/>
      <c r="K1" s="70"/>
    </row>
    <row r="2" spans="1:11" s="56" customFormat="1" ht="18.75" x14ac:dyDescent="0.3">
      <c r="A2" s="39"/>
      <c r="B2" s="39"/>
      <c r="C2" s="2" t="s">
        <v>11</v>
      </c>
      <c r="D2" s="2" t="s">
        <v>12</v>
      </c>
      <c r="E2" s="2" t="s">
        <v>12</v>
      </c>
      <c r="F2" s="2" t="s">
        <v>45</v>
      </c>
      <c r="G2" s="2" t="s">
        <v>13</v>
      </c>
      <c r="H2" s="2" t="s">
        <v>46</v>
      </c>
      <c r="I2" s="2" t="s">
        <v>14</v>
      </c>
      <c r="J2" s="2" t="s">
        <v>47</v>
      </c>
      <c r="K2" s="2" t="s">
        <v>16</v>
      </c>
    </row>
    <row r="3" spans="1:11" s="56" customFormat="1" ht="62.25" x14ac:dyDescent="0.25">
      <c r="A3" s="1" t="s">
        <v>0</v>
      </c>
      <c r="B3" s="1" t="s">
        <v>1</v>
      </c>
      <c r="C3" s="2" t="s">
        <v>2</v>
      </c>
      <c r="D3" s="3" t="s">
        <v>4</v>
      </c>
      <c r="E3" s="3" t="s">
        <v>3</v>
      </c>
      <c r="F3" s="3" t="s">
        <v>66</v>
      </c>
      <c r="G3" s="3" t="s">
        <v>67</v>
      </c>
      <c r="H3" s="3" t="s">
        <v>68</v>
      </c>
      <c r="I3" s="3" t="s">
        <v>69</v>
      </c>
      <c r="J3" s="3" t="s">
        <v>20</v>
      </c>
      <c r="K3" s="3" t="s">
        <v>21</v>
      </c>
    </row>
    <row r="4" spans="1:11" x14ac:dyDescent="0.25">
      <c r="A4" s="4">
        <v>2019</v>
      </c>
      <c r="B4" s="4">
        <v>1</v>
      </c>
      <c r="C4" s="5">
        <v>53570</v>
      </c>
      <c r="D4" s="7">
        <v>8882</v>
      </c>
      <c r="E4" s="8">
        <v>124</v>
      </c>
      <c r="F4" s="16"/>
      <c r="G4" s="6"/>
      <c r="H4" s="5"/>
      <c r="I4" s="7"/>
      <c r="J4" s="7"/>
      <c r="K4" s="7"/>
    </row>
    <row r="5" spans="1:11" x14ac:dyDescent="0.25">
      <c r="A5" s="9">
        <v>2019</v>
      </c>
      <c r="B5" s="9">
        <v>2</v>
      </c>
      <c r="C5" s="10">
        <v>53688</v>
      </c>
      <c r="D5" s="12">
        <v>7835</v>
      </c>
      <c r="E5" s="13">
        <v>100</v>
      </c>
      <c r="F5" s="17"/>
      <c r="G5" s="11"/>
      <c r="H5" s="10"/>
      <c r="I5" s="12"/>
      <c r="J5" s="12"/>
      <c r="K5" s="12"/>
    </row>
    <row r="6" spans="1:11" x14ac:dyDescent="0.25">
      <c r="A6" s="4">
        <v>2019</v>
      </c>
      <c r="B6" s="4">
        <v>3</v>
      </c>
      <c r="C6" s="5">
        <v>53679</v>
      </c>
      <c r="D6" s="7">
        <v>9457</v>
      </c>
      <c r="E6" s="8">
        <v>105</v>
      </c>
      <c r="F6" s="16"/>
      <c r="G6" s="6"/>
      <c r="H6" s="5"/>
      <c r="I6" s="7"/>
      <c r="J6" s="7"/>
      <c r="K6" s="7"/>
    </row>
    <row r="7" spans="1:11" x14ac:dyDescent="0.25">
      <c r="A7" s="9">
        <v>2019</v>
      </c>
      <c r="B7" s="9">
        <v>4</v>
      </c>
      <c r="C7" s="10">
        <v>53527</v>
      </c>
      <c r="D7" s="12">
        <v>13298</v>
      </c>
      <c r="E7" s="13">
        <v>112</v>
      </c>
      <c r="F7" s="17"/>
      <c r="G7" s="11"/>
      <c r="H7" s="10"/>
      <c r="I7" s="12"/>
      <c r="J7" s="12"/>
      <c r="K7" s="12"/>
    </row>
    <row r="8" spans="1:11" x14ac:dyDescent="0.25">
      <c r="A8" s="4">
        <v>2019</v>
      </c>
      <c r="B8" s="4">
        <v>5</v>
      </c>
      <c r="C8" s="5">
        <v>53299</v>
      </c>
      <c r="D8" s="7">
        <v>20344</v>
      </c>
      <c r="E8" s="8">
        <v>152</v>
      </c>
      <c r="F8" s="16"/>
      <c r="G8" s="6"/>
      <c r="H8" s="5"/>
      <c r="I8" s="7"/>
      <c r="J8" s="7"/>
      <c r="K8" s="7"/>
    </row>
    <row r="9" spans="1:11" x14ac:dyDescent="0.25">
      <c r="A9" s="9">
        <v>2019</v>
      </c>
      <c r="B9" s="9">
        <v>6</v>
      </c>
      <c r="C9" s="10">
        <v>53087</v>
      </c>
      <c r="D9" s="12">
        <v>27696</v>
      </c>
      <c r="E9" s="13">
        <v>215</v>
      </c>
      <c r="F9" s="17"/>
      <c r="G9" s="11"/>
      <c r="H9" s="10"/>
      <c r="I9" s="12"/>
      <c r="J9" s="12"/>
      <c r="K9" s="12"/>
    </row>
    <row r="10" spans="1:11" x14ac:dyDescent="0.25">
      <c r="A10" s="4">
        <v>2019</v>
      </c>
      <c r="B10" s="4">
        <v>7</v>
      </c>
      <c r="C10" s="5">
        <v>52936</v>
      </c>
      <c r="D10" s="7">
        <v>37145</v>
      </c>
      <c r="E10" s="8">
        <v>268</v>
      </c>
      <c r="F10" s="16"/>
      <c r="G10" s="6"/>
      <c r="H10" s="5"/>
      <c r="I10" s="7"/>
      <c r="J10" s="7"/>
      <c r="K10" s="7"/>
    </row>
    <row r="11" spans="1:11" x14ac:dyDescent="0.25">
      <c r="A11" s="9">
        <v>2019</v>
      </c>
      <c r="B11" s="9">
        <v>8</v>
      </c>
      <c r="C11" s="10">
        <v>52843</v>
      </c>
      <c r="D11" s="12">
        <v>32170</v>
      </c>
      <c r="E11" s="13">
        <v>260</v>
      </c>
      <c r="F11" s="17"/>
      <c r="G11" s="11"/>
      <c r="H11" s="10"/>
      <c r="I11" s="12"/>
      <c r="J11" s="10">
        <v>66</v>
      </c>
      <c r="K11" s="10">
        <v>34</v>
      </c>
    </row>
    <row r="12" spans="1:11" x14ac:dyDescent="0.25">
      <c r="A12" s="4">
        <v>2019</v>
      </c>
      <c r="B12" s="4">
        <v>9</v>
      </c>
      <c r="C12" s="5">
        <v>52806</v>
      </c>
      <c r="D12" s="7">
        <v>26742</v>
      </c>
      <c r="E12" s="8">
        <v>287</v>
      </c>
      <c r="F12" s="16"/>
      <c r="G12" s="6"/>
      <c r="H12" s="5"/>
      <c r="I12" s="7"/>
      <c r="J12" s="5">
        <v>64</v>
      </c>
      <c r="K12" s="5">
        <v>39</v>
      </c>
    </row>
    <row r="13" spans="1:11" x14ac:dyDescent="0.25">
      <c r="A13" s="9">
        <v>2019</v>
      </c>
      <c r="B13" s="9">
        <v>10</v>
      </c>
      <c r="C13" s="10">
        <v>52951</v>
      </c>
      <c r="D13" s="12">
        <v>18424</v>
      </c>
      <c r="E13" s="13">
        <v>236</v>
      </c>
      <c r="F13" s="17"/>
      <c r="G13" s="11"/>
      <c r="H13" s="10"/>
      <c r="I13" s="12"/>
      <c r="J13" s="10">
        <v>53</v>
      </c>
      <c r="K13" s="10">
        <v>156</v>
      </c>
    </row>
    <row r="14" spans="1:11" x14ac:dyDescent="0.25">
      <c r="A14" s="4">
        <v>2019</v>
      </c>
      <c r="B14" s="4">
        <v>11</v>
      </c>
      <c r="C14" s="5">
        <v>53524</v>
      </c>
      <c r="D14" s="7">
        <v>12344</v>
      </c>
      <c r="E14" s="8">
        <v>209</v>
      </c>
      <c r="F14" s="16"/>
      <c r="G14" s="6"/>
      <c r="H14" s="5"/>
      <c r="I14" s="7"/>
      <c r="J14" s="5">
        <v>35</v>
      </c>
      <c r="K14" s="5">
        <v>112</v>
      </c>
    </row>
    <row r="15" spans="1:11" x14ac:dyDescent="0.25">
      <c r="A15" s="9">
        <v>2019</v>
      </c>
      <c r="B15" s="9">
        <v>12</v>
      </c>
      <c r="C15" s="10">
        <v>53817</v>
      </c>
      <c r="D15" s="12">
        <v>10727</v>
      </c>
      <c r="E15" s="13">
        <v>154</v>
      </c>
      <c r="F15" s="17"/>
      <c r="G15" s="11"/>
      <c r="H15" s="10"/>
      <c r="I15" s="12"/>
      <c r="J15" s="10">
        <v>65</v>
      </c>
      <c r="K15" s="10">
        <v>41</v>
      </c>
    </row>
    <row r="16" spans="1:11" x14ac:dyDescent="0.25">
      <c r="A16" s="4">
        <v>2020</v>
      </c>
      <c r="B16" s="4">
        <v>1</v>
      </c>
      <c r="C16" s="5">
        <v>53898</v>
      </c>
      <c r="D16" s="7">
        <v>8592</v>
      </c>
      <c r="E16" s="8">
        <v>104</v>
      </c>
      <c r="F16" s="16"/>
      <c r="G16" s="6"/>
      <c r="H16" s="5"/>
      <c r="I16" s="7"/>
      <c r="J16" s="5">
        <v>110</v>
      </c>
      <c r="K16" s="5">
        <v>109</v>
      </c>
    </row>
    <row r="17" spans="1:11" x14ac:dyDescent="0.25">
      <c r="A17" s="9">
        <v>2020</v>
      </c>
      <c r="B17" s="9">
        <v>2</v>
      </c>
      <c r="C17" s="10">
        <v>53970</v>
      </c>
      <c r="D17" s="12">
        <v>7435</v>
      </c>
      <c r="E17" s="13">
        <v>89</v>
      </c>
      <c r="F17" s="17"/>
      <c r="G17" s="11"/>
      <c r="H17" s="10"/>
      <c r="I17" s="12"/>
      <c r="J17" s="10">
        <v>153</v>
      </c>
      <c r="K17" s="10">
        <v>109</v>
      </c>
    </row>
    <row r="18" spans="1:11" x14ac:dyDescent="0.25">
      <c r="A18" s="4">
        <v>2020</v>
      </c>
      <c r="B18" s="4">
        <v>3</v>
      </c>
      <c r="C18" s="5">
        <v>53966</v>
      </c>
      <c r="D18" s="7">
        <v>10546</v>
      </c>
      <c r="E18" s="8">
        <v>111</v>
      </c>
      <c r="F18" s="16"/>
      <c r="G18" s="6"/>
      <c r="H18" s="5"/>
      <c r="I18" s="7"/>
      <c r="J18" s="5">
        <v>46</v>
      </c>
      <c r="K18" s="5">
        <v>36</v>
      </c>
    </row>
    <row r="19" spans="1:11" x14ac:dyDescent="0.25">
      <c r="A19" s="9">
        <v>2020</v>
      </c>
      <c r="B19" s="9">
        <v>4</v>
      </c>
      <c r="C19" s="10">
        <v>53895</v>
      </c>
      <c r="D19" s="12">
        <v>14327</v>
      </c>
      <c r="E19" s="13">
        <v>159</v>
      </c>
      <c r="F19" s="17"/>
      <c r="G19" s="11"/>
      <c r="H19" s="10"/>
      <c r="I19" s="12"/>
      <c r="J19" s="10">
        <v>0</v>
      </c>
      <c r="K19" s="10">
        <v>3</v>
      </c>
    </row>
    <row r="20" spans="1:11" x14ac:dyDescent="0.25">
      <c r="A20" s="4">
        <v>2020</v>
      </c>
      <c r="B20" s="4">
        <v>5</v>
      </c>
      <c r="C20" s="5">
        <v>53797</v>
      </c>
      <c r="D20" s="7">
        <v>33497</v>
      </c>
      <c r="E20" s="8">
        <v>314</v>
      </c>
      <c r="F20" s="16">
        <v>41</v>
      </c>
      <c r="G20" s="6">
        <f>120880+5977</f>
        <v>126857</v>
      </c>
      <c r="H20" s="5">
        <v>4</v>
      </c>
      <c r="I20" s="7">
        <v>55064</v>
      </c>
      <c r="J20" s="5">
        <v>19</v>
      </c>
      <c r="K20" s="5">
        <v>2</v>
      </c>
    </row>
    <row r="21" spans="1:11" x14ac:dyDescent="0.25">
      <c r="A21" s="9">
        <v>2020</v>
      </c>
      <c r="B21" s="9">
        <v>6</v>
      </c>
      <c r="C21" s="20">
        <v>53731</v>
      </c>
      <c r="D21" s="12">
        <v>72279</v>
      </c>
      <c r="E21" s="13">
        <v>481</v>
      </c>
      <c r="F21" s="17">
        <v>36</v>
      </c>
      <c r="G21" s="11">
        <v>48636</v>
      </c>
      <c r="H21" s="10">
        <v>4</v>
      </c>
      <c r="I21" s="12">
        <v>2384</v>
      </c>
      <c r="J21" s="10">
        <v>38</v>
      </c>
      <c r="K21" s="10">
        <v>0</v>
      </c>
    </row>
    <row r="22" spans="1:11" x14ac:dyDescent="0.25">
      <c r="A22" s="4">
        <v>2020</v>
      </c>
      <c r="B22" s="4">
        <v>7</v>
      </c>
      <c r="C22" s="5">
        <v>53664</v>
      </c>
      <c r="D22" s="7">
        <v>95648</v>
      </c>
      <c r="E22" s="8">
        <v>556</v>
      </c>
      <c r="F22" s="16">
        <v>15</v>
      </c>
      <c r="G22" s="6">
        <v>5843</v>
      </c>
      <c r="H22" s="5">
        <v>7</v>
      </c>
      <c r="I22" s="7">
        <v>1650</v>
      </c>
      <c r="J22" s="5">
        <v>68</v>
      </c>
      <c r="K22" s="5">
        <v>0</v>
      </c>
    </row>
    <row r="23" spans="1:11" ht="17.25" x14ac:dyDescent="0.25">
      <c r="A23" s="9">
        <v>2020</v>
      </c>
      <c r="B23" s="9">
        <v>8</v>
      </c>
      <c r="C23" s="20">
        <f>52598+982</f>
        <v>53580</v>
      </c>
      <c r="D23" s="12">
        <v>80350</v>
      </c>
      <c r="E23" s="13">
        <v>537</v>
      </c>
      <c r="F23" s="17">
        <v>44</v>
      </c>
      <c r="G23" s="11">
        <f>(41*827)+(3*3359)</f>
        <v>43984</v>
      </c>
      <c r="H23" s="10">
        <v>4</v>
      </c>
      <c r="I23" s="12">
        <f>4*1667</f>
        <v>6668</v>
      </c>
      <c r="J23" s="10" t="s">
        <v>52</v>
      </c>
      <c r="K23" s="10">
        <v>52</v>
      </c>
    </row>
    <row r="24" spans="1:11" x14ac:dyDescent="0.25">
      <c r="A24" s="4">
        <v>2020</v>
      </c>
      <c r="B24" s="4">
        <v>9</v>
      </c>
      <c r="C24" s="5">
        <v>53439</v>
      </c>
      <c r="D24" s="7">
        <v>57248</v>
      </c>
      <c r="E24" s="8">
        <v>438</v>
      </c>
      <c r="F24" s="16">
        <v>31</v>
      </c>
      <c r="G24" s="6">
        <f>31*702</f>
        <v>21762</v>
      </c>
      <c r="H24" s="5">
        <v>2</v>
      </c>
      <c r="I24" s="7">
        <f>2*1302</f>
        <v>2604</v>
      </c>
      <c r="J24" s="5">
        <v>111</v>
      </c>
      <c r="K24" s="5">
        <v>63</v>
      </c>
    </row>
    <row r="25" spans="1:11" x14ac:dyDescent="0.25">
      <c r="A25" s="9">
        <v>2020</v>
      </c>
      <c r="B25" s="9">
        <v>10</v>
      </c>
      <c r="C25" s="20">
        <v>53602</v>
      </c>
      <c r="D25" s="12">
        <v>49560</v>
      </c>
      <c r="E25" s="13">
        <v>426</v>
      </c>
      <c r="F25" s="17">
        <v>7</v>
      </c>
      <c r="G25" s="11">
        <f>7*873</f>
        <v>6111</v>
      </c>
      <c r="H25" s="10">
        <v>1</v>
      </c>
      <c r="I25" s="12">
        <v>588</v>
      </c>
      <c r="J25" s="10">
        <v>93</v>
      </c>
      <c r="K25" s="10">
        <v>99</v>
      </c>
    </row>
    <row r="26" spans="1:11" x14ac:dyDescent="0.25">
      <c r="A26" s="4">
        <v>2020</v>
      </c>
      <c r="B26" s="4">
        <v>11</v>
      </c>
      <c r="C26" s="5">
        <v>53916</v>
      </c>
      <c r="D26" s="7">
        <v>44576</v>
      </c>
      <c r="E26" s="8">
        <v>380</v>
      </c>
      <c r="F26" s="16">
        <f>19+1+2</f>
        <v>22</v>
      </c>
      <c r="G26" s="6">
        <f>(19*383)+816+464</f>
        <v>8557</v>
      </c>
      <c r="H26" s="5">
        <v>2</v>
      </c>
      <c r="I26" s="7">
        <f>2*126</f>
        <v>252</v>
      </c>
      <c r="J26" s="5">
        <v>41</v>
      </c>
      <c r="K26" s="5">
        <v>48</v>
      </c>
    </row>
    <row r="27" spans="1:11" x14ac:dyDescent="0.25">
      <c r="A27" s="9">
        <v>2020</v>
      </c>
      <c r="B27" s="9">
        <v>12</v>
      </c>
      <c r="C27" s="20">
        <v>54191</v>
      </c>
      <c r="D27" s="12">
        <v>24111</v>
      </c>
      <c r="E27" s="13">
        <v>263</v>
      </c>
      <c r="F27" s="17">
        <f>21+3</f>
        <v>24</v>
      </c>
      <c r="G27" s="11">
        <f>(21*399)+(3*2436)</f>
        <v>15687</v>
      </c>
      <c r="H27" s="10">
        <v>2</v>
      </c>
      <c r="I27" s="12">
        <f>2*477</f>
        <v>954</v>
      </c>
      <c r="J27" s="10">
        <v>27</v>
      </c>
      <c r="K27" s="10">
        <v>59</v>
      </c>
    </row>
    <row r="28" spans="1:11" x14ac:dyDescent="0.25">
      <c r="A28" s="4">
        <v>2021</v>
      </c>
      <c r="B28" s="4">
        <v>1</v>
      </c>
      <c r="C28" s="5">
        <v>54332</v>
      </c>
      <c r="D28" s="7">
        <v>20814</v>
      </c>
      <c r="E28" s="8">
        <v>231</v>
      </c>
      <c r="F28" s="16">
        <v>24</v>
      </c>
      <c r="G28" s="6">
        <f>24*392</f>
        <v>9408</v>
      </c>
      <c r="H28" s="5">
        <v>2</v>
      </c>
      <c r="I28" s="7">
        <f>2*166</f>
        <v>332</v>
      </c>
      <c r="J28" s="5">
        <v>65</v>
      </c>
      <c r="K28" s="5">
        <v>81</v>
      </c>
    </row>
    <row r="29" spans="1:11" x14ac:dyDescent="0.25">
      <c r="A29" s="9">
        <v>2021</v>
      </c>
      <c r="B29" s="9">
        <v>2</v>
      </c>
      <c r="C29" s="20">
        <v>54453</v>
      </c>
      <c r="D29" s="12">
        <v>15476</v>
      </c>
      <c r="E29" s="13">
        <v>180</v>
      </c>
      <c r="F29" s="17">
        <v>13</v>
      </c>
      <c r="G29" s="11">
        <f>13*1772</f>
        <v>23036</v>
      </c>
      <c r="H29" s="10">
        <v>2</v>
      </c>
      <c r="I29" s="12">
        <f>2*676</f>
        <v>1352</v>
      </c>
      <c r="J29" s="10">
        <v>3</v>
      </c>
      <c r="K29" s="10">
        <v>19</v>
      </c>
    </row>
    <row r="30" spans="1:11" s="31" customFormat="1" x14ac:dyDescent="0.25">
      <c r="A30" s="18">
        <v>2021</v>
      </c>
      <c r="B30" s="18">
        <v>3</v>
      </c>
      <c r="C30" s="19">
        <v>54464</v>
      </c>
      <c r="D30" s="35">
        <v>15392</v>
      </c>
      <c r="E30" s="36">
        <v>149</v>
      </c>
      <c r="F30" s="38">
        <v>13</v>
      </c>
      <c r="G30" s="37">
        <f>13*526</f>
        <v>6838</v>
      </c>
      <c r="H30" s="19">
        <v>2</v>
      </c>
      <c r="I30" s="35">
        <f>2*191</f>
        <v>382</v>
      </c>
      <c r="J30" s="19">
        <v>113</v>
      </c>
      <c r="K30" s="19">
        <v>64</v>
      </c>
    </row>
    <row r="31" spans="1:11" s="31" customFormat="1" x14ac:dyDescent="0.25">
      <c r="A31" s="9">
        <v>2021</v>
      </c>
      <c r="B31" s="9">
        <v>4</v>
      </c>
      <c r="C31" s="20">
        <v>54308</v>
      </c>
      <c r="D31" s="12">
        <v>17335</v>
      </c>
      <c r="E31" s="13">
        <v>136</v>
      </c>
      <c r="F31" s="17">
        <v>9</v>
      </c>
      <c r="G31" s="11">
        <f>(8*958)+18713</f>
        <v>26377</v>
      </c>
      <c r="H31" s="10">
        <v>3</v>
      </c>
      <c r="I31" s="12">
        <f>3*1599</f>
        <v>4797</v>
      </c>
      <c r="J31" s="10">
        <v>171</v>
      </c>
      <c r="K31" s="10">
        <v>77</v>
      </c>
    </row>
    <row r="32" spans="1:11" s="31" customFormat="1" x14ac:dyDescent="0.25">
      <c r="A32" s="18">
        <v>2021</v>
      </c>
      <c r="B32" s="18">
        <v>5</v>
      </c>
      <c r="C32" s="19">
        <f>53168+981</f>
        <v>54149</v>
      </c>
      <c r="D32" s="35">
        <v>26858</v>
      </c>
      <c r="E32" s="36">
        <v>196</v>
      </c>
      <c r="F32" s="38">
        <v>17</v>
      </c>
      <c r="G32" s="37">
        <f>17*1073</f>
        <v>18241</v>
      </c>
      <c r="H32" s="19">
        <v>0</v>
      </c>
      <c r="I32" s="35">
        <v>0</v>
      </c>
      <c r="J32" s="19">
        <v>126</v>
      </c>
      <c r="K32" s="19">
        <v>61</v>
      </c>
    </row>
    <row r="33" spans="1:11" s="31" customFormat="1" x14ac:dyDescent="0.25">
      <c r="A33" s="9">
        <v>2021</v>
      </c>
      <c r="B33" s="9">
        <v>6</v>
      </c>
      <c r="C33" s="20">
        <v>53993</v>
      </c>
      <c r="D33" s="12">
        <v>41409</v>
      </c>
      <c r="E33" s="13">
        <v>240</v>
      </c>
      <c r="F33" s="17">
        <v>10</v>
      </c>
      <c r="G33" s="11">
        <f>10*262</f>
        <v>2620</v>
      </c>
      <c r="H33" s="10">
        <v>3</v>
      </c>
      <c r="I33" s="12">
        <f>3*270</f>
        <v>810</v>
      </c>
      <c r="J33" s="10">
        <v>91</v>
      </c>
      <c r="K33" s="10">
        <v>46</v>
      </c>
    </row>
    <row r="34" spans="1:11" s="31" customFormat="1" x14ac:dyDescent="0.25">
      <c r="A34" s="18">
        <v>2021</v>
      </c>
      <c r="B34" s="18">
        <v>7</v>
      </c>
      <c r="C34" s="19">
        <v>53844</v>
      </c>
      <c r="D34" s="35">
        <v>43767</v>
      </c>
      <c r="E34" s="36">
        <v>278</v>
      </c>
      <c r="F34" s="38">
        <f>4+1+1</f>
        <v>6</v>
      </c>
      <c r="G34" s="37">
        <f>(4*299)+(1*867)+(1*138)</f>
        <v>2201</v>
      </c>
      <c r="H34" s="19">
        <v>0</v>
      </c>
      <c r="I34" s="35">
        <v>0</v>
      </c>
      <c r="J34" s="19">
        <v>67</v>
      </c>
      <c r="K34" s="19">
        <v>31</v>
      </c>
    </row>
    <row r="35" spans="1:11" s="31" customFormat="1" x14ac:dyDescent="0.25">
      <c r="A35" s="9">
        <v>2021</v>
      </c>
      <c r="B35" s="9">
        <v>8</v>
      </c>
      <c r="C35" s="20">
        <v>53734</v>
      </c>
      <c r="D35" s="60">
        <v>40432</v>
      </c>
      <c r="E35" s="57">
        <v>311</v>
      </c>
      <c r="F35" s="58">
        <v>2</v>
      </c>
      <c r="G35" s="30">
        <f>2*2534</f>
        <v>5068</v>
      </c>
      <c r="H35" s="59">
        <v>0</v>
      </c>
      <c r="I35" s="60">
        <v>0</v>
      </c>
      <c r="J35" s="10">
        <v>59</v>
      </c>
      <c r="K35" s="10">
        <v>34</v>
      </c>
    </row>
    <row r="36" spans="1:11" s="31" customFormat="1" x14ac:dyDescent="0.25">
      <c r="A36" s="18">
        <v>2021</v>
      </c>
      <c r="B36" s="18">
        <v>9</v>
      </c>
      <c r="C36" s="19">
        <v>53709</v>
      </c>
      <c r="D36" s="35">
        <v>31990</v>
      </c>
      <c r="E36" s="36">
        <v>300</v>
      </c>
      <c r="F36" s="38">
        <v>4</v>
      </c>
      <c r="G36" s="37">
        <f>(2*360)+(2*813)</f>
        <v>2346</v>
      </c>
      <c r="H36" s="19">
        <v>0</v>
      </c>
      <c r="I36" s="35">
        <v>0</v>
      </c>
      <c r="J36" s="19">
        <v>71</v>
      </c>
      <c r="K36" s="19">
        <v>51</v>
      </c>
    </row>
    <row r="37" spans="1:11" s="31" customFormat="1" x14ac:dyDescent="0.25">
      <c r="A37" s="9">
        <v>2021</v>
      </c>
      <c r="B37" s="9">
        <v>10</v>
      </c>
      <c r="C37" s="20">
        <v>53753</v>
      </c>
      <c r="D37" s="60">
        <v>23811</v>
      </c>
      <c r="E37" s="57">
        <v>305</v>
      </c>
      <c r="F37" s="58">
        <v>7</v>
      </c>
      <c r="G37" s="30">
        <f>7*1706</f>
        <v>11942</v>
      </c>
      <c r="H37" s="59">
        <v>2</v>
      </c>
      <c r="I37" s="60">
        <f>2*3847</f>
        <v>7694</v>
      </c>
      <c r="J37" s="10">
        <v>55</v>
      </c>
      <c r="K37" s="10">
        <v>97</v>
      </c>
    </row>
    <row r="38" spans="1:11" s="31" customFormat="1" x14ac:dyDescent="0.25">
      <c r="A38" s="18">
        <v>2021</v>
      </c>
      <c r="B38" s="18">
        <v>11</v>
      </c>
      <c r="C38" s="19">
        <v>54154</v>
      </c>
      <c r="D38" s="35">
        <v>19364</v>
      </c>
      <c r="E38" s="36">
        <v>266</v>
      </c>
      <c r="F38" s="38">
        <v>4</v>
      </c>
      <c r="G38" s="37">
        <f>4*478</f>
        <v>1912</v>
      </c>
      <c r="H38" s="19">
        <v>0</v>
      </c>
      <c r="I38" s="35">
        <v>0</v>
      </c>
      <c r="J38" s="19">
        <v>20</v>
      </c>
      <c r="K38" s="19">
        <v>143</v>
      </c>
    </row>
    <row r="39" spans="1:11" s="63" customFormat="1" ht="17.25" x14ac:dyDescent="0.25">
      <c r="A39" s="67">
        <v>2021</v>
      </c>
      <c r="B39" s="67">
        <v>12</v>
      </c>
      <c r="C39" s="68">
        <v>54510</v>
      </c>
      <c r="D39" s="69">
        <v>16745</v>
      </c>
      <c r="E39" s="68">
        <v>233</v>
      </c>
      <c r="F39" s="68"/>
      <c r="G39" s="69"/>
      <c r="H39" s="68"/>
      <c r="I39" s="69"/>
      <c r="J39" s="68">
        <v>20</v>
      </c>
      <c r="K39" s="68">
        <v>51</v>
      </c>
    </row>
    <row r="42" spans="1:11" ht="27" customHeight="1" x14ac:dyDescent="0.25">
      <c r="A42" s="72" t="s">
        <v>58</v>
      </c>
      <c r="B42" s="72"/>
      <c r="C42" s="72"/>
      <c r="D42" s="72"/>
      <c r="E42" s="72"/>
      <c r="F42" s="72"/>
      <c r="G42" s="72"/>
      <c r="H42" s="72"/>
      <c r="I42" s="72"/>
      <c r="J42" s="72"/>
      <c r="K42" s="72"/>
    </row>
    <row r="43" spans="1:11" s="31" customFormat="1" ht="17.25" x14ac:dyDescent="0.25">
      <c r="A43" s="34" t="s">
        <v>53</v>
      </c>
      <c r="C43" s="32"/>
      <c r="E43" s="33"/>
      <c r="F43" s="33"/>
    </row>
    <row r="44" spans="1:11" ht="27" customHeight="1" x14ac:dyDescent="0.25">
      <c r="A44" s="73" t="s">
        <v>62</v>
      </c>
      <c r="B44" s="73"/>
      <c r="C44" s="73"/>
      <c r="D44" s="73"/>
      <c r="E44" s="73"/>
      <c r="F44" s="73"/>
      <c r="G44" s="73"/>
      <c r="H44" s="73"/>
      <c r="I44" s="73"/>
      <c r="J44" s="73"/>
      <c r="K44" s="73"/>
    </row>
  </sheetData>
  <mergeCells count="3">
    <mergeCell ref="A1:K1"/>
    <mergeCell ref="A42:K42"/>
    <mergeCell ref="A44:K44"/>
  </mergeCells>
  <pageMargins left="0.7" right="0.7" top="1" bottom="0.75" header="0.3" footer="0.3"/>
  <pageSetup scale="70" orientation="landscape" horizontalDpi="1200" verticalDpi="1200" r:id="rId1"/>
  <headerFooter>
    <oddHeader>&amp;RVectren Energy Delivery of Indiana, Inc.
Cause No. 45380
Attachment 1
Page 2 of 6</oddHeader>
  </headerFooter>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3EDF5-E39B-4748-A208-5560DA03CDEB}">
  <sheetPr>
    <pageSetUpPr fitToPage="1"/>
  </sheetPr>
  <dimension ref="A1:L45"/>
  <sheetViews>
    <sheetView zoomScaleNormal="100" workbookViewId="0">
      <pane xSplit="2" ySplit="3" topLeftCell="C22" activePane="bottomRight" state="frozen"/>
      <selection activeCell="A39" sqref="A39:XFD39"/>
      <selection pane="topRight" activeCell="A39" sqref="A39:XFD39"/>
      <selection pane="bottomLeft" activeCell="A39" sqref="A39:XFD39"/>
      <selection pane="bottomRight" activeCell="A45" sqref="A45:K45"/>
    </sheetView>
  </sheetViews>
  <sheetFormatPr defaultRowHeight="15" x14ac:dyDescent="0.25"/>
  <cols>
    <col min="1" max="1" width="5" bestFit="1" customWidth="1"/>
    <col min="2" max="2" width="5.85546875" customWidth="1"/>
    <col min="3" max="3" width="10.5703125" style="14" customWidth="1"/>
    <col min="4" max="4" width="12.140625" style="14" customWidth="1"/>
    <col min="5" max="5" width="11" customWidth="1"/>
    <col min="6" max="6" width="10.28515625" style="15" customWidth="1"/>
    <col min="7" max="7" width="16.5703125" style="15" customWidth="1"/>
    <col min="8" max="8" width="14.85546875" customWidth="1"/>
    <col min="9" max="9" width="16.140625" customWidth="1"/>
    <col min="10" max="10" width="13.85546875" customWidth="1"/>
    <col min="11" max="11" width="14.5703125" bestFit="1" customWidth="1"/>
    <col min="12" max="12" width="14.140625" bestFit="1" customWidth="1"/>
  </cols>
  <sheetData>
    <row r="1" spans="1:12" ht="18.75" customHeight="1" x14ac:dyDescent="0.3">
      <c r="A1" s="70" t="s">
        <v>7</v>
      </c>
      <c r="B1" s="70"/>
      <c r="C1" s="70"/>
      <c r="D1" s="70"/>
      <c r="E1" s="70"/>
      <c r="F1" s="70"/>
      <c r="G1" s="70"/>
      <c r="H1" s="70"/>
      <c r="I1" s="70"/>
      <c r="J1" s="70"/>
      <c r="K1" s="70"/>
      <c r="L1" s="70"/>
    </row>
    <row r="2" spans="1:12" s="56" customFormat="1" ht="18.75" customHeight="1" x14ac:dyDescent="0.3">
      <c r="A2" s="39"/>
      <c r="B2" s="39"/>
      <c r="C2" s="2" t="s">
        <v>11</v>
      </c>
      <c r="D2" s="2" t="s">
        <v>43</v>
      </c>
      <c r="E2" s="2" t="s">
        <v>44</v>
      </c>
      <c r="F2" s="2" t="s">
        <v>44</v>
      </c>
      <c r="G2" s="2" t="s">
        <v>45</v>
      </c>
      <c r="H2" s="2" t="s">
        <v>45</v>
      </c>
      <c r="I2" s="2" t="s">
        <v>46</v>
      </c>
      <c r="J2" s="2" t="s">
        <v>46</v>
      </c>
      <c r="K2" s="2" t="s">
        <v>47</v>
      </c>
      <c r="L2" s="2" t="s">
        <v>48</v>
      </c>
    </row>
    <row r="3" spans="1:12" s="56" customFormat="1" ht="60" x14ac:dyDescent="0.25">
      <c r="A3" s="1" t="s">
        <v>0</v>
      </c>
      <c r="B3" s="1" t="s">
        <v>1</v>
      </c>
      <c r="C3" s="2" t="s">
        <v>9</v>
      </c>
      <c r="D3" s="2" t="s">
        <v>10</v>
      </c>
      <c r="E3" s="3" t="s">
        <v>4</v>
      </c>
      <c r="F3" s="3" t="s">
        <v>3</v>
      </c>
      <c r="G3" s="3" t="s">
        <v>70</v>
      </c>
      <c r="H3" s="3" t="s">
        <v>71</v>
      </c>
      <c r="I3" s="3" t="s">
        <v>72</v>
      </c>
      <c r="J3" s="3" t="s">
        <v>73</v>
      </c>
      <c r="K3" s="3" t="s">
        <v>20</v>
      </c>
      <c r="L3" s="3" t="s">
        <v>21</v>
      </c>
    </row>
    <row r="4" spans="1:12" x14ac:dyDescent="0.25">
      <c r="A4" s="4">
        <v>2019</v>
      </c>
      <c r="B4" s="4">
        <v>1</v>
      </c>
      <c r="C4" s="5">
        <v>128193</v>
      </c>
      <c r="D4" s="5">
        <v>102326</v>
      </c>
      <c r="E4" s="6">
        <v>571979</v>
      </c>
      <c r="F4" s="8">
        <v>2018</v>
      </c>
      <c r="G4" s="16">
        <v>1943</v>
      </c>
      <c r="H4" s="6">
        <v>979272</v>
      </c>
      <c r="I4" s="5">
        <v>444</v>
      </c>
      <c r="J4" s="7">
        <v>238872</v>
      </c>
      <c r="K4" s="7"/>
      <c r="L4" s="7"/>
    </row>
    <row r="5" spans="1:12" x14ac:dyDescent="0.25">
      <c r="A5" s="9">
        <v>2019</v>
      </c>
      <c r="B5" s="9">
        <v>2</v>
      </c>
      <c r="C5" s="10">
        <v>128277</v>
      </c>
      <c r="D5" s="10">
        <v>102458</v>
      </c>
      <c r="E5" s="11">
        <v>490647</v>
      </c>
      <c r="F5" s="13">
        <v>1795</v>
      </c>
      <c r="G5" s="17">
        <v>1709</v>
      </c>
      <c r="H5" s="11">
        <v>951913</v>
      </c>
      <c r="I5" s="10">
        <v>362</v>
      </c>
      <c r="J5" s="12">
        <v>212132</v>
      </c>
      <c r="K5" s="12"/>
      <c r="L5" s="12"/>
    </row>
    <row r="6" spans="1:12" x14ac:dyDescent="0.25">
      <c r="A6" s="4">
        <v>2019</v>
      </c>
      <c r="B6" s="4">
        <v>3</v>
      </c>
      <c r="C6" s="5">
        <v>128253</v>
      </c>
      <c r="D6" s="5">
        <v>102462</v>
      </c>
      <c r="E6" s="6">
        <v>441197</v>
      </c>
      <c r="F6" s="8">
        <v>1717</v>
      </c>
      <c r="G6" s="16">
        <v>1844</v>
      </c>
      <c r="H6" s="6">
        <v>1019732</v>
      </c>
      <c r="I6" s="5">
        <v>340</v>
      </c>
      <c r="J6" s="7">
        <v>197200</v>
      </c>
      <c r="K6" s="7"/>
      <c r="L6" s="7"/>
    </row>
    <row r="7" spans="1:12" x14ac:dyDescent="0.25">
      <c r="A7" s="9">
        <v>2019</v>
      </c>
      <c r="B7" s="9">
        <v>4</v>
      </c>
      <c r="C7" s="10">
        <v>128186</v>
      </c>
      <c r="D7" s="10">
        <v>102214</v>
      </c>
      <c r="E7" s="11">
        <v>513777</v>
      </c>
      <c r="F7" s="13">
        <v>1701</v>
      </c>
      <c r="G7" s="17">
        <v>1751</v>
      </c>
      <c r="H7" s="11">
        <v>891259</v>
      </c>
      <c r="I7" s="10">
        <v>373</v>
      </c>
      <c r="J7" s="12">
        <v>215967</v>
      </c>
      <c r="K7" s="12"/>
      <c r="L7" s="12"/>
    </row>
    <row r="8" spans="1:12" x14ac:dyDescent="0.25">
      <c r="A8" s="4">
        <v>2019</v>
      </c>
      <c r="B8" s="4">
        <v>5</v>
      </c>
      <c r="C8" s="5">
        <v>128172</v>
      </c>
      <c r="D8" s="5">
        <v>101894</v>
      </c>
      <c r="E8" s="6">
        <v>559622</v>
      </c>
      <c r="F8" s="8">
        <v>1723</v>
      </c>
      <c r="G8" s="16">
        <v>1793</v>
      </c>
      <c r="H8" s="6">
        <v>912637</v>
      </c>
      <c r="I8" s="5">
        <v>370</v>
      </c>
      <c r="J8" s="7">
        <v>188330</v>
      </c>
      <c r="K8" s="7"/>
      <c r="L8" s="7"/>
    </row>
    <row r="9" spans="1:12" x14ac:dyDescent="0.25">
      <c r="A9" s="9">
        <v>2019</v>
      </c>
      <c r="B9" s="9">
        <v>6</v>
      </c>
      <c r="C9" s="10">
        <v>128167</v>
      </c>
      <c r="D9" s="10">
        <v>101539</v>
      </c>
      <c r="E9" s="11">
        <v>610759</v>
      </c>
      <c r="F9" s="13">
        <v>1951</v>
      </c>
      <c r="G9" s="17">
        <v>1249</v>
      </c>
      <c r="H9" s="11">
        <v>528327</v>
      </c>
      <c r="I9" s="10">
        <v>289</v>
      </c>
      <c r="J9" s="12">
        <v>127160</v>
      </c>
      <c r="K9" s="12"/>
      <c r="L9" s="12"/>
    </row>
    <row r="10" spans="1:12" x14ac:dyDescent="0.25">
      <c r="A10" s="4">
        <v>2019</v>
      </c>
      <c r="B10" s="4">
        <v>7</v>
      </c>
      <c r="C10" s="5">
        <v>128267</v>
      </c>
      <c r="D10" s="5">
        <v>101386</v>
      </c>
      <c r="E10" s="6">
        <v>584545</v>
      </c>
      <c r="F10" s="8">
        <v>2036</v>
      </c>
      <c r="G10" s="16">
        <v>1889</v>
      </c>
      <c r="H10" s="6">
        <v>870829</v>
      </c>
      <c r="I10" s="5">
        <v>424</v>
      </c>
      <c r="J10" s="7">
        <v>211152</v>
      </c>
      <c r="K10" s="7"/>
      <c r="L10" s="7"/>
    </row>
    <row r="11" spans="1:12" x14ac:dyDescent="0.25">
      <c r="A11" s="9">
        <v>2019</v>
      </c>
      <c r="B11" s="9">
        <v>8</v>
      </c>
      <c r="C11" s="10">
        <v>128319</v>
      </c>
      <c r="D11" s="10">
        <v>101282</v>
      </c>
      <c r="E11" s="11">
        <v>492172</v>
      </c>
      <c r="F11" s="13">
        <v>1953</v>
      </c>
      <c r="G11" s="17">
        <v>2180</v>
      </c>
      <c r="H11" s="11">
        <v>1072560</v>
      </c>
      <c r="I11" s="10">
        <v>457</v>
      </c>
      <c r="J11" s="12">
        <v>231699</v>
      </c>
      <c r="K11" s="10">
        <v>800</v>
      </c>
      <c r="L11" s="10">
        <v>502</v>
      </c>
    </row>
    <row r="12" spans="1:12" x14ac:dyDescent="0.25">
      <c r="A12" s="4">
        <v>2019</v>
      </c>
      <c r="B12" s="4">
        <v>9</v>
      </c>
      <c r="C12" s="5">
        <v>128381</v>
      </c>
      <c r="D12" s="5">
        <v>101205</v>
      </c>
      <c r="E12" s="6">
        <v>400257</v>
      </c>
      <c r="F12" s="8">
        <v>1916</v>
      </c>
      <c r="G12" s="16">
        <v>2070</v>
      </c>
      <c r="H12" s="6">
        <v>1018440</v>
      </c>
      <c r="I12" s="5">
        <v>435</v>
      </c>
      <c r="J12" s="7">
        <v>223590</v>
      </c>
      <c r="K12" s="5">
        <v>922</v>
      </c>
      <c r="L12" s="5">
        <v>372</v>
      </c>
    </row>
    <row r="13" spans="1:12" x14ac:dyDescent="0.25">
      <c r="A13" s="9">
        <v>2019</v>
      </c>
      <c r="B13" s="9">
        <v>10</v>
      </c>
      <c r="C13" s="10">
        <v>128466</v>
      </c>
      <c r="D13" s="10">
        <v>101368</v>
      </c>
      <c r="E13" s="11">
        <v>390726</v>
      </c>
      <c r="F13" s="13">
        <v>1827</v>
      </c>
      <c r="G13" s="17">
        <v>2502</v>
      </c>
      <c r="H13" s="11">
        <v>1321056</v>
      </c>
      <c r="I13" s="10">
        <v>595</v>
      </c>
      <c r="J13" s="12">
        <v>335580</v>
      </c>
      <c r="K13" s="10">
        <v>764</v>
      </c>
      <c r="L13" s="10">
        <v>649</v>
      </c>
    </row>
    <row r="14" spans="1:12" x14ac:dyDescent="0.25">
      <c r="A14" s="4">
        <v>2019</v>
      </c>
      <c r="B14" s="4">
        <v>11</v>
      </c>
      <c r="C14" s="5">
        <v>128640</v>
      </c>
      <c r="D14" s="5">
        <v>102162</v>
      </c>
      <c r="E14" s="6">
        <v>450968</v>
      </c>
      <c r="F14" s="8">
        <v>2106</v>
      </c>
      <c r="G14" s="16">
        <v>1753</v>
      </c>
      <c r="H14" s="6">
        <v>834428</v>
      </c>
      <c r="I14" s="5">
        <v>426</v>
      </c>
      <c r="J14" s="7">
        <v>220242</v>
      </c>
      <c r="K14" s="5">
        <v>640</v>
      </c>
      <c r="L14" s="5">
        <v>487</v>
      </c>
    </row>
    <row r="15" spans="1:12" x14ac:dyDescent="0.25">
      <c r="A15" s="9">
        <v>2019</v>
      </c>
      <c r="B15" s="9">
        <v>12</v>
      </c>
      <c r="C15" s="10">
        <v>128802</v>
      </c>
      <c r="D15" s="10">
        <v>102573</v>
      </c>
      <c r="E15" s="11">
        <v>558915</v>
      </c>
      <c r="F15" s="13">
        <v>1999</v>
      </c>
      <c r="G15" s="17">
        <v>1861</v>
      </c>
      <c r="H15" s="11">
        <v>863504</v>
      </c>
      <c r="I15" s="10">
        <v>444</v>
      </c>
      <c r="J15" s="12">
        <v>219336</v>
      </c>
      <c r="K15" s="10">
        <v>677</v>
      </c>
      <c r="L15" s="10">
        <v>384</v>
      </c>
    </row>
    <row r="16" spans="1:12" x14ac:dyDescent="0.25">
      <c r="A16" s="4">
        <v>2020</v>
      </c>
      <c r="B16" s="4">
        <v>1</v>
      </c>
      <c r="C16" s="5">
        <v>129013</v>
      </c>
      <c r="D16" s="5">
        <v>102741</v>
      </c>
      <c r="E16" s="6">
        <v>545748</v>
      </c>
      <c r="F16" s="8">
        <v>1753</v>
      </c>
      <c r="G16" s="16">
        <v>1710</v>
      </c>
      <c r="H16" s="6">
        <v>795150</v>
      </c>
      <c r="I16" s="5">
        <v>396</v>
      </c>
      <c r="J16" s="7">
        <v>180972</v>
      </c>
      <c r="K16" s="5">
        <v>852</v>
      </c>
      <c r="L16" s="5">
        <v>644</v>
      </c>
    </row>
    <row r="17" spans="1:12" x14ac:dyDescent="0.25">
      <c r="A17" s="9">
        <v>2020</v>
      </c>
      <c r="B17" s="9">
        <v>2</v>
      </c>
      <c r="C17" s="10">
        <v>129060</v>
      </c>
      <c r="D17" s="10">
        <v>102810</v>
      </c>
      <c r="E17" s="11">
        <v>428762</v>
      </c>
      <c r="F17" s="13">
        <v>1595</v>
      </c>
      <c r="G17" s="17">
        <v>1481</v>
      </c>
      <c r="H17" s="11">
        <v>863423</v>
      </c>
      <c r="I17" s="10">
        <v>342</v>
      </c>
      <c r="J17" s="12">
        <v>229140</v>
      </c>
      <c r="K17" s="10">
        <v>886</v>
      </c>
      <c r="L17" s="10">
        <v>746</v>
      </c>
    </row>
    <row r="18" spans="1:12" x14ac:dyDescent="0.25">
      <c r="A18" s="4">
        <v>2020</v>
      </c>
      <c r="B18" s="4">
        <v>3</v>
      </c>
      <c r="C18" s="5">
        <v>129150</v>
      </c>
      <c r="D18" s="5">
        <v>102790</v>
      </c>
      <c r="E18" s="6">
        <v>431078</v>
      </c>
      <c r="F18" s="8">
        <v>1633</v>
      </c>
      <c r="G18" s="16">
        <v>1492</v>
      </c>
      <c r="H18" s="6">
        <v>893708</v>
      </c>
      <c r="I18" s="5">
        <v>453</v>
      </c>
      <c r="J18" s="7">
        <v>308493</v>
      </c>
      <c r="K18" s="5">
        <v>504</v>
      </c>
      <c r="L18" s="5">
        <v>402</v>
      </c>
    </row>
    <row r="19" spans="1:12" x14ac:dyDescent="0.25">
      <c r="A19" s="9">
        <v>2020</v>
      </c>
      <c r="B19" s="9">
        <v>4</v>
      </c>
      <c r="C19" s="10">
        <v>129357</v>
      </c>
      <c r="D19" s="10">
        <v>102792</v>
      </c>
      <c r="E19" s="11">
        <v>453067</v>
      </c>
      <c r="F19" s="13">
        <v>1786</v>
      </c>
      <c r="G19" s="17">
        <v>729</v>
      </c>
      <c r="H19" s="11">
        <v>531441</v>
      </c>
      <c r="I19" s="10">
        <v>138</v>
      </c>
      <c r="J19" s="12">
        <v>79626</v>
      </c>
      <c r="K19" s="10">
        <v>0</v>
      </c>
      <c r="L19" s="10">
        <v>53</v>
      </c>
    </row>
    <row r="20" spans="1:12" x14ac:dyDescent="0.25">
      <c r="A20" s="4">
        <v>2020</v>
      </c>
      <c r="B20" s="4">
        <v>5</v>
      </c>
      <c r="C20" s="5">
        <v>129548</v>
      </c>
      <c r="D20" s="5">
        <v>102842</v>
      </c>
      <c r="E20" s="6">
        <v>637873</v>
      </c>
      <c r="F20" s="8">
        <v>2671</v>
      </c>
      <c r="G20" s="16">
        <v>638</v>
      </c>
      <c r="H20" s="6">
        <v>382800</v>
      </c>
      <c r="I20" s="5">
        <v>109</v>
      </c>
      <c r="J20" s="7">
        <v>64310</v>
      </c>
      <c r="K20" s="5">
        <v>71</v>
      </c>
      <c r="L20" s="5">
        <v>20</v>
      </c>
    </row>
    <row r="21" spans="1:12" x14ac:dyDescent="0.25">
      <c r="A21" s="9">
        <v>2020</v>
      </c>
      <c r="B21" s="9">
        <v>6</v>
      </c>
      <c r="C21" s="20">
        <v>129692</v>
      </c>
      <c r="D21" s="20">
        <v>102827</v>
      </c>
      <c r="E21" s="11">
        <v>970196</v>
      </c>
      <c r="F21" s="13">
        <v>3015</v>
      </c>
      <c r="G21" s="17">
        <v>1055</v>
      </c>
      <c r="H21" s="11">
        <v>591855</v>
      </c>
      <c r="I21" s="10">
        <v>204</v>
      </c>
      <c r="J21" s="12">
        <v>107508</v>
      </c>
      <c r="K21" s="10">
        <v>137</v>
      </c>
      <c r="L21" s="10">
        <v>13</v>
      </c>
    </row>
    <row r="22" spans="1:12" x14ac:dyDescent="0.25">
      <c r="A22" s="4">
        <v>2020</v>
      </c>
      <c r="B22" s="4">
        <v>7</v>
      </c>
      <c r="C22" s="5">
        <v>129828</v>
      </c>
      <c r="D22" s="5">
        <v>102829</v>
      </c>
      <c r="E22" s="6">
        <v>1140989</v>
      </c>
      <c r="F22" s="8">
        <v>3206</v>
      </c>
      <c r="G22" s="16">
        <v>1047</v>
      </c>
      <c r="H22" s="6">
        <v>604119</v>
      </c>
      <c r="I22" s="5">
        <v>227</v>
      </c>
      <c r="J22" s="7">
        <v>134157</v>
      </c>
      <c r="K22" s="5">
        <v>203</v>
      </c>
      <c r="L22" s="5">
        <v>7</v>
      </c>
    </row>
    <row r="23" spans="1:12" ht="17.25" x14ac:dyDescent="0.25">
      <c r="A23" s="9">
        <v>2020</v>
      </c>
      <c r="B23" s="9">
        <v>8</v>
      </c>
      <c r="C23" s="20">
        <v>129853</v>
      </c>
      <c r="D23" s="20">
        <v>102781</v>
      </c>
      <c r="E23" s="11">
        <v>1236227</v>
      </c>
      <c r="F23" s="21">
        <v>3439</v>
      </c>
      <c r="G23" s="17">
        <v>3058</v>
      </c>
      <c r="H23" s="11">
        <f>3058*726</f>
        <v>2220108</v>
      </c>
      <c r="I23" s="10">
        <v>515</v>
      </c>
      <c r="J23" s="12">
        <f>515*736</f>
        <v>379040</v>
      </c>
      <c r="K23" s="10" t="s">
        <v>54</v>
      </c>
      <c r="L23" s="10">
        <v>191</v>
      </c>
    </row>
    <row r="24" spans="1:12" x14ac:dyDescent="0.25">
      <c r="A24" s="4">
        <v>2020</v>
      </c>
      <c r="B24" s="4">
        <v>9</v>
      </c>
      <c r="C24" s="5">
        <v>129813</v>
      </c>
      <c r="D24" s="5">
        <v>102563</v>
      </c>
      <c r="E24" s="6">
        <v>1143692</v>
      </c>
      <c r="F24" s="8">
        <v>3119</v>
      </c>
      <c r="G24" s="16">
        <v>2807</v>
      </c>
      <c r="H24" s="6">
        <f>2807*657</f>
        <v>1844199</v>
      </c>
      <c r="I24" s="5">
        <v>542</v>
      </c>
      <c r="J24" s="7">
        <f>542*728</f>
        <v>394576</v>
      </c>
      <c r="K24" s="5">
        <v>316</v>
      </c>
      <c r="L24" s="5">
        <v>289</v>
      </c>
    </row>
    <row r="25" spans="1:12" x14ac:dyDescent="0.25">
      <c r="A25" s="9">
        <v>2020</v>
      </c>
      <c r="B25" s="9">
        <v>10</v>
      </c>
      <c r="C25" s="20">
        <v>129877</v>
      </c>
      <c r="D25" s="20">
        <v>102681</v>
      </c>
      <c r="E25" s="11">
        <v>1217198</v>
      </c>
      <c r="F25" s="21">
        <v>3048</v>
      </c>
      <c r="G25" s="17">
        <v>2365</v>
      </c>
      <c r="H25" s="11">
        <f>2365*652</f>
        <v>1541980</v>
      </c>
      <c r="I25" s="10">
        <v>458</v>
      </c>
      <c r="J25" s="12">
        <f>458*694</f>
        <v>317852</v>
      </c>
      <c r="K25" s="10">
        <v>200</v>
      </c>
      <c r="L25" s="10">
        <v>320</v>
      </c>
    </row>
    <row r="26" spans="1:12" x14ac:dyDescent="0.25">
      <c r="A26" s="4">
        <v>2020</v>
      </c>
      <c r="B26" s="4">
        <v>11</v>
      </c>
      <c r="C26" s="5">
        <v>129959</v>
      </c>
      <c r="D26" s="5">
        <v>103053</v>
      </c>
      <c r="E26" s="6">
        <v>1500539</v>
      </c>
      <c r="F26" s="8">
        <v>3426</v>
      </c>
      <c r="G26" s="16">
        <v>2076</v>
      </c>
      <c r="H26" s="6">
        <f>2076*602</f>
        <v>1249752</v>
      </c>
      <c r="I26" s="5">
        <f>408</f>
        <v>408</v>
      </c>
      <c r="J26" s="7">
        <f>408*698</f>
        <v>284784</v>
      </c>
      <c r="K26" s="5">
        <v>87</v>
      </c>
      <c r="L26" s="5">
        <v>177</v>
      </c>
    </row>
    <row r="27" spans="1:12" x14ac:dyDescent="0.25">
      <c r="A27" s="9">
        <v>2020</v>
      </c>
      <c r="B27" s="9">
        <v>12</v>
      </c>
      <c r="C27" s="20">
        <v>130122</v>
      </c>
      <c r="D27" s="20">
        <v>103435</v>
      </c>
      <c r="E27" s="11">
        <v>1481003</v>
      </c>
      <c r="F27" s="21">
        <v>3247</v>
      </c>
      <c r="G27" s="17">
        <v>2163</v>
      </c>
      <c r="H27" s="11">
        <f>2163*548</f>
        <v>1185324</v>
      </c>
      <c r="I27" s="10">
        <v>447</v>
      </c>
      <c r="J27" s="12">
        <f>447*574</f>
        <v>256578</v>
      </c>
      <c r="K27" s="10">
        <v>39</v>
      </c>
      <c r="L27" s="10">
        <v>198</v>
      </c>
    </row>
    <row r="28" spans="1:12" x14ac:dyDescent="0.25">
      <c r="A28" s="4">
        <v>2021</v>
      </c>
      <c r="B28" s="4">
        <v>1</v>
      </c>
      <c r="C28" s="5">
        <v>130207</v>
      </c>
      <c r="D28" s="5">
        <v>103603</v>
      </c>
      <c r="E28" s="6">
        <v>1643148</v>
      </c>
      <c r="F28" s="8">
        <v>3353</v>
      </c>
      <c r="G28" s="16">
        <v>1355</v>
      </c>
      <c r="H28" s="6">
        <f>1355*657</f>
        <v>890235</v>
      </c>
      <c r="I28" s="5">
        <v>259</v>
      </c>
      <c r="J28" s="7">
        <f>259*707</f>
        <v>183113</v>
      </c>
      <c r="K28" s="5">
        <v>154</v>
      </c>
      <c r="L28" s="5">
        <v>235</v>
      </c>
    </row>
    <row r="29" spans="1:12" x14ac:dyDescent="0.25">
      <c r="A29" s="9">
        <v>2021</v>
      </c>
      <c r="B29" s="9">
        <v>2</v>
      </c>
      <c r="C29" s="20">
        <v>130351</v>
      </c>
      <c r="D29" s="20">
        <v>103757</v>
      </c>
      <c r="E29" s="11">
        <v>1393455</v>
      </c>
      <c r="F29" s="21">
        <v>2909</v>
      </c>
      <c r="G29" s="17">
        <v>1883</v>
      </c>
      <c r="H29" s="11">
        <f>1883*622</f>
        <v>1171226</v>
      </c>
      <c r="I29" s="10">
        <v>308</v>
      </c>
      <c r="J29" s="12">
        <f>308*661</f>
        <v>203588</v>
      </c>
      <c r="K29" s="10">
        <v>11</v>
      </c>
      <c r="L29" s="10">
        <v>44</v>
      </c>
    </row>
    <row r="30" spans="1:12" s="31" customFormat="1" x14ac:dyDescent="0.25">
      <c r="A30" s="18">
        <v>2021</v>
      </c>
      <c r="B30" s="18">
        <v>3</v>
      </c>
      <c r="C30" s="19">
        <v>130426</v>
      </c>
      <c r="D30" s="19">
        <v>103744</v>
      </c>
      <c r="E30" s="37">
        <v>1234059</v>
      </c>
      <c r="F30" s="36">
        <v>2347</v>
      </c>
      <c r="G30" s="38">
        <v>1534</v>
      </c>
      <c r="H30" s="37">
        <f>1534*703</f>
        <v>1078402</v>
      </c>
      <c r="I30" s="19">
        <v>356</v>
      </c>
      <c r="J30" s="35">
        <f>356*751</f>
        <v>267356</v>
      </c>
      <c r="K30" s="19">
        <v>251</v>
      </c>
      <c r="L30" s="19">
        <v>158</v>
      </c>
    </row>
    <row r="31" spans="1:12" s="31" customFormat="1" x14ac:dyDescent="0.25">
      <c r="A31" s="9">
        <v>2021</v>
      </c>
      <c r="B31" s="9">
        <v>4</v>
      </c>
      <c r="C31" s="20">
        <v>130448</v>
      </c>
      <c r="D31" s="20">
        <v>103532</v>
      </c>
      <c r="E31" s="11">
        <v>1128580</v>
      </c>
      <c r="F31" s="21">
        <v>2001</v>
      </c>
      <c r="G31" s="17">
        <v>958</v>
      </c>
      <c r="H31" s="11">
        <f>958*725</f>
        <v>694550</v>
      </c>
      <c r="I31" s="10">
        <v>186</v>
      </c>
      <c r="J31" s="12">
        <f>186*791</f>
        <v>147126</v>
      </c>
      <c r="K31" s="10">
        <v>395</v>
      </c>
      <c r="L31" s="10">
        <v>261</v>
      </c>
    </row>
    <row r="32" spans="1:12" s="31" customFormat="1" x14ac:dyDescent="0.25">
      <c r="A32" s="18">
        <v>2021</v>
      </c>
      <c r="B32" s="18">
        <v>5</v>
      </c>
      <c r="C32" s="19">
        <v>130452</v>
      </c>
      <c r="D32" s="19">
        <v>103325</v>
      </c>
      <c r="E32" s="37">
        <v>1113832</v>
      </c>
      <c r="F32" s="36">
        <v>2084</v>
      </c>
      <c r="G32" s="38">
        <v>1170</v>
      </c>
      <c r="H32" s="37">
        <f>1170*562</f>
        <v>657540</v>
      </c>
      <c r="I32" s="19">
        <v>214</v>
      </c>
      <c r="J32" s="35">
        <f>214*677</f>
        <v>144878</v>
      </c>
      <c r="K32" s="19">
        <v>344</v>
      </c>
      <c r="L32" s="19">
        <v>268</v>
      </c>
    </row>
    <row r="33" spans="1:12" s="31" customFormat="1" x14ac:dyDescent="0.25">
      <c r="A33" s="9">
        <v>2021</v>
      </c>
      <c r="B33" s="9">
        <v>6</v>
      </c>
      <c r="C33" s="20">
        <v>130551</v>
      </c>
      <c r="D33" s="20">
        <v>103150</v>
      </c>
      <c r="E33" s="11">
        <v>1347535</v>
      </c>
      <c r="F33" s="21">
        <v>2411</v>
      </c>
      <c r="G33" s="17">
        <v>1250</v>
      </c>
      <c r="H33" s="11">
        <f>1250*492</f>
        <v>615000</v>
      </c>
      <c r="I33" s="10">
        <f>271</f>
        <v>271</v>
      </c>
      <c r="J33" s="12">
        <f>271*575</f>
        <v>155825</v>
      </c>
      <c r="K33" s="10">
        <v>345</v>
      </c>
      <c r="L33" s="10">
        <v>192</v>
      </c>
    </row>
    <row r="34" spans="1:12" s="31" customFormat="1" x14ac:dyDescent="0.25">
      <c r="A34" s="18">
        <v>2021</v>
      </c>
      <c r="B34" s="18">
        <v>7</v>
      </c>
      <c r="C34" s="19">
        <v>130596</v>
      </c>
      <c r="D34" s="19">
        <v>102959</v>
      </c>
      <c r="E34" s="37">
        <v>1302266</v>
      </c>
      <c r="F34" s="36">
        <v>2548</v>
      </c>
      <c r="G34" s="38">
        <v>1400</v>
      </c>
      <c r="H34" s="37">
        <f>1400*511</f>
        <v>715400</v>
      </c>
      <c r="I34" s="19">
        <v>272</v>
      </c>
      <c r="J34" s="35">
        <f>272*563</f>
        <v>153136</v>
      </c>
      <c r="K34" s="19">
        <v>257</v>
      </c>
      <c r="L34" s="19">
        <v>192</v>
      </c>
    </row>
    <row r="35" spans="1:12" s="31" customFormat="1" x14ac:dyDescent="0.25">
      <c r="A35" s="9">
        <v>2021</v>
      </c>
      <c r="B35" s="9">
        <v>8</v>
      </c>
      <c r="C35" s="20">
        <v>130686</v>
      </c>
      <c r="D35" s="20">
        <v>102860</v>
      </c>
      <c r="E35" s="30">
        <v>1144130</v>
      </c>
      <c r="F35" s="57">
        <v>2683</v>
      </c>
      <c r="G35" s="58">
        <v>1974</v>
      </c>
      <c r="H35" s="30">
        <f>1974*594</f>
        <v>1172556</v>
      </c>
      <c r="I35" s="59">
        <f>390</f>
        <v>390</v>
      </c>
      <c r="J35" s="60">
        <f>390*641</f>
        <v>249990</v>
      </c>
      <c r="K35" s="10">
        <v>159</v>
      </c>
      <c r="L35" s="10">
        <v>139</v>
      </c>
    </row>
    <row r="36" spans="1:12" s="31" customFormat="1" ht="17.25" x14ac:dyDescent="0.25">
      <c r="A36" s="18">
        <v>2021</v>
      </c>
      <c r="B36" s="18">
        <v>9</v>
      </c>
      <c r="C36" s="19">
        <v>130796</v>
      </c>
      <c r="D36" s="19">
        <v>102818</v>
      </c>
      <c r="E36" s="37">
        <v>1023965</v>
      </c>
      <c r="F36" s="36">
        <v>2583</v>
      </c>
      <c r="G36" s="38">
        <v>1659</v>
      </c>
      <c r="H36" s="37">
        <f>1659*626</f>
        <v>1038534</v>
      </c>
      <c r="I36" s="19">
        <v>334</v>
      </c>
      <c r="J36" s="66" t="s">
        <v>56</v>
      </c>
      <c r="K36" s="19">
        <v>106</v>
      </c>
      <c r="L36" s="19">
        <v>138</v>
      </c>
    </row>
    <row r="37" spans="1:12" s="31" customFormat="1" x14ac:dyDescent="0.25">
      <c r="A37" s="9">
        <v>2021</v>
      </c>
      <c r="B37" s="9">
        <v>10</v>
      </c>
      <c r="C37" s="20">
        <v>130839</v>
      </c>
      <c r="D37" s="20">
        <v>102915</v>
      </c>
      <c r="E37" s="30">
        <v>961887</v>
      </c>
      <c r="F37" s="57">
        <v>2589</v>
      </c>
      <c r="G37" s="58">
        <v>1810</v>
      </c>
      <c r="H37" s="30">
        <f>1810*593</f>
        <v>1073330</v>
      </c>
      <c r="I37" s="59">
        <v>360</v>
      </c>
      <c r="J37" s="60">
        <f>360*616</f>
        <v>221760</v>
      </c>
      <c r="K37" s="10">
        <v>174</v>
      </c>
      <c r="L37" s="10">
        <v>307</v>
      </c>
    </row>
    <row r="38" spans="1:12" s="31" customFormat="1" x14ac:dyDescent="0.25">
      <c r="A38" s="18">
        <v>2021</v>
      </c>
      <c r="B38" s="18">
        <v>11</v>
      </c>
      <c r="C38" s="19">
        <v>130931</v>
      </c>
      <c r="D38" s="19">
        <v>103506</v>
      </c>
      <c r="E38" s="37">
        <v>1067981</v>
      </c>
      <c r="F38" s="36">
        <v>2587</v>
      </c>
      <c r="G38" s="38">
        <v>1691</v>
      </c>
      <c r="H38" s="37">
        <f>1691*527</f>
        <v>891157</v>
      </c>
      <c r="I38" s="19">
        <v>346</v>
      </c>
      <c r="J38" s="35">
        <f>346*595</f>
        <v>205870</v>
      </c>
      <c r="K38" s="19">
        <v>172</v>
      </c>
      <c r="L38" s="19">
        <v>385</v>
      </c>
    </row>
    <row r="39" spans="1:12" s="63" customFormat="1" x14ac:dyDescent="0.25">
      <c r="A39" s="67">
        <v>2021</v>
      </c>
      <c r="B39" s="67">
        <v>12</v>
      </c>
      <c r="C39" s="68">
        <v>131044</v>
      </c>
      <c r="D39" s="68">
        <v>103927</v>
      </c>
      <c r="E39" s="69">
        <v>1106056</v>
      </c>
      <c r="F39" s="68">
        <v>2727</v>
      </c>
      <c r="G39" s="68">
        <v>974</v>
      </c>
      <c r="H39" s="69">
        <f>874*548</f>
        <v>478952</v>
      </c>
      <c r="I39" s="68">
        <v>247</v>
      </c>
      <c r="J39" s="69">
        <f>247*558</f>
        <v>137826</v>
      </c>
      <c r="K39" s="68">
        <v>291</v>
      </c>
      <c r="L39" s="68">
        <v>262</v>
      </c>
    </row>
    <row r="40" spans="1:12" x14ac:dyDescent="0.25">
      <c r="A40" s="22"/>
      <c r="B40" s="22"/>
      <c r="C40" s="23"/>
      <c r="D40" s="23"/>
      <c r="E40" s="24"/>
      <c r="F40" s="23"/>
      <c r="G40" s="25"/>
      <c r="H40" s="24"/>
      <c r="I40" s="25"/>
      <c r="J40" s="24"/>
    </row>
    <row r="42" spans="1:12" ht="28.5" customHeight="1" x14ac:dyDescent="0.25">
      <c r="A42" s="74" t="s">
        <v>59</v>
      </c>
      <c r="B42" s="74"/>
      <c r="C42" s="74"/>
      <c r="D42" s="74"/>
      <c r="E42" s="74"/>
      <c r="F42" s="74"/>
      <c r="G42" s="74"/>
      <c r="H42" s="74"/>
      <c r="I42" s="74"/>
      <c r="J42" s="74"/>
      <c r="K42" s="74"/>
      <c r="L42" s="74"/>
    </row>
    <row r="43" spans="1:12" s="31" customFormat="1" ht="17.25" x14ac:dyDescent="0.25">
      <c r="A43" s="34" t="s">
        <v>53</v>
      </c>
      <c r="C43" s="32"/>
      <c r="D43" s="32"/>
      <c r="E43" s="33"/>
    </row>
    <row r="44" spans="1:12" s="31" customFormat="1" ht="17.25" x14ac:dyDescent="0.25">
      <c r="A44" s="75" t="s">
        <v>57</v>
      </c>
      <c r="B44" s="75"/>
      <c r="C44" s="75"/>
      <c r="D44" s="75"/>
      <c r="E44" s="75"/>
      <c r="F44" s="75"/>
      <c r="G44" s="75"/>
      <c r="H44" s="75"/>
      <c r="I44" s="75"/>
      <c r="J44" s="75"/>
      <c r="K44" s="75"/>
      <c r="L44" s="75"/>
    </row>
    <row r="45" spans="1:12" ht="27.75" customHeight="1" x14ac:dyDescent="0.25">
      <c r="A45" s="71" t="s">
        <v>74</v>
      </c>
      <c r="B45" s="71"/>
      <c r="C45" s="71"/>
      <c r="D45" s="71"/>
      <c r="E45" s="71"/>
      <c r="F45" s="71"/>
      <c r="G45" s="71"/>
      <c r="H45" s="71"/>
      <c r="I45" s="71"/>
      <c r="J45" s="71"/>
      <c r="K45" s="71"/>
    </row>
  </sheetData>
  <mergeCells count="4">
    <mergeCell ref="A1:L1"/>
    <mergeCell ref="A42:L42"/>
    <mergeCell ref="A44:L44"/>
    <mergeCell ref="A45:K45"/>
  </mergeCells>
  <pageMargins left="0.7" right="0.7" top="1" bottom="0.75" header="0.3" footer="0.3"/>
  <pageSetup scale="68" orientation="landscape" r:id="rId1"/>
  <headerFooter>
    <oddHeader>&amp;RVectren Energy Delivery of Indiana, Inc.
Cause No. 45380
Attachment 1
Page 3 of 6</oddHeader>
  </headerFooter>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71C70-1653-4802-8CDB-A0B59F6C500B}">
  <sheetPr>
    <pageSetUpPr fitToPage="1"/>
  </sheetPr>
  <dimension ref="A1:L48"/>
  <sheetViews>
    <sheetView zoomScaleNormal="100" workbookViewId="0">
      <pane xSplit="2" ySplit="3" topLeftCell="C25" activePane="bottomRight" state="frozen"/>
      <selection activeCell="A39" sqref="A39:XFD39"/>
      <selection pane="topRight" activeCell="A39" sqref="A39:XFD39"/>
      <selection pane="bottomLeft" activeCell="A39" sqref="A39:XFD39"/>
      <selection pane="bottomRight" activeCell="A44" sqref="A44:K44"/>
    </sheetView>
  </sheetViews>
  <sheetFormatPr defaultRowHeight="15" x14ac:dyDescent="0.25"/>
  <cols>
    <col min="1" max="1" width="5" bestFit="1" customWidth="1"/>
    <col min="2" max="2" width="5.7109375" customWidth="1"/>
    <col min="3" max="3" width="11" style="14" customWidth="1"/>
    <col min="4" max="4" width="11.85546875" style="14" customWidth="1"/>
    <col min="5" max="5" width="11.140625" customWidth="1"/>
    <col min="6" max="6" width="10.42578125" style="15" customWidth="1"/>
    <col min="7" max="7" width="13.7109375" style="15" customWidth="1"/>
    <col min="8" max="8" width="12.85546875" customWidth="1"/>
    <col min="9" max="9" width="13.42578125" customWidth="1"/>
    <col min="10" max="10" width="12.85546875" customWidth="1"/>
    <col min="11" max="11" width="14.5703125" style="31" bestFit="1" customWidth="1"/>
    <col min="12" max="12" width="14.140625" style="31" bestFit="1" customWidth="1"/>
  </cols>
  <sheetData>
    <row r="1" spans="1:12" ht="18.75" customHeight="1" x14ac:dyDescent="0.3">
      <c r="A1" s="70" t="s">
        <v>8</v>
      </c>
      <c r="B1" s="70"/>
      <c r="C1" s="70"/>
      <c r="D1" s="70"/>
      <c r="E1" s="70"/>
      <c r="F1" s="70"/>
      <c r="G1" s="70"/>
      <c r="H1" s="70"/>
      <c r="I1" s="70"/>
      <c r="J1" s="70"/>
      <c r="K1" s="70"/>
      <c r="L1" s="70"/>
    </row>
    <row r="2" spans="1:12" s="56" customFormat="1" ht="18.75" customHeight="1" x14ac:dyDescent="0.3">
      <c r="A2" s="39"/>
      <c r="B2" s="39"/>
      <c r="C2" s="2" t="s">
        <v>11</v>
      </c>
      <c r="D2" s="2" t="s">
        <v>11</v>
      </c>
      <c r="E2" s="2" t="s">
        <v>12</v>
      </c>
      <c r="F2" s="2" t="s">
        <v>44</v>
      </c>
      <c r="G2" s="2" t="s">
        <v>45</v>
      </c>
      <c r="H2" s="2" t="s">
        <v>45</v>
      </c>
      <c r="I2" s="2" t="s">
        <v>46</v>
      </c>
      <c r="J2" s="2" t="s">
        <v>46</v>
      </c>
      <c r="K2" s="2" t="s">
        <v>47</v>
      </c>
      <c r="L2" s="2" t="s">
        <v>48</v>
      </c>
    </row>
    <row r="3" spans="1:12" s="56" customFormat="1" ht="77.25" x14ac:dyDescent="0.25">
      <c r="A3" s="1" t="s">
        <v>0</v>
      </c>
      <c r="B3" s="1" t="s">
        <v>1</v>
      </c>
      <c r="C3" s="2" t="s">
        <v>9</v>
      </c>
      <c r="D3" s="2" t="s">
        <v>10</v>
      </c>
      <c r="E3" s="3" t="s">
        <v>4</v>
      </c>
      <c r="F3" s="3" t="s">
        <v>3</v>
      </c>
      <c r="G3" s="3" t="s">
        <v>66</v>
      </c>
      <c r="H3" s="3" t="s">
        <v>67</v>
      </c>
      <c r="I3" s="3" t="s">
        <v>68</v>
      </c>
      <c r="J3" s="3" t="s">
        <v>69</v>
      </c>
      <c r="K3" s="3" t="s">
        <v>20</v>
      </c>
      <c r="L3" s="3" t="s">
        <v>21</v>
      </c>
    </row>
    <row r="4" spans="1:12" x14ac:dyDescent="0.25">
      <c r="A4" s="4">
        <v>2019</v>
      </c>
      <c r="B4" s="4">
        <v>1</v>
      </c>
      <c r="C4" s="5">
        <v>18844</v>
      </c>
      <c r="D4" s="5">
        <v>10496</v>
      </c>
      <c r="E4" s="7">
        <v>30104</v>
      </c>
      <c r="F4" s="8">
        <v>107</v>
      </c>
      <c r="G4" s="16"/>
      <c r="H4" s="6"/>
      <c r="I4" s="5"/>
      <c r="J4" s="7"/>
      <c r="K4" s="7"/>
      <c r="L4" s="7"/>
    </row>
    <row r="5" spans="1:12" x14ac:dyDescent="0.25">
      <c r="A5" s="9">
        <v>2019</v>
      </c>
      <c r="B5" s="9">
        <v>2</v>
      </c>
      <c r="C5" s="10">
        <v>18837</v>
      </c>
      <c r="D5" s="10">
        <v>10515</v>
      </c>
      <c r="E5" s="12">
        <v>25824</v>
      </c>
      <c r="F5" s="13">
        <v>100</v>
      </c>
      <c r="G5" s="17"/>
      <c r="H5" s="11"/>
      <c r="I5" s="10"/>
      <c r="J5" s="12"/>
      <c r="K5" s="12"/>
      <c r="L5" s="12"/>
    </row>
    <row r="6" spans="1:12" x14ac:dyDescent="0.25">
      <c r="A6" s="4">
        <v>2019</v>
      </c>
      <c r="B6" s="4">
        <v>3</v>
      </c>
      <c r="C6" s="5">
        <v>18840</v>
      </c>
      <c r="D6" s="5">
        <v>10505</v>
      </c>
      <c r="E6" s="7">
        <v>33208</v>
      </c>
      <c r="F6" s="8">
        <v>123</v>
      </c>
      <c r="G6" s="16"/>
      <c r="H6" s="6"/>
      <c r="I6" s="5"/>
      <c r="J6" s="7"/>
      <c r="K6" s="7"/>
      <c r="L6" s="7"/>
    </row>
    <row r="7" spans="1:12" x14ac:dyDescent="0.25">
      <c r="A7" s="9">
        <v>2019</v>
      </c>
      <c r="B7" s="9">
        <v>4</v>
      </c>
      <c r="C7" s="10">
        <v>18857</v>
      </c>
      <c r="D7" s="10">
        <v>10494</v>
      </c>
      <c r="E7" s="12">
        <v>32794</v>
      </c>
      <c r="F7" s="13">
        <v>110</v>
      </c>
      <c r="G7" s="17"/>
      <c r="H7" s="11"/>
      <c r="I7" s="10"/>
      <c r="J7" s="12"/>
      <c r="K7" s="12"/>
      <c r="L7" s="12"/>
    </row>
    <row r="8" spans="1:12" x14ac:dyDescent="0.25">
      <c r="A8" s="4">
        <v>2019</v>
      </c>
      <c r="B8" s="4">
        <v>5</v>
      </c>
      <c r="C8" s="5">
        <v>18879</v>
      </c>
      <c r="D8" s="5">
        <v>10469</v>
      </c>
      <c r="E8" s="7">
        <v>35721</v>
      </c>
      <c r="F8" s="8">
        <v>118</v>
      </c>
      <c r="G8" s="16"/>
      <c r="H8" s="6"/>
      <c r="I8" s="5"/>
      <c r="J8" s="7"/>
      <c r="K8" s="7"/>
      <c r="L8" s="7"/>
    </row>
    <row r="9" spans="1:12" x14ac:dyDescent="0.25">
      <c r="A9" s="9">
        <v>2019</v>
      </c>
      <c r="B9" s="9">
        <v>6</v>
      </c>
      <c r="C9" s="10">
        <v>18909</v>
      </c>
      <c r="D9" s="10">
        <v>10445</v>
      </c>
      <c r="E9" s="12">
        <v>45971</v>
      </c>
      <c r="F9" s="13">
        <v>144</v>
      </c>
      <c r="G9" s="17"/>
      <c r="H9" s="11"/>
      <c r="I9" s="10"/>
      <c r="J9" s="12"/>
      <c r="K9" s="12"/>
      <c r="L9" s="12"/>
    </row>
    <row r="10" spans="1:12" x14ac:dyDescent="0.25">
      <c r="A10" s="4">
        <v>2019</v>
      </c>
      <c r="B10" s="4">
        <v>7</v>
      </c>
      <c r="C10" s="5">
        <v>18914</v>
      </c>
      <c r="D10" s="5">
        <v>10424</v>
      </c>
      <c r="E10" s="7">
        <v>43998</v>
      </c>
      <c r="F10" s="8">
        <v>155</v>
      </c>
      <c r="G10" s="16"/>
      <c r="H10" s="6"/>
      <c r="I10" s="5"/>
      <c r="J10" s="7"/>
      <c r="K10" s="7"/>
      <c r="L10" s="7"/>
    </row>
    <row r="11" spans="1:12" x14ac:dyDescent="0.25">
      <c r="A11" s="9">
        <v>2019</v>
      </c>
      <c r="B11" s="9">
        <v>8</v>
      </c>
      <c r="C11" s="10">
        <v>18927</v>
      </c>
      <c r="D11" s="10">
        <v>10417</v>
      </c>
      <c r="E11" s="12">
        <v>31415</v>
      </c>
      <c r="F11" s="13">
        <v>124</v>
      </c>
      <c r="G11" s="17"/>
      <c r="H11" s="11"/>
      <c r="I11" s="10"/>
      <c r="J11" s="12"/>
      <c r="K11" s="10">
        <v>24</v>
      </c>
      <c r="L11" s="10">
        <v>17</v>
      </c>
    </row>
    <row r="12" spans="1:12" x14ac:dyDescent="0.25">
      <c r="A12" s="4">
        <v>2019</v>
      </c>
      <c r="B12" s="4">
        <v>9</v>
      </c>
      <c r="C12" s="5">
        <v>18956</v>
      </c>
      <c r="D12" s="5">
        <v>10420</v>
      </c>
      <c r="E12" s="7">
        <v>25548</v>
      </c>
      <c r="F12" s="8">
        <v>124</v>
      </c>
      <c r="G12" s="16"/>
      <c r="H12" s="6"/>
      <c r="I12" s="5"/>
      <c r="J12" s="7"/>
      <c r="K12" s="5">
        <v>31</v>
      </c>
      <c r="L12" s="5">
        <v>11</v>
      </c>
    </row>
    <row r="13" spans="1:12" x14ac:dyDescent="0.25">
      <c r="A13" s="9">
        <v>2019</v>
      </c>
      <c r="B13" s="9">
        <v>10</v>
      </c>
      <c r="C13" s="10">
        <v>18960</v>
      </c>
      <c r="D13" s="10">
        <v>10439</v>
      </c>
      <c r="E13" s="12">
        <v>16280</v>
      </c>
      <c r="F13" s="13">
        <v>81</v>
      </c>
      <c r="G13" s="17"/>
      <c r="H13" s="11"/>
      <c r="I13" s="10"/>
      <c r="J13" s="12"/>
      <c r="K13" s="10">
        <v>21</v>
      </c>
      <c r="L13" s="10">
        <v>30</v>
      </c>
    </row>
    <row r="14" spans="1:12" x14ac:dyDescent="0.25">
      <c r="A14" s="4">
        <v>2019</v>
      </c>
      <c r="B14" s="4">
        <v>11</v>
      </c>
      <c r="C14" s="5">
        <v>18984</v>
      </c>
      <c r="D14" s="5">
        <v>10487</v>
      </c>
      <c r="E14" s="7">
        <v>23735</v>
      </c>
      <c r="F14" s="8">
        <v>104</v>
      </c>
      <c r="G14" s="16"/>
      <c r="H14" s="6"/>
      <c r="I14" s="5"/>
      <c r="J14" s="7"/>
      <c r="K14" s="5">
        <v>14</v>
      </c>
      <c r="L14" s="5">
        <v>15</v>
      </c>
    </row>
    <row r="15" spans="1:12" x14ac:dyDescent="0.25">
      <c r="A15" s="9">
        <v>2019</v>
      </c>
      <c r="B15" s="9">
        <v>12</v>
      </c>
      <c r="C15" s="10">
        <v>18987</v>
      </c>
      <c r="D15" s="10">
        <v>10509</v>
      </c>
      <c r="E15" s="12">
        <v>29417</v>
      </c>
      <c r="F15" s="13">
        <v>110</v>
      </c>
      <c r="G15" s="17"/>
      <c r="H15" s="11"/>
      <c r="I15" s="10"/>
      <c r="J15" s="12"/>
      <c r="K15" s="10">
        <v>21</v>
      </c>
      <c r="L15" s="10">
        <v>10</v>
      </c>
    </row>
    <row r="16" spans="1:12" x14ac:dyDescent="0.25">
      <c r="A16" s="4">
        <v>2020</v>
      </c>
      <c r="B16" s="4">
        <v>1</v>
      </c>
      <c r="C16" s="5">
        <v>18995</v>
      </c>
      <c r="D16" s="5">
        <v>10519</v>
      </c>
      <c r="E16" s="7">
        <v>41078</v>
      </c>
      <c r="F16" s="8">
        <v>140</v>
      </c>
      <c r="G16" s="16"/>
      <c r="H16" s="6"/>
      <c r="I16" s="5"/>
      <c r="J16" s="7"/>
      <c r="K16" s="5">
        <v>26</v>
      </c>
      <c r="L16" s="5">
        <v>23</v>
      </c>
    </row>
    <row r="17" spans="1:12" x14ac:dyDescent="0.25">
      <c r="A17" s="9">
        <v>2020</v>
      </c>
      <c r="B17" s="9">
        <v>2</v>
      </c>
      <c r="C17" s="10">
        <v>19013</v>
      </c>
      <c r="D17" s="10">
        <v>10525</v>
      </c>
      <c r="E17" s="12">
        <v>27368</v>
      </c>
      <c r="F17" s="13">
        <v>95</v>
      </c>
      <c r="G17" s="17"/>
      <c r="H17" s="11"/>
      <c r="I17" s="10"/>
      <c r="J17" s="12"/>
      <c r="K17" s="10">
        <v>31</v>
      </c>
      <c r="L17" s="10">
        <v>22</v>
      </c>
    </row>
    <row r="18" spans="1:12" x14ac:dyDescent="0.25">
      <c r="A18" s="4">
        <v>2020</v>
      </c>
      <c r="B18" s="4">
        <v>3</v>
      </c>
      <c r="C18" s="5">
        <v>19035</v>
      </c>
      <c r="D18" s="5">
        <v>10520</v>
      </c>
      <c r="E18" s="7">
        <v>27516</v>
      </c>
      <c r="F18" s="8">
        <v>106</v>
      </c>
      <c r="G18" s="16"/>
      <c r="H18" s="6"/>
      <c r="I18" s="5"/>
      <c r="J18" s="7"/>
      <c r="K18" s="5">
        <v>17</v>
      </c>
      <c r="L18" s="5">
        <v>11</v>
      </c>
    </row>
    <row r="19" spans="1:12" x14ac:dyDescent="0.25">
      <c r="A19" s="9">
        <v>2020</v>
      </c>
      <c r="B19" s="9">
        <v>4</v>
      </c>
      <c r="C19" s="10">
        <v>19032</v>
      </c>
      <c r="D19" s="10">
        <v>10510</v>
      </c>
      <c r="E19" s="12">
        <v>28919</v>
      </c>
      <c r="F19" s="13">
        <v>108</v>
      </c>
      <c r="G19" s="17"/>
      <c r="H19" s="11"/>
      <c r="I19" s="10"/>
      <c r="J19" s="12"/>
      <c r="K19" s="10">
        <v>0</v>
      </c>
      <c r="L19" s="10">
        <v>1</v>
      </c>
    </row>
    <row r="20" spans="1:12" x14ac:dyDescent="0.25">
      <c r="A20" s="4">
        <v>2020</v>
      </c>
      <c r="B20" s="4">
        <v>5</v>
      </c>
      <c r="C20" s="5">
        <v>19042</v>
      </c>
      <c r="D20" s="5">
        <v>10497</v>
      </c>
      <c r="E20" s="7">
        <v>40715</v>
      </c>
      <c r="F20" s="8">
        <v>178</v>
      </c>
      <c r="G20" s="16">
        <v>17</v>
      </c>
      <c r="H20" s="6">
        <f>82224+55369</f>
        <v>137593</v>
      </c>
      <c r="I20" s="5">
        <v>2</v>
      </c>
      <c r="J20" s="7">
        <v>1008</v>
      </c>
      <c r="K20" s="5">
        <v>2</v>
      </c>
      <c r="L20" s="5">
        <v>3</v>
      </c>
    </row>
    <row r="21" spans="1:12" x14ac:dyDescent="0.25">
      <c r="A21" s="9">
        <v>2020</v>
      </c>
      <c r="B21" s="9">
        <v>6</v>
      </c>
      <c r="C21" s="20">
        <v>19055</v>
      </c>
      <c r="D21" s="20">
        <v>10490</v>
      </c>
      <c r="E21" s="12">
        <v>84365</v>
      </c>
      <c r="F21" s="13">
        <v>248</v>
      </c>
      <c r="G21" s="17">
        <v>15</v>
      </c>
      <c r="H21" s="11">
        <v>27420</v>
      </c>
      <c r="I21" s="10">
        <v>5</v>
      </c>
      <c r="J21" s="12">
        <v>6130</v>
      </c>
      <c r="K21" s="10">
        <v>2</v>
      </c>
      <c r="L21" s="10">
        <v>0</v>
      </c>
    </row>
    <row r="22" spans="1:12" x14ac:dyDescent="0.25">
      <c r="A22" s="4">
        <v>2020</v>
      </c>
      <c r="B22" s="4">
        <v>7</v>
      </c>
      <c r="C22" s="5">
        <v>19071</v>
      </c>
      <c r="D22" s="5">
        <v>10489</v>
      </c>
      <c r="E22" s="7">
        <v>85881</v>
      </c>
      <c r="F22" s="8">
        <v>235</v>
      </c>
      <c r="G22" s="16">
        <v>25</v>
      </c>
      <c r="H22" s="6">
        <v>167125</v>
      </c>
      <c r="I22" s="5">
        <v>4</v>
      </c>
      <c r="J22" s="7">
        <v>15504</v>
      </c>
      <c r="K22" s="5">
        <v>13</v>
      </c>
      <c r="L22" s="5">
        <v>0</v>
      </c>
    </row>
    <row r="23" spans="1:12" ht="17.25" x14ac:dyDescent="0.25">
      <c r="A23" s="9">
        <v>2020</v>
      </c>
      <c r="B23" s="9">
        <v>8</v>
      </c>
      <c r="C23" s="20">
        <f>18927+116+43</f>
        <v>19086</v>
      </c>
      <c r="D23" s="20">
        <f>10373+112</f>
        <v>10485</v>
      </c>
      <c r="E23" s="12">
        <v>86633</v>
      </c>
      <c r="F23" s="21">
        <v>241</v>
      </c>
      <c r="G23" s="17">
        <v>35</v>
      </c>
      <c r="H23" s="11">
        <f>35*2351</f>
        <v>82285</v>
      </c>
      <c r="I23" s="10">
        <v>3</v>
      </c>
      <c r="J23" s="12">
        <f>3*442</f>
        <v>1326</v>
      </c>
      <c r="K23" s="10" t="s">
        <v>55</v>
      </c>
      <c r="L23" s="10">
        <v>8</v>
      </c>
    </row>
    <row r="24" spans="1:12" x14ac:dyDescent="0.25">
      <c r="A24" s="4">
        <v>2020</v>
      </c>
      <c r="B24" s="4">
        <v>9</v>
      </c>
      <c r="C24" s="5">
        <v>19104</v>
      </c>
      <c r="D24" s="5">
        <v>10495</v>
      </c>
      <c r="E24" s="7">
        <v>68204</v>
      </c>
      <c r="F24" s="8">
        <v>186</v>
      </c>
      <c r="G24" s="16">
        <v>31</v>
      </c>
      <c r="H24" s="6">
        <f>31*7707</f>
        <v>238917</v>
      </c>
      <c r="I24" s="5">
        <v>5</v>
      </c>
      <c r="J24" s="7">
        <f>5*4128</f>
        <v>20640</v>
      </c>
      <c r="K24" s="5">
        <v>3</v>
      </c>
      <c r="L24" s="5">
        <v>6</v>
      </c>
    </row>
    <row r="25" spans="1:12" x14ac:dyDescent="0.25">
      <c r="A25" s="9">
        <v>2020</v>
      </c>
      <c r="B25" s="9">
        <v>10</v>
      </c>
      <c r="C25" s="20">
        <v>19114</v>
      </c>
      <c r="D25" s="20">
        <v>10515</v>
      </c>
      <c r="E25" s="12">
        <v>87057</v>
      </c>
      <c r="F25" s="21">
        <v>218</v>
      </c>
      <c r="G25" s="17">
        <v>32</v>
      </c>
      <c r="H25" s="11">
        <f>(31*4351)+(1*55474)</f>
        <v>190355</v>
      </c>
      <c r="I25" s="10">
        <v>6</v>
      </c>
      <c r="J25" s="12">
        <f>6*1892</f>
        <v>11352</v>
      </c>
      <c r="K25" s="10">
        <v>5</v>
      </c>
      <c r="L25" s="10">
        <v>5</v>
      </c>
    </row>
    <row r="26" spans="1:12" x14ac:dyDescent="0.25">
      <c r="A26" s="4">
        <v>2020</v>
      </c>
      <c r="B26" s="4">
        <v>11</v>
      </c>
      <c r="C26" s="5">
        <v>19123</v>
      </c>
      <c r="D26" s="5">
        <v>10529</v>
      </c>
      <c r="E26" s="7">
        <v>87597</v>
      </c>
      <c r="F26" s="8">
        <v>200</v>
      </c>
      <c r="G26" s="16">
        <f>27+1</f>
        <v>28</v>
      </c>
      <c r="H26" s="6">
        <f>(27*4603)+24794</f>
        <v>149075</v>
      </c>
      <c r="I26" s="5">
        <v>5</v>
      </c>
      <c r="J26" s="7">
        <f>5*8861</f>
        <v>44305</v>
      </c>
      <c r="K26" s="5">
        <v>3</v>
      </c>
      <c r="L26" s="5">
        <v>6</v>
      </c>
    </row>
    <row r="27" spans="1:12" x14ac:dyDescent="0.25">
      <c r="A27" s="9">
        <v>2020</v>
      </c>
      <c r="B27" s="9">
        <v>12</v>
      </c>
      <c r="C27" s="20">
        <v>19131</v>
      </c>
      <c r="D27" s="20">
        <v>10550</v>
      </c>
      <c r="E27" s="12">
        <v>82101</v>
      </c>
      <c r="F27" s="21">
        <v>180</v>
      </c>
      <c r="G27" s="17">
        <f>36+1</f>
        <v>37</v>
      </c>
      <c r="H27" s="11">
        <f>(36*2351)+26862</f>
        <v>111498</v>
      </c>
      <c r="I27" s="10">
        <f>10+1</f>
        <v>11</v>
      </c>
      <c r="J27" s="12">
        <f>(10*3826)+26862</f>
        <v>65122</v>
      </c>
      <c r="K27" s="10">
        <v>3</v>
      </c>
      <c r="L27" s="10">
        <v>9</v>
      </c>
    </row>
    <row r="28" spans="1:12" x14ac:dyDescent="0.25">
      <c r="A28" s="4">
        <v>2021</v>
      </c>
      <c r="B28" s="4">
        <v>1</v>
      </c>
      <c r="C28" s="5">
        <v>19120</v>
      </c>
      <c r="D28" s="5">
        <v>10570</v>
      </c>
      <c r="E28" s="7">
        <v>88700</v>
      </c>
      <c r="F28" s="8">
        <v>181</v>
      </c>
      <c r="G28" s="16">
        <v>22</v>
      </c>
      <c r="H28" s="6">
        <f>22*2967</f>
        <v>65274</v>
      </c>
      <c r="I28" s="5">
        <v>3</v>
      </c>
      <c r="J28" s="7">
        <f>3*5257</f>
        <v>15771</v>
      </c>
      <c r="K28" s="5">
        <v>2</v>
      </c>
      <c r="L28" s="5">
        <v>9</v>
      </c>
    </row>
    <row r="29" spans="1:12" x14ac:dyDescent="0.25">
      <c r="A29" s="9">
        <v>2021</v>
      </c>
      <c r="B29" s="9">
        <v>2</v>
      </c>
      <c r="C29" s="20">
        <v>19127</v>
      </c>
      <c r="D29" s="20">
        <v>10583</v>
      </c>
      <c r="E29" s="12">
        <v>88139</v>
      </c>
      <c r="F29" s="21">
        <v>184</v>
      </c>
      <c r="G29" s="17">
        <v>15</v>
      </c>
      <c r="H29" s="11">
        <f>15*1906</f>
        <v>28590</v>
      </c>
      <c r="I29" s="10">
        <v>1</v>
      </c>
      <c r="J29" s="12">
        <v>517</v>
      </c>
      <c r="K29" s="10">
        <v>2</v>
      </c>
      <c r="L29" s="10">
        <v>2</v>
      </c>
    </row>
    <row r="30" spans="1:12" s="31" customFormat="1" x14ac:dyDescent="0.25">
      <c r="A30" s="18">
        <v>2021</v>
      </c>
      <c r="B30" s="18">
        <v>3</v>
      </c>
      <c r="C30" s="19">
        <v>19147</v>
      </c>
      <c r="D30" s="19">
        <v>10582</v>
      </c>
      <c r="E30" s="35">
        <v>85180</v>
      </c>
      <c r="F30" s="36">
        <v>162</v>
      </c>
      <c r="G30" s="38">
        <v>12</v>
      </c>
      <c r="H30" s="37">
        <f>12*1733</f>
        <v>20796</v>
      </c>
      <c r="I30" s="19">
        <v>5</v>
      </c>
      <c r="J30" s="35">
        <f>5*1139</f>
        <v>5695</v>
      </c>
      <c r="K30" s="19">
        <v>6</v>
      </c>
      <c r="L30" s="19">
        <v>6</v>
      </c>
    </row>
    <row r="31" spans="1:12" s="31" customFormat="1" x14ac:dyDescent="0.25">
      <c r="A31" s="9">
        <v>2021</v>
      </c>
      <c r="B31" s="9">
        <v>4</v>
      </c>
      <c r="C31" s="20">
        <v>19182</v>
      </c>
      <c r="D31" s="20">
        <v>10564</v>
      </c>
      <c r="E31" s="12">
        <v>86293</v>
      </c>
      <c r="F31" s="21">
        <v>153</v>
      </c>
      <c r="G31" s="17">
        <v>9</v>
      </c>
      <c r="H31" s="11">
        <f>9*3229</f>
        <v>29061</v>
      </c>
      <c r="I31" s="10">
        <v>2</v>
      </c>
      <c r="J31" s="12">
        <f>2*4913</f>
        <v>9826</v>
      </c>
      <c r="K31" s="10">
        <v>18</v>
      </c>
      <c r="L31" s="10">
        <v>14</v>
      </c>
    </row>
    <row r="32" spans="1:12" s="31" customFormat="1" x14ac:dyDescent="0.25">
      <c r="A32" s="18">
        <v>2021</v>
      </c>
      <c r="B32" s="18">
        <v>5</v>
      </c>
      <c r="C32" s="19">
        <v>19212</v>
      </c>
      <c r="D32" s="19">
        <v>10544</v>
      </c>
      <c r="E32" s="35">
        <v>74826</v>
      </c>
      <c r="F32" s="36">
        <v>140</v>
      </c>
      <c r="G32" s="38">
        <v>10</v>
      </c>
      <c r="H32" s="37">
        <f>(9*1750)+(1*15019)</f>
        <v>30769</v>
      </c>
      <c r="I32" s="19">
        <v>3</v>
      </c>
      <c r="J32" s="35">
        <f>3*1750</f>
        <v>5250</v>
      </c>
      <c r="K32" s="19">
        <v>18</v>
      </c>
      <c r="L32" s="19">
        <v>4</v>
      </c>
    </row>
    <row r="33" spans="1:12" s="31" customFormat="1" x14ac:dyDescent="0.25">
      <c r="A33" s="9">
        <v>2021</v>
      </c>
      <c r="B33" s="9">
        <v>6</v>
      </c>
      <c r="C33" s="20">
        <v>19241</v>
      </c>
      <c r="D33" s="20">
        <v>10530</v>
      </c>
      <c r="E33" s="12">
        <v>88308</v>
      </c>
      <c r="F33" s="21">
        <v>158</v>
      </c>
      <c r="G33" s="17">
        <v>13</v>
      </c>
      <c r="H33" s="11">
        <f>13*386</f>
        <v>5018</v>
      </c>
      <c r="I33" s="10">
        <v>3</v>
      </c>
      <c r="J33" s="12">
        <f>3*483</f>
        <v>1449</v>
      </c>
      <c r="K33" s="10">
        <v>13</v>
      </c>
      <c r="L33" s="10">
        <v>5</v>
      </c>
    </row>
    <row r="34" spans="1:12" s="31" customFormat="1" x14ac:dyDescent="0.25">
      <c r="A34" s="18">
        <v>2021</v>
      </c>
      <c r="B34" s="18">
        <v>7</v>
      </c>
      <c r="C34" s="19">
        <v>19233</v>
      </c>
      <c r="D34" s="19">
        <v>10522</v>
      </c>
      <c r="E34" s="35">
        <v>75131</v>
      </c>
      <c r="F34" s="36">
        <v>147</v>
      </c>
      <c r="G34" s="38">
        <v>3</v>
      </c>
      <c r="H34" s="37">
        <f>3*343</f>
        <v>1029</v>
      </c>
      <c r="I34" s="19">
        <v>0</v>
      </c>
      <c r="J34" s="35">
        <v>0</v>
      </c>
      <c r="K34" s="19">
        <v>11</v>
      </c>
      <c r="L34" s="19">
        <v>12</v>
      </c>
    </row>
    <row r="35" spans="1:12" s="31" customFormat="1" x14ac:dyDescent="0.25">
      <c r="A35" s="9">
        <v>2021</v>
      </c>
      <c r="B35" s="9">
        <v>8</v>
      </c>
      <c r="C35" s="20">
        <v>19247</v>
      </c>
      <c r="D35" s="20">
        <v>10519</v>
      </c>
      <c r="E35" s="60">
        <v>70362</v>
      </c>
      <c r="F35" s="57">
        <v>165</v>
      </c>
      <c r="G35" s="58">
        <v>22</v>
      </c>
      <c r="H35" s="30">
        <f>22*7826</f>
        <v>172172</v>
      </c>
      <c r="I35" s="59">
        <f>7</f>
        <v>7</v>
      </c>
      <c r="J35" s="60">
        <f>7*7188</f>
        <v>50316</v>
      </c>
      <c r="K35" s="10">
        <v>2</v>
      </c>
      <c r="L35" s="10">
        <v>4</v>
      </c>
    </row>
    <row r="36" spans="1:12" s="31" customFormat="1" x14ac:dyDescent="0.25">
      <c r="A36" s="18">
        <v>2021</v>
      </c>
      <c r="B36" s="18">
        <v>9</v>
      </c>
      <c r="C36" s="19">
        <v>19264</v>
      </c>
      <c r="D36" s="19">
        <v>10543</v>
      </c>
      <c r="E36" s="35">
        <v>66599</v>
      </c>
      <c r="F36" s="36">
        <v>168</v>
      </c>
      <c r="G36" s="38">
        <v>10</v>
      </c>
      <c r="H36" s="37">
        <f>10*7675</f>
        <v>76750</v>
      </c>
      <c r="I36" s="19">
        <v>0</v>
      </c>
      <c r="J36" s="35">
        <v>0</v>
      </c>
      <c r="K36" s="19">
        <v>10</v>
      </c>
      <c r="L36" s="19">
        <v>11</v>
      </c>
    </row>
    <row r="37" spans="1:12" s="31" customFormat="1" x14ac:dyDescent="0.25">
      <c r="A37" s="9">
        <v>2021</v>
      </c>
      <c r="B37" s="9">
        <v>10</v>
      </c>
      <c r="C37" s="20">
        <v>19245</v>
      </c>
      <c r="D37" s="20">
        <v>10545</v>
      </c>
      <c r="E37" s="60">
        <v>56101</v>
      </c>
      <c r="F37" s="57">
        <v>151</v>
      </c>
      <c r="G37" s="58">
        <v>6</v>
      </c>
      <c r="H37" s="30">
        <f>6*1748</f>
        <v>10488</v>
      </c>
      <c r="I37" s="59">
        <v>1</v>
      </c>
      <c r="J37" s="60">
        <f>1*545</f>
        <v>545</v>
      </c>
      <c r="K37" s="10">
        <v>10</v>
      </c>
      <c r="L37" s="10">
        <v>20</v>
      </c>
    </row>
    <row r="38" spans="1:12" s="31" customFormat="1" x14ac:dyDescent="0.25">
      <c r="A38" s="18">
        <v>2021</v>
      </c>
      <c r="B38" s="18">
        <v>11</v>
      </c>
      <c r="C38" s="19">
        <v>19225</v>
      </c>
      <c r="D38" s="19">
        <v>10583</v>
      </c>
      <c r="E38" s="35">
        <v>71832</v>
      </c>
      <c r="F38" s="36">
        <v>174</v>
      </c>
      <c r="G38" s="38">
        <v>6</v>
      </c>
      <c r="H38" s="37">
        <f>6*1181</f>
        <v>7086</v>
      </c>
      <c r="I38" s="19">
        <v>6</v>
      </c>
      <c r="J38" s="35">
        <f>6*504</f>
        <v>3024</v>
      </c>
      <c r="K38" s="19">
        <v>4</v>
      </c>
      <c r="L38" s="19">
        <v>19</v>
      </c>
    </row>
    <row r="39" spans="1:12" s="63" customFormat="1" ht="17.25" x14ac:dyDescent="0.25">
      <c r="A39" s="67">
        <v>2021</v>
      </c>
      <c r="B39" s="67">
        <v>12</v>
      </c>
      <c r="C39" s="68">
        <v>19250</v>
      </c>
      <c r="D39" s="68">
        <v>10619</v>
      </c>
      <c r="E39" s="69">
        <v>73818</v>
      </c>
      <c r="F39" s="68">
        <v>182</v>
      </c>
      <c r="G39" s="68"/>
      <c r="H39" s="69"/>
      <c r="I39" s="68"/>
      <c r="J39" s="69"/>
      <c r="K39" s="68">
        <v>17</v>
      </c>
      <c r="L39" s="68">
        <v>14</v>
      </c>
    </row>
    <row r="42" spans="1:12" ht="30.75" customHeight="1" x14ac:dyDescent="0.25">
      <c r="A42" s="76" t="s">
        <v>61</v>
      </c>
      <c r="B42" s="76"/>
      <c r="C42" s="76"/>
      <c r="D42" s="76"/>
      <c r="E42" s="76"/>
      <c r="F42" s="76"/>
      <c r="G42" s="76"/>
      <c r="H42" s="76"/>
      <c r="I42" s="76"/>
      <c r="J42" s="76"/>
      <c r="K42" s="76"/>
      <c r="L42" s="76"/>
    </row>
    <row r="43" spans="1:12" s="31" customFormat="1" ht="17.25" x14ac:dyDescent="0.25">
      <c r="A43" s="62" t="s">
        <v>53</v>
      </c>
      <c r="B43" s="63"/>
      <c r="C43" s="64"/>
      <c r="D43" s="64"/>
      <c r="E43" s="65"/>
      <c r="F43" s="63"/>
      <c r="G43" s="63"/>
      <c r="H43" s="63"/>
      <c r="I43" s="63"/>
      <c r="J43" s="63"/>
      <c r="K43" s="63"/>
      <c r="L43" s="63"/>
    </row>
    <row r="44" spans="1:12" ht="27" customHeight="1" x14ac:dyDescent="0.25">
      <c r="A44" s="73" t="s">
        <v>63</v>
      </c>
      <c r="B44" s="73"/>
      <c r="C44" s="73"/>
      <c r="D44" s="73"/>
      <c r="E44" s="73"/>
      <c r="F44" s="73"/>
      <c r="G44" s="73"/>
      <c r="H44" s="73"/>
      <c r="I44" s="73"/>
      <c r="J44" s="73"/>
      <c r="K44" s="73"/>
    </row>
    <row r="45" spans="1:12" ht="14.25" customHeight="1" x14ac:dyDescent="0.25"/>
    <row r="48" spans="1:12" ht="14.25" customHeight="1" x14ac:dyDescent="0.25"/>
  </sheetData>
  <mergeCells count="3">
    <mergeCell ref="A1:L1"/>
    <mergeCell ref="A42:L42"/>
    <mergeCell ref="A44:K44"/>
  </mergeCells>
  <pageMargins left="0.7" right="0.7" top="1" bottom="0.75" header="0.3" footer="0.3"/>
  <pageSetup scale="68" orientation="landscape" horizontalDpi="1200" verticalDpi="1200" r:id="rId1"/>
  <headerFooter>
    <oddHeader>&amp;RVectren Energy Delivery of Indiana, Inc.
Cause No. 45380
Attachment 1
Page 4 of 6</oddHeader>
  </headerFooter>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48A827-12C8-4427-87FB-9CAF10FB4C61}">
  <dimension ref="A1:M21"/>
  <sheetViews>
    <sheetView view="pageBreakPreview" zoomScale="130" zoomScaleNormal="100" zoomScaleSheetLayoutView="130" workbookViewId="0"/>
  </sheetViews>
  <sheetFormatPr defaultColWidth="8.85546875" defaultRowHeight="15" x14ac:dyDescent="0.25"/>
  <cols>
    <col min="1" max="1" width="8.85546875" style="41"/>
    <col min="2" max="2" width="61" style="41" customWidth="1"/>
    <col min="3" max="4" width="11.42578125" style="42" customWidth="1"/>
    <col min="5" max="5" width="14.42578125" style="42" bestFit="1" customWidth="1"/>
    <col min="6" max="6" width="9.85546875" style="41" customWidth="1"/>
    <col min="7" max="16384" width="8.85546875" style="41"/>
  </cols>
  <sheetData>
    <row r="1" spans="1:13" x14ac:dyDescent="0.25">
      <c r="A1" s="40" t="s">
        <v>15</v>
      </c>
    </row>
    <row r="2" spans="1:13" x14ac:dyDescent="0.25">
      <c r="A2" s="40" t="s">
        <v>26</v>
      </c>
    </row>
    <row r="3" spans="1:13" ht="17.25" x14ac:dyDescent="0.25">
      <c r="A3" s="40" t="s">
        <v>27</v>
      </c>
    </row>
    <row r="4" spans="1:13" x14ac:dyDescent="0.25">
      <c r="A4" s="40" t="s">
        <v>28</v>
      </c>
    </row>
    <row r="5" spans="1:13" ht="17.25" x14ac:dyDescent="0.25">
      <c r="C5" s="77" t="s">
        <v>64</v>
      </c>
      <c r="D5" s="77"/>
      <c r="E5" s="77"/>
    </row>
    <row r="6" spans="1:13" x14ac:dyDescent="0.25">
      <c r="A6" s="43" t="s">
        <v>29</v>
      </c>
    </row>
    <row r="7" spans="1:13" ht="17.25" x14ac:dyDescent="0.25">
      <c r="B7" s="44" t="s">
        <v>30</v>
      </c>
      <c r="C7" s="45" t="s">
        <v>31</v>
      </c>
      <c r="D7" s="46" t="s">
        <v>32</v>
      </c>
      <c r="E7" s="46" t="s">
        <v>33</v>
      </c>
    </row>
    <row r="8" spans="1:13" x14ac:dyDescent="0.25">
      <c r="A8" s="43">
        <v>1</v>
      </c>
      <c r="B8" s="41" t="s">
        <v>34</v>
      </c>
      <c r="C8" s="47">
        <f>1133649/1000</f>
        <v>1133.6489999999999</v>
      </c>
      <c r="D8" s="47">
        <f>(1404677-769260)/1000</f>
        <v>635.41700000000003</v>
      </c>
      <c r="E8" s="47">
        <f>+SUM(C8:D8)</f>
        <v>1769.0659999999998</v>
      </c>
      <c r="G8" s="47"/>
      <c r="H8" s="47"/>
      <c r="I8" s="47"/>
      <c r="K8" s="48"/>
      <c r="L8" s="48"/>
      <c r="M8" s="49"/>
    </row>
    <row r="9" spans="1:13" x14ac:dyDescent="0.25">
      <c r="A9" s="43">
        <f>+A8+1</f>
        <v>2</v>
      </c>
      <c r="B9" s="41" t="s">
        <v>35</v>
      </c>
      <c r="C9" s="47">
        <f>(344053+48678+2505+2941+3412)/1000</f>
        <v>401.589</v>
      </c>
      <c r="D9" s="47">
        <f>(216181+37180+1828+2113+2470)/1000</f>
        <v>259.77199999999999</v>
      </c>
      <c r="E9" s="47">
        <f>+SUM(C9:D9)</f>
        <v>661.36099999999999</v>
      </c>
      <c r="G9" s="47"/>
      <c r="H9" s="47"/>
      <c r="I9" s="42"/>
      <c r="K9" s="48"/>
      <c r="L9" s="48"/>
      <c r="M9" s="49"/>
    </row>
    <row r="10" spans="1:13" x14ac:dyDescent="0.25">
      <c r="A10" s="43">
        <f>+A9+1</f>
        <v>3</v>
      </c>
      <c r="B10" s="41" t="s">
        <v>36</v>
      </c>
      <c r="C10" s="47">
        <v>4.577</v>
      </c>
      <c r="D10" s="47">
        <f>7.179+0.317</f>
        <v>7.4960000000000004</v>
      </c>
      <c r="E10" s="47">
        <f>+SUM(C10:D10)</f>
        <v>12.073</v>
      </c>
      <c r="G10" s="47"/>
      <c r="H10" s="47"/>
      <c r="I10" s="42"/>
      <c r="K10" s="48"/>
      <c r="L10" s="48"/>
      <c r="M10" s="49"/>
    </row>
    <row r="11" spans="1:13" x14ac:dyDescent="0.25">
      <c r="A11" s="43">
        <f>+A10+1</f>
        <v>4</v>
      </c>
      <c r="B11" s="41" t="s">
        <v>37</v>
      </c>
      <c r="C11" s="47">
        <f>(118136+27215)/1000</f>
        <v>145.351</v>
      </c>
      <c r="D11" s="47">
        <f>(51954+4907)/1000</f>
        <v>56.860999999999997</v>
      </c>
      <c r="E11" s="47">
        <f>+SUM(C11:D11)</f>
        <v>202.21199999999999</v>
      </c>
      <c r="G11" s="50"/>
      <c r="H11" s="50"/>
      <c r="I11" s="51"/>
      <c r="K11" s="48"/>
      <c r="L11" s="48"/>
      <c r="M11" s="49"/>
    </row>
    <row r="12" spans="1:13" x14ac:dyDescent="0.25">
      <c r="A12" s="43">
        <f>+A11+1</f>
        <v>5</v>
      </c>
      <c r="B12" s="41" t="s">
        <v>38</v>
      </c>
      <c r="C12" s="52">
        <f>(660381.05+521452.95+484912.53+472992.38+459990.83+137681.39)/1000</f>
        <v>2737.4111300000004</v>
      </c>
      <c r="D12" s="52">
        <f>(865278.67+222907.07+170964.76+191044.62+145284.03+85767.87)/1000</f>
        <v>1681.24702</v>
      </c>
      <c r="E12" s="52">
        <f>+SUM(C12:D12)</f>
        <v>4418.6581500000002</v>
      </c>
      <c r="G12" s="50"/>
      <c r="H12" s="50"/>
      <c r="I12" s="51"/>
      <c r="K12" s="48"/>
      <c r="L12" s="48"/>
      <c r="M12" s="49"/>
    </row>
    <row r="13" spans="1:13" x14ac:dyDescent="0.25">
      <c r="A13" s="43"/>
      <c r="C13" s="47"/>
      <c r="D13" s="47"/>
      <c r="E13" s="47"/>
      <c r="G13" s="51"/>
      <c r="H13" s="51"/>
      <c r="I13" s="51"/>
    </row>
    <row r="14" spans="1:13" x14ac:dyDescent="0.25">
      <c r="A14" s="43">
        <f>+A12+1</f>
        <v>6</v>
      </c>
      <c r="B14" s="40" t="s">
        <v>39</v>
      </c>
      <c r="C14" s="61">
        <f>+SUM(C8:C12)</f>
        <v>4422.5771299999997</v>
      </c>
      <c r="D14" s="61">
        <f>+SUM(D8:D12)</f>
        <v>2640.7930200000001</v>
      </c>
      <c r="E14" s="61">
        <f>+SUM(E8:E12)</f>
        <v>7063.3701499999997</v>
      </c>
      <c r="G14" s="53"/>
      <c r="H14" s="53"/>
      <c r="I14" s="53"/>
    </row>
    <row r="16" spans="1:13" x14ac:dyDescent="0.25">
      <c r="B16" s="54"/>
      <c r="F16" s="54"/>
    </row>
    <row r="17" spans="1:5" x14ac:dyDescent="0.25">
      <c r="A17" s="41" t="s">
        <v>22</v>
      </c>
    </row>
    <row r="18" spans="1:5" ht="44.25" customHeight="1" x14ac:dyDescent="0.25">
      <c r="A18" s="55" t="s">
        <v>23</v>
      </c>
      <c r="B18" s="78" t="s">
        <v>65</v>
      </c>
      <c r="C18" s="78"/>
      <c r="D18" s="78"/>
      <c r="E18" s="78"/>
    </row>
    <row r="19" spans="1:5" x14ac:dyDescent="0.25">
      <c r="A19" s="55" t="s">
        <v>24</v>
      </c>
      <c r="B19" s="78" t="s">
        <v>40</v>
      </c>
      <c r="C19" s="78"/>
      <c r="D19" s="78"/>
      <c r="E19" s="78"/>
    </row>
    <row r="20" spans="1:5" x14ac:dyDescent="0.25">
      <c r="A20" s="55" t="s">
        <v>25</v>
      </c>
      <c r="B20" s="79" t="s">
        <v>41</v>
      </c>
      <c r="C20" s="79"/>
      <c r="D20" s="79"/>
      <c r="E20" s="79"/>
    </row>
    <row r="21" spans="1:5" x14ac:dyDescent="0.25">
      <c r="A21" s="55"/>
    </row>
  </sheetData>
  <mergeCells count="4">
    <mergeCell ref="C5:E5"/>
    <mergeCell ref="B18:E18"/>
    <mergeCell ref="B19:E19"/>
    <mergeCell ref="B20:E20"/>
  </mergeCells>
  <pageMargins left="0.7" right="0.7" top="1" bottom="0.75" header="0.3" footer="0.3"/>
  <pageSetup scale="80" orientation="portrait" horizontalDpi="1200" verticalDpi="1200" r:id="rId1"/>
  <headerFooter>
    <oddHeader>&amp;RVectren Energy Delivery of Indiana, Inc.
Cause No. 45380
Attachment 2
Page &amp;P of &amp;N</oddHeader>
  </headerFooter>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7F62C1BAB7D1B4998D0BFFEC59B8AD2" ma:contentTypeVersion="25" ma:contentTypeDescription="Create a new document." ma:contentTypeScope="" ma:versionID="a29347074beb70bca29eaea2ad55900a">
  <xsd:schema xmlns:xsd="http://www.w3.org/2001/XMLSchema" xmlns:xs="http://www.w3.org/2001/XMLSchema" xmlns:p="http://schemas.microsoft.com/office/2006/metadata/properties" xmlns:ns1="http://schemas.microsoft.com/sharepoint/v3" xmlns:ns2="621b3311-adc9-44a7-af0e-36067350c19c" xmlns:ns3="99180bc4-2f7d-45e7-9e22-353907fb92c6" xmlns:ns4="f5536f26-5d7e-4d2b-a510-6667eeb1ad7c" xmlns:ns5="ddb5066c-6899-482b-9ea0-5145f9da9989" targetNamespace="http://schemas.microsoft.com/office/2006/metadata/properties" ma:root="true" ma:fieldsID="dd44e1d3607186ede97e4754c9758a79" ns1:_="" ns2:_="" ns3:_="" ns4:_="" ns5:_="">
    <xsd:import namespace="http://schemas.microsoft.com/sharepoint/v3"/>
    <xsd:import namespace="621b3311-adc9-44a7-af0e-36067350c19c"/>
    <xsd:import namespace="99180bc4-2f7d-45e7-9e22-353907fb92c6"/>
    <xsd:import namespace="f5536f26-5d7e-4d2b-a510-6667eeb1ad7c"/>
    <xsd:import namespace="ddb5066c-6899-482b-9ea0-5145f9da9989"/>
    <xsd:element name="properties">
      <xsd:complexType>
        <xsd:sequence>
          <xsd:element name="documentManagement">
            <xsd:complexType>
              <xsd:all>
                <xsd:element ref="ns2:ObjectId" minOccurs="0"/>
                <xsd:element ref="ns2:ItemId" minOccurs="0"/>
                <xsd:element ref="ns2:ItemNumber" minOccurs="0"/>
                <xsd:element ref="ns2:ItemDate" minOccurs="0"/>
                <xsd:element ref="ns2:Filename" minOccurs="0"/>
                <xsd:element ref="ns3:SharedWithUsers" minOccurs="0"/>
                <xsd:element ref="ns3:SharedWithDetails" minOccurs="0"/>
                <xsd:element ref="ns4:MediaServiceMetadata" minOccurs="0"/>
                <xsd:element ref="ns4:MediaServiceFastMetadata" minOccurs="0"/>
                <xsd:element ref="ns4:MediaServiceDateTaken" minOccurs="0"/>
                <xsd:element ref="ns4:MediaServiceAutoTags" minOccurs="0"/>
                <xsd:element ref="ns4:MediaServiceOCR" minOccurs="0"/>
                <xsd:element ref="ns1:_ip_UnifiedCompliancePolicyProperties" minOccurs="0"/>
                <xsd:element ref="ns1:_ip_UnifiedCompliancePolicyUIAction" minOccurs="0"/>
                <xsd:element ref="ns4:MediaServiceGenerationTime" minOccurs="0"/>
                <xsd:element ref="ns4:MediaServiceEventHashCode" minOccurs="0"/>
                <xsd:element ref="ns4:lcf76f155ced4ddcb4097134ff3c332f" minOccurs="0"/>
                <xsd:element ref="ns5:TaxCatchAll"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21b3311-adc9-44a7-af0e-36067350c19c" elementFormDefault="qualified">
    <xsd:import namespace="http://schemas.microsoft.com/office/2006/documentManagement/types"/>
    <xsd:import namespace="http://schemas.microsoft.com/office/infopath/2007/PartnerControls"/>
    <xsd:element name="ObjectId" ma:index="2" nillable="true" ma:displayName="ObjectId" ma:internalName="ObjectId">
      <xsd:simpleType>
        <xsd:restriction base="dms:Text">
          <xsd:maxLength value="255"/>
        </xsd:restriction>
      </xsd:simpleType>
    </xsd:element>
    <xsd:element name="ItemId" ma:index="3" nillable="true" ma:displayName="ItemId" ma:indexed="true" ma:internalName="ItemId">
      <xsd:simpleType>
        <xsd:restriction base="dms:Text">
          <xsd:maxLength value="255"/>
        </xsd:restriction>
      </xsd:simpleType>
    </xsd:element>
    <xsd:element name="ItemNumber" ma:index="4" nillable="true" ma:displayName="ItemNumber" ma:indexed="true" ma:internalName="ItemNumber">
      <xsd:simpleType>
        <xsd:restriction base="dms:Text">
          <xsd:maxLength value="255"/>
        </xsd:restriction>
      </xsd:simpleType>
    </xsd:element>
    <xsd:element name="ItemDate" ma:index="5" nillable="true" ma:displayName="ItemDate" ma:format="DateOnly" ma:indexed="true" ma:internalName="ItemDate">
      <xsd:simpleType>
        <xsd:restriction base="dms:DateTime"/>
      </xsd:simpleType>
    </xsd:element>
    <xsd:element name="Filename" ma:index="6" nillable="true" ma:displayName="Filename" ma:internalName="Filenam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9180bc4-2f7d-45e7-9e22-353907fb92c6" elementFormDefault="qualified">
    <xsd:import namespace="http://schemas.microsoft.com/office/2006/documentManagement/types"/>
    <xsd:import namespace="http://schemas.microsoft.com/office/infopath/2007/PartnerControls"/>
    <xsd:element name="SharedWithUsers" ma:index="15"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5536f26-5d7e-4d2b-a510-6667eeb1ad7c" elementFormDefault="qualified">
    <xsd:import namespace="http://schemas.microsoft.com/office/2006/documentManagement/types"/>
    <xsd:import namespace="http://schemas.microsoft.com/office/infopath/2007/PartnerControls"/>
    <xsd:element name="MediaServiceMetadata" ma:index="17" nillable="true" ma:displayName="MediaServiceMetadata" ma:description="" ma:hidden="true" ma:internalName="MediaServiceMetadata" ma:readOnly="true">
      <xsd:simpleType>
        <xsd:restriction base="dms:Note"/>
      </xsd:simpleType>
    </xsd:element>
    <xsd:element name="MediaServiceFastMetadata" ma:index="18" nillable="true" ma:displayName="MediaServiceFastMetadata" ma:description="" ma:hidden="true" ma:internalName="MediaServiceFastMetadata" ma:readOnly="true">
      <xsd:simpleType>
        <xsd:restriction base="dms:Note"/>
      </xsd:simpleType>
    </xsd:element>
    <xsd:element name="MediaServiceDateTaken" ma:index="19" nillable="true" ma:displayName="MediaServiceDateTaken" ma:hidden="true" ma:internalName="MediaServiceDateTaken" ma:readOnly="true">
      <xsd:simpleType>
        <xsd:restriction base="dms:Text"/>
      </xsd:simpleType>
    </xsd:element>
    <xsd:element name="MediaServiceAutoTags" ma:index="20" nillable="true" ma:displayName="MediaServiceAutoTags" ma:internalName="MediaServiceAutoTags" ma:readOnly="true">
      <xsd:simpleType>
        <xsd:restriction base="dms:Text"/>
      </xsd:simpleType>
    </xsd:element>
    <xsd:element name="MediaServiceOCR" ma:index="21" nillable="true" ma:displayName="MediaServiceOCR" ma:internalName="MediaServiceOCR" ma:readOnly="true">
      <xsd:simpleType>
        <xsd:restriction base="dms:Note">
          <xsd:maxLength value="255"/>
        </xsd:restriction>
      </xsd:simpleType>
    </xsd:element>
    <xsd:element name="MediaServiceGenerationTime" ma:index="24" nillable="true" ma:displayName="MediaServiceGenerationTime" ma:hidden="true" ma:internalName="MediaServiceGenerationTime" ma:readOnly="true">
      <xsd:simpleType>
        <xsd:restriction base="dms:Text"/>
      </xsd:simpleType>
    </xsd:element>
    <xsd:element name="MediaServiceEventHashCode" ma:index="25" nillable="true" ma:displayName="MediaServiceEventHashCode" ma:hidden="true" ma:internalName="MediaServiceEventHashCode" ma:readOnly="true">
      <xsd:simpleType>
        <xsd:restriction base="dms:Text"/>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a2675d46-00a0-495e-b90c-e7abf5d36b7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9"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db5066c-6899-482b-9ea0-5145f9da9989" elementFormDefault="qualified">
    <xsd:import namespace="http://schemas.microsoft.com/office/2006/documentManagement/types"/>
    <xsd:import namespace="http://schemas.microsoft.com/office/infopath/2007/PartnerControls"/>
    <xsd:element name="TaxCatchAll" ma:index="28" nillable="true" ma:displayName="Taxonomy Catch All Column" ma:hidden="true" ma:list="{a6e7e882-9704-4d77-9765-cf8fe4d68a88}" ma:internalName="TaxCatchAll" ma:showField="CatchAllData" ma:web="fe36f78b-f2f5-469e-9861-ee46cd4ffe6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0"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ItemNumber xmlns="621b3311-adc9-44a7-af0e-36067350c19c" xsi:nil="true"/>
    <ItemId xmlns="621b3311-adc9-44a7-af0e-36067350c19c" xsi:nil="true"/>
    <ItemDate xmlns="621b3311-adc9-44a7-af0e-36067350c19c" xsi:nil="true"/>
    <Filename xmlns="621b3311-adc9-44a7-af0e-36067350c19c" xsi:nil="true"/>
    <ObjectId xmlns="621b3311-adc9-44a7-af0e-36067350c19c" xsi:nil="true"/>
    <TaxCatchAll xmlns="ddb5066c-6899-482b-9ea0-5145f9da9989" xsi:nil="true"/>
    <lcf76f155ced4ddcb4097134ff3c332f xmlns="f5536f26-5d7e-4d2b-a510-6667eeb1ad7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9C66958-3A3D-4C8B-946B-86CCF74F77CC}"/>
</file>

<file path=customXml/itemProps2.xml><?xml version="1.0" encoding="utf-8"?>
<ds:datastoreItem xmlns:ds="http://schemas.openxmlformats.org/officeDocument/2006/customXml" ds:itemID="{413E6B13-7510-4ACE-B644-71A91EE6B473}">
  <ds:schemaRefs>
    <ds:schemaRef ds:uri="http://schemas.microsoft.com/office/2006/documentManagement/types"/>
    <ds:schemaRef ds:uri="http://purl.org/dc/dcmitype/"/>
    <ds:schemaRef ds:uri="http://purl.org/dc/elements/1.1/"/>
    <ds:schemaRef ds:uri="http://schemas.microsoft.com/office/2006/metadata/properties"/>
    <ds:schemaRef ds:uri="http://schemas.microsoft.com/sharepoint/v3"/>
    <ds:schemaRef ds:uri="http://purl.org/dc/terms/"/>
    <ds:schemaRef ds:uri="99180bc4-2f7d-45e7-9e22-353907fb92c6"/>
    <ds:schemaRef ds:uri="http://schemas.openxmlformats.org/package/2006/metadata/core-properties"/>
    <ds:schemaRef ds:uri="http://schemas.microsoft.com/office/infopath/2007/PartnerControls"/>
    <ds:schemaRef ds:uri="7558938a-8a22-4524-afb0-58b165029303"/>
    <ds:schemaRef ds:uri="http://www.w3.org/XML/1998/namespace"/>
  </ds:schemaRefs>
</ds:datastoreItem>
</file>

<file path=customXml/itemProps3.xml><?xml version="1.0" encoding="utf-8"?>
<ds:datastoreItem xmlns:ds="http://schemas.openxmlformats.org/officeDocument/2006/customXml" ds:itemID="{9DBF0EBA-C128-4723-9B18-696F4F3C80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Cover Page</vt:lpstr>
      <vt:lpstr>Attch1 P1 VEDN Res (Q1-4,6-7)</vt:lpstr>
      <vt:lpstr>Attch1 P2 VEDN NonRes(Q1-4,6-7)</vt:lpstr>
      <vt:lpstr>Attch 1 P3 VEDS Res (Q1-4,6-7)</vt:lpstr>
      <vt:lpstr>Attch1 P4 VEDS NonRes(Q1-4,6-7)</vt:lpstr>
      <vt:lpstr>Attch 1 P5</vt:lpstr>
      <vt:lpstr>'Attch 1 P5'!Print_Area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2015-07-15T14:01:24Z</dcterms:created>
  <dcterms:modified xsi:type="dcterms:W3CDTF">2022-02-21T13:41:56Z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0x01010017F62C1BAB7D1B4998D0BFFEC59B8AD2</vt:lpwstr>
  </property>
</Properties>
</file>