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bookViews>
    <workbookView xWindow="-120" yWindow="-120" windowWidth="29040" windowHeight="15840"/>
  </bookViews>
  <sheets>
    <sheet name="2018 wo QBI" sheetId="1" r:id="rId1"/>
  </sheets>
  <externalReferences>
    <externalReference r:id="rId2"/>
    <externalReference r:id="rId3"/>
  </externalReferences>
  <definedNames>
    <definedName name="BadDebtRate">[1]Inputs!$C$23</definedName>
    <definedName name="CurrentRate">[1]Inputs!$E$19</definedName>
    <definedName name="DebtService">'[1]NOt USED - Capital Structure'!#REF!</definedName>
    <definedName name="DebtServiceReserve">#REF!</definedName>
    <definedName name="EandR">'[1]Sch 7 - Rate Base'!#REF!</definedName>
    <definedName name="IURCfee">[1]Inputs!#REF!</definedName>
    <definedName name="NetRevenueIncrease">'[2]Sch 1'!#REF!</definedName>
    <definedName name="NOI">'[1]Sch 4'!$R$58</definedName>
    <definedName name="OriginalCostRateBase">'[1]Sch 7 - Rate Base'!$G$33</definedName>
    <definedName name="_xlnm.Print_Area" localSheetId="0">'2018 wo QBI'!$A$1:$M$53</definedName>
    <definedName name="ProformaPresentRateRevenue">'[1]Sch 4'!$L$23</definedName>
    <definedName name="RevenueConversionFactor">'[2]Sch 1'!$F$60</definedName>
    <definedName name="StateTaxRate">[1]Inputs!$C$25</definedName>
    <definedName name="WorkingCapi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J48" i="1" l="1"/>
  <c r="K48" i="1" s="1"/>
  <c r="J47" i="1"/>
  <c r="K47" i="1" s="1"/>
  <c r="J46" i="1"/>
  <c r="K46" i="1" s="1"/>
  <c r="G36" i="1"/>
  <c r="D27" i="1"/>
  <c r="E27" i="1" s="1"/>
  <c r="D26" i="1"/>
  <c r="E26" i="1" s="1"/>
  <c r="F26" i="1" s="1"/>
  <c r="D7" i="1"/>
  <c r="I51" i="1"/>
  <c r="H51" i="1"/>
  <c r="G51" i="1"/>
  <c r="F51" i="1"/>
  <c r="E51" i="1"/>
  <c r="D51" i="1"/>
  <c r="K43" i="1"/>
  <c r="J43" i="1"/>
  <c r="I43" i="1"/>
  <c r="H43" i="1"/>
  <c r="F43" i="1"/>
  <c r="E43" i="1"/>
  <c r="D43" i="1"/>
  <c r="G38" i="1"/>
  <c r="K33" i="1"/>
  <c r="E32" i="1"/>
  <c r="F32" i="1" s="1"/>
  <c r="I31" i="1"/>
  <c r="J31" i="1" s="1"/>
  <c r="H31" i="1"/>
  <c r="G31" i="1"/>
  <c r="I30" i="1"/>
  <c r="J30" i="1" s="1"/>
  <c r="H30" i="1"/>
  <c r="G30" i="1"/>
  <c r="D30" i="1"/>
  <c r="E30" i="1" s="1"/>
  <c r="G29" i="1"/>
  <c r="F29" i="1"/>
  <c r="H29" i="1" s="1"/>
  <c r="I29" i="1" s="1"/>
  <c r="J29" i="1" s="1"/>
  <c r="E29" i="1"/>
  <c r="H28" i="1"/>
  <c r="I28" i="1" s="1"/>
  <c r="F28" i="1"/>
  <c r="Q23" i="1"/>
  <c r="S12" i="1"/>
  <c r="O12" i="1"/>
  <c r="J5" i="1" l="1"/>
  <c r="K5" i="1" s="1"/>
  <c r="I15" i="1"/>
  <c r="E15" i="1"/>
  <c r="G15" i="1"/>
  <c r="G37" i="1" s="1"/>
  <c r="J15" i="1"/>
  <c r="J49" i="1" s="1"/>
  <c r="K49" i="1" s="1"/>
  <c r="K51" i="1" s="1"/>
  <c r="K17" i="1" s="1"/>
  <c r="H15" i="1"/>
  <c r="D15" i="1"/>
  <c r="D28" i="1" s="1"/>
  <c r="E28" i="1" s="1"/>
  <c r="K15" i="1"/>
  <c r="F15" i="1"/>
  <c r="F27" i="1" s="1"/>
  <c r="H27" i="1" s="1"/>
  <c r="I27" i="1" s="1"/>
  <c r="R3" i="1"/>
  <c r="H32" i="1"/>
  <c r="I32" i="1" s="1"/>
  <c r="J32" i="1" s="1"/>
  <c r="G32" i="1"/>
  <c r="G33" i="1"/>
  <c r="H26" i="1"/>
  <c r="J33" i="1"/>
  <c r="D31" i="1" l="1"/>
  <c r="E31" i="1" s="1"/>
  <c r="E33" i="1" s="1"/>
  <c r="E17" i="1" s="1"/>
  <c r="E19" i="1" s="1"/>
  <c r="F33" i="1"/>
  <c r="F17" i="1" s="1"/>
  <c r="F19" i="1" s="1"/>
  <c r="L15" i="1"/>
  <c r="K19" i="1"/>
  <c r="R4" i="1"/>
  <c r="R5" i="1" s="1"/>
  <c r="J51" i="1"/>
  <c r="J17" i="1" s="1"/>
  <c r="J19" i="1" s="1"/>
  <c r="D33" i="1"/>
  <c r="I26" i="1"/>
  <c r="I33" i="1" s="1"/>
  <c r="I17" i="1" s="1"/>
  <c r="I19" i="1" s="1"/>
  <c r="H33" i="1"/>
  <c r="H17" i="1" s="1"/>
  <c r="H19" i="1" s="1"/>
  <c r="G39" i="1"/>
  <c r="R9" i="1" l="1"/>
  <c r="S9" i="1" s="1"/>
  <c r="S13" i="1" s="1"/>
  <c r="R12" i="1"/>
  <c r="R14" i="1" s="1"/>
  <c r="D17" i="1"/>
  <c r="G43" i="1"/>
  <c r="G17" i="1" l="1"/>
  <c r="G19" i="1" s="1"/>
  <c r="D19" i="1"/>
  <c r="L17" i="1" l="1"/>
  <c r="L19" i="1" s="1"/>
  <c r="J6" i="1" s="1"/>
  <c r="N17" i="1" l="1"/>
  <c r="N18" i="1" s="1"/>
  <c r="L26" i="1"/>
  <c r="K6" i="1"/>
  <c r="L23" i="1"/>
  <c r="J7" i="1" l="1"/>
  <c r="K7" i="1" s="1"/>
  <c r="J9" i="1" l="1"/>
</calcChain>
</file>

<file path=xl/sharedStrings.xml><?xml version="1.0" encoding="utf-8"?>
<sst xmlns="http://schemas.openxmlformats.org/spreadsheetml/2006/main" count="67" uniqueCount="62">
  <si>
    <t>Actual filing status from 2018 tax return&gt;&gt;&gt;&gt;</t>
  </si>
  <si>
    <t>MFJ</t>
  </si>
  <si>
    <t>HOH</t>
  </si>
  <si>
    <t>Trust</t>
  </si>
  <si>
    <t>Allocated income %'s &gt;&gt;&gt;&gt;</t>
  </si>
  <si>
    <t>Shareholder 1</t>
  </si>
  <si>
    <t>Shareholder 2</t>
  </si>
  <si>
    <t>Shareholder 3</t>
  </si>
  <si>
    <t>Shareholder 4</t>
  </si>
  <si>
    <t>Shareholder 5</t>
  </si>
  <si>
    <t>Shareholder 6</t>
  </si>
  <si>
    <t>Shareholder 7</t>
  </si>
  <si>
    <t>Shareholder 8</t>
  </si>
  <si>
    <t>Total - All Shareholders</t>
  </si>
  <si>
    <t>Pro forma net utility operating income before income tax</t>
  </si>
  <si>
    <t>i</t>
  </si>
  <si>
    <t>Calculated federal tax using 2014 applicable tax rates</t>
  </si>
  <si>
    <t>ii</t>
  </si>
  <si>
    <t>ii / i</t>
  </si>
  <si>
    <t xml:space="preserve">Calculated federal rate </t>
  </si>
  <si>
    <t xml:space="preserve">Individual Tax Rate </t>
  </si>
  <si>
    <t>County Tax Rate</t>
  </si>
  <si>
    <t>Hamilton County</t>
  </si>
  <si>
    <t>Federal 2018 Tax Rates - Married filing joint</t>
  </si>
  <si>
    <t xml:space="preserve">Federal 2018 Tax Rates - Heads of households </t>
  </si>
  <si>
    <t>Federal 2018 Tax Rates - Trusts</t>
  </si>
  <si>
    <t>HSE Federal and State Tax Rate Used in Determining Income Tax Allowance</t>
  </si>
  <si>
    <t>Less: 20% QBI Deduction</t>
  </si>
  <si>
    <t>$400,000 to $600,000  - 35% tax rate</t>
  </si>
  <si>
    <t>$200,000 to $500,000  - 35% tax rate</t>
  </si>
  <si>
    <t>$500,000 and up          - 37% tax rate</t>
  </si>
  <si>
    <t>$157,500 to $200,000  - 32% tax rate</t>
  </si>
  <si>
    <t>$82,500 to $157,500   - 24% tax rate</t>
  </si>
  <si>
    <t>$51,800 to $82,500     - 22% tax rate</t>
  </si>
  <si>
    <t>$13,600 to $51,800     - 12%  tax rate</t>
  </si>
  <si>
    <t>$0 to $13,600              - 10% tax rate</t>
  </si>
  <si>
    <t>$600,000 and up          - 37% tax rate</t>
  </si>
  <si>
    <t>$315,000 to $400,000  - 32% tax rate</t>
  </si>
  <si>
    <t>$165,000 to $315,000  - 24% tax rate</t>
  </si>
  <si>
    <t>$77,400 to $165,000   - 22% tax rate</t>
  </si>
  <si>
    <t>$19,050 to $77,400     - 12%  tax rate</t>
  </si>
  <si>
    <t>$0 to $19,050              - 10% tax rate</t>
  </si>
  <si>
    <t>$2,550 to $9,150    - 24%  tax rate</t>
  </si>
  <si>
    <t>$9,150 to $12,500  - 35% tax rate</t>
  </si>
  <si>
    <t>$0 to $2,550           - 10% tax rate</t>
  </si>
  <si>
    <t>Federal Income Tax Rate</t>
  </si>
  <si>
    <t xml:space="preserve">State Income Tax Rate </t>
  </si>
  <si>
    <t>$12,500 and up       - 37% tax rate</t>
  </si>
  <si>
    <t>State Income Tax Expense</t>
  </si>
  <si>
    <t>Federal Income Tax Expense</t>
  </si>
  <si>
    <t>Total Income Tax Expense</t>
  </si>
  <si>
    <t>Could this amount have been transposed by the Commission as 23.45%</t>
  </si>
  <si>
    <t>Less: Current Embedded Income Tax Expense</t>
  </si>
  <si>
    <t>Income Tax Expense Reduction</t>
  </si>
  <si>
    <t>Calculated Based on S corporation Filing Status Using Respective 2018 Tax Rates including QBI deduction</t>
  </si>
  <si>
    <t>Stated Combined Income Tax Rate</t>
  </si>
  <si>
    <t>Taxable Income</t>
  </si>
  <si>
    <t>Proposed Net Income Before Income Tax Expense</t>
  </si>
  <si>
    <t>Effective Tax Rate</t>
  </si>
  <si>
    <t>Attachment MAS-8</t>
  </si>
  <si>
    <t>Cause No. 45032-S16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</si>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</sst>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00000000000%"/>
    <numFmt numFmtId="168" formatCode="0.0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b/>
      <u/>
      <sz val="16"/>
      <name val="Times New Roman"/>
      <family val="1"/>
    </font>
    <font>
      <b/>
      <i/>
      <u/>
      <sz val="14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3" fillId="0" borderId="0" xfId="1" applyNumberFormat="1" applyFont="1" applyBorder="1"/>
    <xf numFmtId="0" fontId="4" fillId="0" borderId="0" xfId="0" applyFont="1"/>
    <xf numFmtId="10" fontId="3" fillId="0" borderId="0" xfId="3" applyNumberFormat="1" applyFont="1" applyBorder="1"/>
    <xf numFmtId="43" fontId="3" fillId="0" borderId="0" xfId="1" applyFont="1" applyBorder="1"/>
    <xf numFmtId="43" fontId="3" fillId="0" borderId="0" xfId="1" applyFont="1"/>
    <xf numFmtId="0" fontId="3" fillId="0" borderId="0" xfId="0" applyFont="1"/>
    <xf numFmtId="164" fontId="3" fillId="0" borderId="0" xfId="1" applyNumberFormat="1" applyFont="1" applyFill="1" applyBorder="1"/>
    <xf numFmtId="164" fontId="3" fillId="0" borderId="0" xfId="1" applyNumberFormat="1" applyFont="1"/>
    <xf numFmtId="43" fontId="3" fillId="0" borderId="0" xfId="0" applyNumberFormat="1" applyFont="1" applyAlignment="1">
      <alignment wrapText="1"/>
    </xf>
    <xf numFmtId="10" fontId="3" fillId="0" borderId="0" xfId="3" applyNumberFormat="1" applyFont="1" applyFill="1" applyBorder="1"/>
    <xf numFmtId="0" fontId="5" fillId="0" borderId="0" xfId="0" applyFont="1" applyAlignment="1">
      <alignment horizontal="left" wrapText="1"/>
    </xf>
    <xf numFmtId="43" fontId="3" fillId="0" borderId="0" xfId="1" applyFont="1" applyAlignment="1">
      <alignment horizontal="left"/>
    </xf>
    <xf numFmtId="165" fontId="3" fillId="0" borderId="0" xfId="2" applyNumberFormat="1" applyFont="1"/>
    <xf numFmtId="165" fontId="3" fillId="0" borderId="0" xfId="2" applyNumberFormat="1" applyFont="1" applyFill="1" applyBorder="1"/>
    <xf numFmtId="164" fontId="3" fillId="0" borderId="0" xfId="1" applyNumberFormat="1" applyFont="1" applyBorder="1" applyAlignment="1">
      <alignment horizontal="left" wrapText="1"/>
    </xf>
    <xf numFmtId="0" fontId="3" fillId="0" borderId="0" xfId="0" applyFont="1" applyBorder="1"/>
    <xf numFmtId="165" fontId="3" fillId="0" borderId="6" xfId="2" applyNumberFormat="1" applyFont="1" applyBorder="1" applyAlignment="1">
      <alignment horizontal="left" wrapText="1"/>
    </xf>
    <xf numFmtId="165" fontId="3" fillId="0" borderId="0" xfId="2" applyNumberFormat="1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43" fontId="3" fillId="0" borderId="0" xfId="0" applyNumberFormat="1" applyFont="1" applyAlignment="1">
      <alignment horizontal="left" wrapText="1"/>
    </xf>
    <xf numFmtId="0" fontId="3" fillId="0" borderId="0" xfId="0" applyFont="1" applyAlignment="1"/>
    <xf numFmtId="165" fontId="3" fillId="0" borderId="1" xfId="2" applyNumberFormat="1" applyFont="1" applyBorder="1"/>
    <xf numFmtId="165" fontId="3" fillId="0" borderId="0" xfId="2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1" applyNumberFormat="1" applyFont="1" applyBorder="1" applyAlignment="1">
      <alignment horizontal="right"/>
    </xf>
    <xf numFmtId="10" fontId="3" fillId="0" borderId="0" xfId="3" applyNumberFormat="1" applyFont="1"/>
    <xf numFmtId="164" fontId="3" fillId="0" borderId="0" xfId="1" applyNumberFormat="1" applyFont="1" applyAlignment="1">
      <alignment horizontal="right"/>
    </xf>
    <xf numFmtId="43" fontId="3" fillId="0" borderId="0" xfId="1" applyFont="1" applyAlignment="1">
      <alignment horizontal="right"/>
    </xf>
    <xf numFmtId="167" fontId="3" fillId="0" borderId="0" xfId="0" applyNumberFormat="1" applyFont="1"/>
    <xf numFmtId="10" fontId="3" fillId="0" borderId="0" xfId="1" applyNumberFormat="1" applyFont="1"/>
    <xf numFmtId="0" fontId="8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/>
    <xf numFmtId="43" fontId="3" fillId="0" borderId="8" xfId="1" applyFont="1" applyBorder="1"/>
    <xf numFmtId="43" fontId="3" fillId="0" borderId="9" xfId="1" applyFont="1" applyBorder="1"/>
    <xf numFmtId="0" fontId="3" fillId="0" borderId="10" xfId="0" applyFont="1" applyBorder="1" applyAlignment="1">
      <alignment horizontal="left"/>
    </xf>
    <xf numFmtId="165" fontId="3" fillId="0" borderId="11" xfId="2" applyNumberFormat="1" applyFont="1" applyBorder="1"/>
    <xf numFmtId="9" fontId="3" fillId="0" borderId="0" xfId="1" applyNumberFormat="1" applyFont="1"/>
    <xf numFmtId="164" fontId="3" fillId="0" borderId="11" xfId="1" applyNumberFormat="1" applyFont="1" applyBorder="1"/>
    <xf numFmtId="10" fontId="7" fillId="0" borderId="0" xfId="3" applyNumberFormat="1" applyFont="1"/>
    <xf numFmtId="43" fontId="4" fillId="0" borderId="0" xfId="1" applyFont="1"/>
    <xf numFmtId="0" fontId="3" fillId="0" borderId="10" xfId="0" applyFont="1" applyBorder="1"/>
    <xf numFmtId="165" fontId="3" fillId="0" borderId="6" xfId="2" applyNumberFormat="1" applyFont="1" applyBorder="1"/>
    <xf numFmtId="165" fontId="3" fillId="0" borderId="12" xfId="2" applyNumberFormat="1" applyFont="1" applyBorder="1"/>
    <xf numFmtId="0" fontId="8" fillId="0" borderId="10" xfId="0" applyFont="1" applyBorder="1" applyAlignment="1">
      <alignment horizontal="left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3" fontId="4" fillId="0" borderId="0" xfId="0" applyNumberFormat="1" applyFont="1"/>
    <xf numFmtId="0" fontId="9" fillId="0" borderId="0" xfId="0" applyFont="1"/>
    <xf numFmtId="0" fontId="10" fillId="0" borderId="0" xfId="0" applyFont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right"/>
    </xf>
    <xf numFmtId="164" fontId="6" fillId="2" borderId="3" xfId="1" applyNumberFormat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horizontal="center"/>
    </xf>
    <xf numFmtId="0" fontId="6" fillId="2" borderId="3" xfId="0" applyFont="1" applyFill="1" applyBorder="1"/>
    <xf numFmtId="10" fontId="6" fillId="2" borderId="3" xfId="3" applyNumberFormat="1" applyFont="1" applyFill="1" applyBorder="1" applyAlignment="1">
      <alignment horizontal="center"/>
    </xf>
    <xf numFmtId="10" fontId="6" fillId="2" borderId="4" xfId="3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165" fontId="4" fillId="0" borderId="0" xfId="0" applyNumberFormat="1" applyFont="1"/>
    <xf numFmtId="10" fontId="11" fillId="0" borderId="0" xfId="3" applyNumberFormat="1" applyFont="1" applyFill="1" applyBorder="1" applyAlignment="1">
      <alignment horizontal="center"/>
    </xf>
    <xf numFmtId="164" fontId="3" fillId="0" borderId="16" xfId="1" applyNumberFormat="1" applyFont="1" applyFill="1" applyBorder="1"/>
    <xf numFmtId="0" fontId="6" fillId="2" borderId="17" xfId="0" applyFont="1" applyFill="1" applyBorder="1" applyAlignment="1">
      <alignment horizontal="center" wrapText="1"/>
    </xf>
    <xf numFmtId="165" fontId="6" fillId="2" borderId="18" xfId="2" applyNumberFormat="1" applyFont="1" applyFill="1" applyBorder="1"/>
    <xf numFmtId="165" fontId="7" fillId="2" borderId="19" xfId="2" applyNumberFormat="1" applyFont="1" applyFill="1" applyBorder="1"/>
    <xf numFmtId="0" fontId="6" fillId="2" borderId="19" xfId="0" applyFont="1" applyFill="1" applyBorder="1"/>
    <xf numFmtId="10" fontId="7" fillId="2" borderId="19" xfId="3" applyNumberFormat="1" applyFont="1" applyFill="1" applyBorder="1"/>
    <xf numFmtId="166" fontId="7" fillId="2" borderId="19" xfId="3" applyNumberFormat="1" applyFont="1" applyFill="1" applyBorder="1"/>
    <xf numFmtId="10" fontId="7" fillId="2" borderId="20" xfId="3" applyNumberFormat="1" applyFont="1" applyFill="1" applyBorder="1" applyAlignment="1">
      <alignment horizontal="right"/>
    </xf>
    <xf numFmtId="10" fontId="7" fillId="2" borderId="21" xfId="3" applyNumberFormat="1" applyFont="1" applyFill="1" applyBorder="1" applyAlignment="1">
      <alignment horizontal="right"/>
    </xf>
    <xf numFmtId="168" fontId="3" fillId="0" borderId="0" xfId="3" applyNumberFormat="1" applyFont="1"/>
    <xf numFmtId="168" fontId="3" fillId="0" borderId="0" xfId="0" applyNumberFormat="1" applyFont="1"/>
    <xf numFmtId="10" fontId="4" fillId="0" borderId="0" xfId="1" applyNumberFormat="1" applyFont="1"/>
    <xf numFmtId="10" fontId="11" fillId="0" borderId="0" xfId="3" applyNumberFormat="1" applyFont="1" applyFill="1" applyBorder="1"/>
    <xf numFmtId="164" fontId="12" fillId="0" borderId="5" xfId="1" applyNumberFormat="1" applyFont="1" applyFill="1" applyBorder="1" applyAlignment="1">
      <alignment horizontal="center"/>
    </xf>
    <xf numFmtId="0" fontId="3" fillId="0" borderId="0" xfId="1" applyNumberFormat="1" applyFont="1" applyAlignment="1">
      <alignment horizontal="left"/>
    </xf>
    <xf numFmtId="164" fontId="11" fillId="0" borderId="0" xfId="1" applyNumberFormat="1" applyFont="1" applyBorder="1" applyAlignment="1"/>
    <xf numFmtId="0" fontId="3" fillId="0" borderId="0" xfId="1" applyNumberFormat="1" applyFont="1" applyFill="1"/>
    <xf numFmtId="0" fontId="3" fillId="0" borderId="0" xfId="1" applyNumberFormat="1" applyFont="1" applyBorder="1"/>
    <xf numFmtId="10" fontId="6" fillId="0" borderId="0" xfId="3" applyNumberFormat="1" applyFont="1" applyBorder="1" applyAlignment="1">
      <alignment horizontal="right"/>
    </xf>
    <xf numFmtId="43" fontId="13" fillId="0" borderId="10" xfId="1" applyFont="1" applyBorder="1" applyAlignment="1">
      <alignment wrapText="1"/>
    </xf>
    <xf numFmtId="43" fontId="13" fillId="0" borderId="0" xfId="1" applyFont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702880</xdr:colOff>
      <xdr:row>0</xdr:row>
      <xdr:rowOff>91966</xdr:rowOff>
    </xdr:from>
    <xdr:to>
      <xdr:col>9</xdr:col>
      <xdr:colOff>758393</xdr:colOff>
      <xdr:row>3</xdr:row>
      <xdr:rowOff>217214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173" y="91966"/>
          <a:ext cx="1868548" cy="8675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gov.sharepoint.com/Water/Utility/HSE%20(IOU)/44683%20-%20Rate%20Case/OUCC%20Schedules/44683%20OUCC%20Schedu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gov.sharepoint.com/Water/Utility/HSE%20(IOU)/45032-S16%20-%20Tax%20Investigation/Subdocket%20S16/Margaret's%20Files/Attachment%201-12%20(ABM-1)%20Stull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Macros"/>
      <sheetName val="Sch 1"/>
      <sheetName val="Sch 2 - BS"/>
      <sheetName val="Sch 3 - IS"/>
      <sheetName val="Sch 4"/>
      <sheetName val="Sch 5 - Inc Adj"/>
      <sheetName val="Sch 6 - Exp Adj"/>
      <sheetName val="Sch 7 - Rate Base"/>
      <sheetName val="Sch 8 - Tariff"/>
      <sheetName val="Comparative Trial Balance"/>
      <sheetName val="IS TB"/>
      <sheetName val="Payroll Analysis"/>
      <sheetName val="Analysis of Employee Benefits"/>
      <sheetName val="Revenue Analysis"/>
      <sheetName val="Rental Income Analysis"/>
      <sheetName val="Analysis of Purchased Sewer"/>
      <sheetName val="Property Tax Analysis"/>
      <sheetName val="Property Tax Detail"/>
      <sheetName val="NOt USED - Capital Structure"/>
    </sheetNames>
    <sheetDataSet>
      <sheetData sheetId="0">
        <row r="5">
          <cell r="C5" t="str">
            <v xml:space="preserve">HAMILTON SOUTHEASTERN UTILITIES, INC. </v>
          </cell>
        </row>
        <row r="19">
          <cell r="E19">
            <v>34.630000000000003</v>
          </cell>
        </row>
        <row r="23">
          <cell r="C23">
            <v>2.5999999999999999E-3</v>
          </cell>
        </row>
        <row r="25">
          <cell r="C25">
            <v>6.5000000000000002E-2</v>
          </cell>
        </row>
      </sheetData>
      <sheetData sheetId="1" refreshError="1"/>
      <sheetData sheetId="2"/>
      <sheetData sheetId="3" refreshError="1"/>
      <sheetData sheetId="4" refreshError="1"/>
      <sheetData sheetId="5">
        <row r="15">
          <cell r="H15">
            <v>685804</v>
          </cell>
        </row>
        <row r="23">
          <cell r="L23">
            <v>12005014</v>
          </cell>
        </row>
        <row r="58">
          <cell r="R58" t="e">
            <v>#VALUE!</v>
          </cell>
        </row>
      </sheetData>
      <sheetData sheetId="6" refreshError="1"/>
      <sheetData sheetId="7" refreshError="1"/>
      <sheetData sheetId="8">
        <row r="33">
          <cell r="G33">
            <v>5833134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14 Rates"/>
      <sheetName val="2014 Alternate"/>
      <sheetName val="2018 Alternate"/>
      <sheetName val="2018 Alternate (2)"/>
      <sheetName val="2018 Rates"/>
      <sheetName val="2018 Taxes - with 20% Excl"/>
      <sheetName val="Reverse South Georgia"/>
      <sheetName val="Tax Rate Comparison"/>
      <sheetName val="Sheet3"/>
      <sheetName val="Sch 1"/>
      <sheetName val="Tariff Analysis"/>
      <sheetName val="2014 Alternate (2)"/>
      <sheetName val="2018 Alternate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0">
          <cell r="F60">
            <v>1.0179579999999999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53"/>
  <sheetViews>
    <sheetView tabSelected="1" view="pageBreakPreview" topLeftCell="C1" zoomScale="145" zoomScaleNormal="175" zoomScaleSheetLayoutView="145" workbookViewId="0">
      <selection activeCell="I2" sqref="I2"/>
    </sheetView>
  </sheetViews>
  <sheetFormatPr defaultRowHeight="15.75" x14ac:dyDescent="0.25"/>
  <cols>
    <col min="1" max="1" width="3.140625" style="8" customWidth="1"/>
    <col min="2" max="2" width="50.140625" style="8" customWidth="1"/>
    <col min="3" max="3" width="6.28515625" style="8" customWidth="1"/>
    <col min="4" max="11" width="13.5703125" style="8" customWidth="1"/>
    <col min="12" max="12" width="16.7109375" style="4" customWidth="1"/>
    <col min="13" max="13" width="6" style="8" bestFit="1" customWidth="1"/>
    <col min="14" max="14" width="26.28515625" style="8" bestFit="1" customWidth="1"/>
    <col min="15" max="15" width="14.85546875" style="8" bestFit="1" customWidth="1"/>
    <col min="16" max="16" width="9.42578125" style="8" bestFit="1" customWidth="1"/>
    <col min="17" max="17" width="9.140625" style="8"/>
    <col min="18" max="18" width="19.28515625" style="8" bestFit="1" customWidth="1"/>
    <col min="19" max="19" width="13.7109375" style="8" customWidth="1"/>
    <col min="20" max="256" width="9.140625" style="8"/>
    <col min="257" max="257" width="3.140625" style="8" customWidth="1"/>
    <col min="258" max="258" width="56.140625" style="8" customWidth="1"/>
    <col min="259" max="259" width="22.5703125" style="8" customWidth="1"/>
    <col min="260" max="266" width="15.42578125" style="8" customWidth="1"/>
    <col min="267" max="267" width="16.85546875" style="8" customWidth="1"/>
    <col min="268" max="268" width="12.42578125" style="8" bestFit="1" customWidth="1"/>
    <col min="269" max="269" width="15.5703125" style="8" bestFit="1" customWidth="1"/>
    <col min="270" max="270" width="9" style="8" bestFit="1" customWidth="1"/>
    <col min="271" max="271" width="14.85546875" style="8" bestFit="1" customWidth="1"/>
    <col min="272" max="272" width="9.42578125" style="8" bestFit="1" customWidth="1"/>
    <col min="273" max="512" width="9.140625" style="8"/>
    <col min="513" max="513" width="3.140625" style="8" customWidth="1"/>
    <col min="514" max="514" width="56.140625" style="8" customWidth="1"/>
    <col min="515" max="515" width="22.5703125" style="8" customWidth="1"/>
    <col min="516" max="522" width="15.42578125" style="8" customWidth="1"/>
    <col min="523" max="523" width="16.85546875" style="8" customWidth="1"/>
    <col min="524" max="524" width="12.42578125" style="8" bestFit="1" customWidth="1"/>
    <col min="525" max="525" width="15.5703125" style="8" bestFit="1" customWidth="1"/>
    <col min="526" max="526" width="9" style="8" bestFit="1" customWidth="1"/>
    <col min="527" max="527" width="14.85546875" style="8" bestFit="1" customWidth="1"/>
    <col min="528" max="528" width="9.42578125" style="8" bestFit="1" customWidth="1"/>
    <col min="529" max="768" width="9.140625" style="8"/>
    <col min="769" max="769" width="3.140625" style="8" customWidth="1"/>
    <col min="770" max="770" width="56.140625" style="8" customWidth="1"/>
    <col min="771" max="771" width="22.5703125" style="8" customWidth="1"/>
    <col min="772" max="778" width="15.42578125" style="8" customWidth="1"/>
    <col min="779" max="779" width="16.85546875" style="8" customWidth="1"/>
    <col min="780" max="780" width="12.42578125" style="8" bestFit="1" customWidth="1"/>
    <col min="781" max="781" width="15.5703125" style="8" bestFit="1" customWidth="1"/>
    <col min="782" max="782" width="9" style="8" bestFit="1" customWidth="1"/>
    <col min="783" max="783" width="14.85546875" style="8" bestFit="1" customWidth="1"/>
    <col min="784" max="784" width="9.42578125" style="8" bestFit="1" customWidth="1"/>
    <col min="785" max="1024" width="9.140625" style="8"/>
    <col min="1025" max="1025" width="3.140625" style="8" customWidth="1"/>
    <col min="1026" max="1026" width="56.140625" style="8" customWidth="1"/>
    <col min="1027" max="1027" width="22.5703125" style="8" customWidth="1"/>
    <col min="1028" max="1034" width="15.42578125" style="8" customWidth="1"/>
    <col min="1035" max="1035" width="16.85546875" style="8" customWidth="1"/>
    <col min="1036" max="1036" width="12.42578125" style="8" bestFit="1" customWidth="1"/>
    <col min="1037" max="1037" width="15.5703125" style="8" bestFit="1" customWidth="1"/>
    <col min="1038" max="1038" width="9" style="8" bestFit="1" customWidth="1"/>
    <col min="1039" max="1039" width="14.85546875" style="8" bestFit="1" customWidth="1"/>
    <col min="1040" max="1040" width="9.42578125" style="8" bestFit="1" customWidth="1"/>
    <col min="1041" max="1280" width="9.140625" style="8"/>
    <col min="1281" max="1281" width="3.140625" style="8" customWidth="1"/>
    <col min="1282" max="1282" width="56.140625" style="8" customWidth="1"/>
    <col min="1283" max="1283" width="22.5703125" style="8" customWidth="1"/>
    <col min="1284" max="1290" width="15.42578125" style="8" customWidth="1"/>
    <col min="1291" max="1291" width="16.85546875" style="8" customWidth="1"/>
    <col min="1292" max="1292" width="12.42578125" style="8" bestFit="1" customWidth="1"/>
    <col min="1293" max="1293" width="15.5703125" style="8" bestFit="1" customWidth="1"/>
    <col min="1294" max="1294" width="9" style="8" bestFit="1" customWidth="1"/>
    <col min="1295" max="1295" width="14.85546875" style="8" bestFit="1" customWidth="1"/>
    <col min="1296" max="1296" width="9.42578125" style="8" bestFit="1" customWidth="1"/>
    <col min="1297" max="1536" width="9.140625" style="8"/>
    <col min="1537" max="1537" width="3.140625" style="8" customWidth="1"/>
    <col min="1538" max="1538" width="56.140625" style="8" customWidth="1"/>
    <col min="1539" max="1539" width="22.5703125" style="8" customWidth="1"/>
    <col min="1540" max="1546" width="15.42578125" style="8" customWidth="1"/>
    <col min="1547" max="1547" width="16.85546875" style="8" customWidth="1"/>
    <col min="1548" max="1548" width="12.42578125" style="8" bestFit="1" customWidth="1"/>
    <col min="1549" max="1549" width="15.5703125" style="8" bestFit="1" customWidth="1"/>
    <col min="1550" max="1550" width="9" style="8" bestFit="1" customWidth="1"/>
    <col min="1551" max="1551" width="14.85546875" style="8" bestFit="1" customWidth="1"/>
    <col min="1552" max="1552" width="9.42578125" style="8" bestFit="1" customWidth="1"/>
    <col min="1553" max="1792" width="9.140625" style="8"/>
    <col min="1793" max="1793" width="3.140625" style="8" customWidth="1"/>
    <col min="1794" max="1794" width="56.140625" style="8" customWidth="1"/>
    <col min="1795" max="1795" width="22.5703125" style="8" customWidth="1"/>
    <col min="1796" max="1802" width="15.42578125" style="8" customWidth="1"/>
    <col min="1803" max="1803" width="16.85546875" style="8" customWidth="1"/>
    <col min="1804" max="1804" width="12.42578125" style="8" bestFit="1" customWidth="1"/>
    <col min="1805" max="1805" width="15.5703125" style="8" bestFit="1" customWidth="1"/>
    <col min="1806" max="1806" width="9" style="8" bestFit="1" customWidth="1"/>
    <col min="1807" max="1807" width="14.85546875" style="8" bestFit="1" customWidth="1"/>
    <col min="1808" max="1808" width="9.42578125" style="8" bestFit="1" customWidth="1"/>
    <col min="1809" max="2048" width="9.140625" style="8"/>
    <col min="2049" max="2049" width="3.140625" style="8" customWidth="1"/>
    <col min="2050" max="2050" width="56.140625" style="8" customWidth="1"/>
    <col min="2051" max="2051" width="22.5703125" style="8" customWidth="1"/>
    <col min="2052" max="2058" width="15.42578125" style="8" customWidth="1"/>
    <col min="2059" max="2059" width="16.85546875" style="8" customWidth="1"/>
    <col min="2060" max="2060" width="12.42578125" style="8" bestFit="1" customWidth="1"/>
    <col min="2061" max="2061" width="15.5703125" style="8" bestFit="1" customWidth="1"/>
    <col min="2062" max="2062" width="9" style="8" bestFit="1" customWidth="1"/>
    <col min="2063" max="2063" width="14.85546875" style="8" bestFit="1" customWidth="1"/>
    <col min="2064" max="2064" width="9.42578125" style="8" bestFit="1" customWidth="1"/>
    <col min="2065" max="2304" width="9.140625" style="8"/>
    <col min="2305" max="2305" width="3.140625" style="8" customWidth="1"/>
    <col min="2306" max="2306" width="56.140625" style="8" customWidth="1"/>
    <col min="2307" max="2307" width="22.5703125" style="8" customWidth="1"/>
    <col min="2308" max="2314" width="15.42578125" style="8" customWidth="1"/>
    <col min="2315" max="2315" width="16.85546875" style="8" customWidth="1"/>
    <col min="2316" max="2316" width="12.42578125" style="8" bestFit="1" customWidth="1"/>
    <col min="2317" max="2317" width="15.5703125" style="8" bestFit="1" customWidth="1"/>
    <col min="2318" max="2318" width="9" style="8" bestFit="1" customWidth="1"/>
    <col min="2319" max="2319" width="14.85546875" style="8" bestFit="1" customWidth="1"/>
    <col min="2320" max="2320" width="9.42578125" style="8" bestFit="1" customWidth="1"/>
    <col min="2321" max="2560" width="9.140625" style="8"/>
    <col min="2561" max="2561" width="3.140625" style="8" customWidth="1"/>
    <col min="2562" max="2562" width="56.140625" style="8" customWidth="1"/>
    <col min="2563" max="2563" width="22.5703125" style="8" customWidth="1"/>
    <col min="2564" max="2570" width="15.42578125" style="8" customWidth="1"/>
    <col min="2571" max="2571" width="16.85546875" style="8" customWidth="1"/>
    <col min="2572" max="2572" width="12.42578125" style="8" bestFit="1" customWidth="1"/>
    <col min="2573" max="2573" width="15.5703125" style="8" bestFit="1" customWidth="1"/>
    <col min="2574" max="2574" width="9" style="8" bestFit="1" customWidth="1"/>
    <col min="2575" max="2575" width="14.85546875" style="8" bestFit="1" customWidth="1"/>
    <col min="2576" max="2576" width="9.42578125" style="8" bestFit="1" customWidth="1"/>
    <col min="2577" max="2816" width="9.140625" style="8"/>
    <col min="2817" max="2817" width="3.140625" style="8" customWidth="1"/>
    <col min="2818" max="2818" width="56.140625" style="8" customWidth="1"/>
    <col min="2819" max="2819" width="22.5703125" style="8" customWidth="1"/>
    <col min="2820" max="2826" width="15.42578125" style="8" customWidth="1"/>
    <col min="2827" max="2827" width="16.85546875" style="8" customWidth="1"/>
    <col min="2828" max="2828" width="12.42578125" style="8" bestFit="1" customWidth="1"/>
    <col min="2829" max="2829" width="15.5703125" style="8" bestFit="1" customWidth="1"/>
    <col min="2830" max="2830" width="9" style="8" bestFit="1" customWidth="1"/>
    <col min="2831" max="2831" width="14.85546875" style="8" bestFit="1" customWidth="1"/>
    <col min="2832" max="2832" width="9.42578125" style="8" bestFit="1" customWidth="1"/>
    <col min="2833" max="3072" width="9.140625" style="8"/>
    <col min="3073" max="3073" width="3.140625" style="8" customWidth="1"/>
    <col min="3074" max="3074" width="56.140625" style="8" customWidth="1"/>
    <col min="3075" max="3075" width="22.5703125" style="8" customWidth="1"/>
    <col min="3076" max="3082" width="15.42578125" style="8" customWidth="1"/>
    <col min="3083" max="3083" width="16.85546875" style="8" customWidth="1"/>
    <col min="3084" max="3084" width="12.42578125" style="8" bestFit="1" customWidth="1"/>
    <col min="3085" max="3085" width="15.5703125" style="8" bestFit="1" customWidth="1"/>
    <col min="3086" max="3086" width="9" style="8" bestFit="1" customWidth="1"/>
    <col min="3087" max="3087" width="14.85546875" style="8" bestFit="1" customWidth="1"/>
    <col min="3088" max="3088" width="9.42578125" style="8" bestFit="1" customWidth="1"/>
    <col min="3089" max="3328" width="9.140625" style="8"/>
    <col min="3329" max="3329" width="3.140625" style="8" customWidth="1"/>
    <col min="3330" max="3330" width="56.140625" style="8" customWidth="1"/>
    <col min="3331" max="3331" width="22.5703125" style="8" customWidth="1"/>
    <col min="3332" max="3338" width="15.42578125" style="8" customWidth="1"/>
    <col min="3339" max="3339" width="16.85546875" style="8" customWidth="1"/>
    <col min="3340" max="3340" width="12.42578125" style="8" bestFit="1" customWidth="1"/>
    <col min="3341" max="3341" width="15.5703125" style="8" bestFit="1" customWidth="1"/>
    <col min="3342" max="3342" width="9" style="8" bestFit="1" customWidth="1"/>
    <col min="3343" max="3343" width="14.85546875" style="8" bestFit="1" customWidth="1"/>
    <col min="3344" max="3344" width="9.42578125" style="8" bestFit="1" customWidth="1"/>
    <col min="3345" max="3584" width="9.140625" style="8"/>
    <col min="3585" max="3585" width="3.140625" style="8" customWidth="1"/>
    <col min="3586" max="3586" width="56.140625" style="8" customWidth="1"/>
    <col min="3587" max="3587" width="22.5703125" style="8" customWidth="1"/>
    <col min="3588" max="3594" width="15.42578125" style="8" customWidth="1"/>
    <col min="3595" max="3595" width="16.85546875" style="8" customWidth="1"/>
    <col min="3596" max="3596" width="12.42578125" style="8" bestFit="1" customWidth="1"/>
    <col min="3597" max="3597" width="15.5703125" style="8" bestFit="1" customWidth="1"/>
    <col min="3598" max="3598" width="9" style="8" bestFit="1" customWidth="1"/>
    <col min="3599" max="3599" width="14.85546875" style="8" bestFit="1" customWidth="1"/>
    <col min="3600" max="3600" width="9.42578125" style="8" bestFit="1" customWidth="1"/>
    <col min="3601" max="3840" width="9.140625" style="8"/>
    <col min="3841" max="3841" width="3.140625" style="8" customWidth="1"/>
    <col min="3842" max="3842" width="56.140625" style="8" customWidth="1"/>
    <col min="3843" max="3843" width="22.5703125" style="8" customWidth="1"/>
    <col min="3844" max="3850" width="15.42578125" style="8" customWidth="1"/>
    <col min="3851" max="3851" width="16.85546875" style="8" customWidth="1"/>
    <col min="3852" max="3852" width="12.42578125" style="8" bestFit="1" customWidth="1"/>
    <col min="3853" max="3853" width="15.5703125" style="8" bestFit="1" customWidth="1"/>
    <col min="3854" max="3854" width="9" style="8" bestFit="1" customWidth="1"/>
    <col min="3855" max="3855" width="14.85546875" style="8" bestFit="1" customWidth="1"/>
    <col min="3856" max="3856" width="9.42578125" style="8" bestFit="1" customWidth="1"/>
    <col min="3857" max="4096" width="9.140625" style="8"/>
    <col min="4097" max="4097" width="3.140625" style="8" customWidth="1"/>
    <col min="4098" max="4098" width="56.140625" style="8" customWidth="1"/>
    <col min="4099" max="4099" width="22.5703125" style="8" customWidth="1"/>
    <col min="4100" max="4106" width="15.42578125" style="8" customWidth="1"/>
    <col min="4107" max="4107" width="16.85546875" style="8" customWidth="1"/>
    <col min="4108" max="4108" width="12.42578125" style="8" bestFit="1" customWidth="1"/>
    <col min="4109" max="4109" width="15.5703125" style="8" bestFit="1" customWidth="1"/>
    <col min="4110" max="4110" width="9" style="8" bestFit="1" customWidth="1"/>
    <col min="4111" max="4111" width="14.85546875" style="8" bestFit="1" customWidth="1"/>
    <col min="4112" max="4112" width="9.42578125" style="8" bestFit="1" customWidth="1"/>
    <col min="4113" max="4352" width="9.140625" style="8"/>
    <col min="4353" max="4353" width="3.140625" style="8" customWidth="1"/>
    <col min="4354" max="4354" width="56.140625" style="8" customWidth="1"/>
    <col min="4355" max="4355" width="22.5703125" style="8" customWidth="1"/>
    <col min="4356" max="4362" width="15.42578125" style="8" customWidth="1"/>
    <col min="4363" max="4363" width="16.85546875" style="8" customWidth="1"/>
    <col min="4364" max="4364" width="12.42578125" style="8" bestFit="1" customWidth="1"/>
    <col min="4365" max="4365" width="15.5703125" style="8" bestFit="1" customWidth="1"/>
    <col min="4366" max="4366" width="9" style="8" bestFit="1" customWidth="1"/>
    <col min="4367" max="4367" width="14.85546875" style="8" bestFit="1" customWidth="1"/>
    <col min="4368" max="4368" width="9.42578125" style="8" bestFit="1" customWidth="1"/>
    <col min="4369" max="4608" width="9.140625" style="8"/>
    <col min="4609" max="4609" width="3.140625" style="8" customWidth="1"/>
    <col min="4610" max="4610" width="56.140625" style="8" customWidth="1"/>
    <col min="4611" max="4611" width="22.5703125" style="8" customWidth="1"/>
    <col min="4612" max="4618" width="15.42578125" style="8" customWidth="1"/>
    <col min="4619" max="4619" width="16.85546875" style="8" customWidth="1"/>
    <col min="4620" max="4620" width="12.42578125" style="8" bestFit="1" customWidth="1"/>
    <col min="4621" max="4621" width="15.5703125" style="8" bestFit="1" customWidth="1"/>
    <col min="4622" max="4622" width="9" style="8" bestFit="1" customWidth="1"/>
    <col min="4623" max="4623" width="14.85546875" style="8" bestFit="1" customWidth="1"/>
    <col min="4624" max="4624" width="9.42578125" style="8" bestFit="1" customWidth="1"/>
    <col min="4625" max="4864" width="9.140625" style="8"/>
    <col min="4865" max="4865" width="3.140625" style="8" customWidth="1"/>
    <col min="4866" max="4866" width="56.140625" style="8" customWidth="1"/>
    <col min="4867" max="4867" width="22.5703125" style="8" customWidth="1"/>
    <col min="4868" max="4874" width="15.42578125" style="8" customWidth="1"/>
    <col min="4875" max="4875" width="16.85546875" style="8" customWidth="1"/>
    <col min="4876" max="4876" width="12.42578125" style="8" bestFit="1" customWidth="1"/>
    <col min="4877" max="4877" width="15.5703125" style="8" bestFit="1" customWidth="1"/>
    <col min="4878" max="4878" width="9" style="8" bestFit="1" customWidth="1"/>
    <col min="4879" max="4879" width="14.85546875" style="8" bestFit="1" customWidth="1"/>
    <col min="4880" max="4880" width="9.42578125" style="8" bestFit="1" customWidth="1"/>
    <col min="4881" max="5120" width="9.140625" style="8"/>
    <col min="5121" max="5121" width="3.140625" style="8" customWidth="1"/>
    <col min="5122" max="5122" width="56.140625" style="8" customWidth="1"/>
    <col min="5123" max="5123" width="22.5703125" style="8" customWidth="1"/>
    <col min="5124" max="5130" width="15.42578125" style="8" customWidth="1"/>
    <col min="5131" max="5131" width="16.85546875" style="8" customWidth="1"/>
    <col min="5132" max="5132" width="12.42578125" style="8" bestFit="1" customWidth="1"/>
    <col min="5133" max="5133" width="15.5703125" style="8" bestFit="1" customWidth="1"/>
    <col min="5134" max="5134" width="9" style="8" bestFit="1" customWidth="1"/>
    <col min="5135" max="5135" width="14.85546875" style="8" bestFit="1" customWidth="1"/>
    <col min="5136" max="5136" width="9.42578125" style="8" bestFit="1" customWidth="1"/>
    <col min="5137" max="5376" width="9.140625" style="8"/>
    <col min="5377" max="5377" width="3.140625" style="8" customWidth="1"/>
    <col min="5378" max="5378" width="56.140625" style="8" customWidth="1"/>
    <col min="5379" max="5379" width="22.5703125" style="8" customWidth="1"/>
    <col min="5380" max="5386" width="15.42578125" style="8" customWidth="1"/>
    <col min="5387" max="5387" width="16.85546875" style="8" customWidth="1"/>
    <col min="5388" max="5388" width="12.42578125" style="8" bestFit="1" customWidth="1"/>
    <col min="5389" max="5389" width="15.5703125" style="8" bestFit="1" customWidth="1"/>
    <col min="5390" max="5390" width="9" style="8" bestFit="1" customWidth="1"/>
    <col min="5391" max="5391" width="14.85546875" style="8" bestFit="1" customWidth="1"/>
    <col min="5392" max="5392" width="9.42578125" style="8" bestFit="1" customWidth="1"/>
    <col min="5393" max="5632" width="9.140625" style="8"/>
    <col min="5633" max="5633" width="3.140625" style="8" customWidth="1"/>
    <col min="5634" max="5634" width="56.140625" style="8" customWidth="1"/>
    <col min="5635" max="5635" width="22.5703125" style="8" customWidth="1"/>
    <col min="5636" max="5642" width="15.42578125" style="8" customWidth="1"/>
    <col min="5643" max="5643" width="16.85546875" style="8" customWidth="1"/>
    <col min="5644" max="5644" width="12.42578125" style="8" bestFit="1" customWidth="1"/>
    <col min="5645" max="5645" width="15.5703125" style="8" bestFit="1" customWidth="1"/>
    <col min="5646" max="5646" width="9" style="8" bestFit="1" customWidth="1"/>
    <col min="5647" max="5647" width="14.85546875" style="8" bestFit="1" customWidth="1"/>
    <col min="5648" max="5648" width="9.42578125" style="8" bestFit="1" customWidth="1"/>
    <col min="5649" max="5888" width="9.140625" style="8"/>
    <col min="5889" max="5889" width="3.140625" style="8" customWidth="1"/>
    <col min="5890" max="5890" width="56.140625" style="8" customWidth="1"/>
    <col min="5891" max="5891" width="22.5703125" style="8" customWidth="1"/>
    <col min="5892" max="5898" width="15.42578125" style="8" customWidth="1"/>
    <col min="5899" max="5899" width="16.85546875" style="8" customWidth="1"/>
    <col min="5900" max="5900" width="12.42578125" style="8" bestFit="1" customWidth="1"/>
    <col min="5901" max="5901" width="15.5703125" style="8" bestFit="1" customWidth="1"/>
    <col min="5902" max="5902" width="9" style="8" bestFit="1" customWidth="1"/>
    <col min="5903" max="5903" width="14.85546875" style="8" bestFit="1" customWidth="1"/>
    <col min="5904" max="5904" width="9.42578125" style="8" bestFit="1" customWidth="1"/>
    <col min="5905" max="6144" width="9.140625" style="8"/>
    <col min="6145" max="6145" width="3.140625" style="8" customWidth="1"/>
    <col min="6146" max="6146" width="56.140625" style="8" customWidth="1"/>
    <col min="6147" max="6147" width="22.5703125" style="8" customWidth="1"/>
    <col min="6148" max="6154" width="15.42578125" style="8" customWidth="1"/>
    <col min="6155" max="6155" width="16.85546875" style="8" customWidth="1"/>
    <col min="6156" max="6156" width="12.42578125" style="8" bestFit="1" customWidth="1"/>
    <col min="6157" max="6157" width="15.5703125" style="8" bestFit="1" customWidth="1"/>
    <col min="6158" max="6158" width="9" style="8" bestFit="1" customWidth="1"/>
    <col min="6159" max="6159" width="14.85546875" style="8" bestFit="1" customWidth="1"/>
    <col min="6160" max="6160" width="9.42578125" style="8" bestFit="1" customWidth="1"/>
    <col min="6161" max="6400" width="9.140625" style="8"/>
    <col min="6401" max="6401" width="3.140625" style="8" customWidth="1"/>
    <col min="6402" max="6402" width="56.140625" style="8" customWidth="1"/>
    <col min="6403" max="6403" width="22.5703125" style="8" customWidth="1"/>
    <col min="6404" max="6410" width="15.42578125" style="8" customWidth="1"/>
    <col min="6411" max="6411" width="16.85546875" style="8" customWidth="1"/>
    <col min="6412" max="6412" width="12.42578125" style="8" bestFit="1" customWidth="1"/>
    <col min="6413" max="6413" width="15.5703125" style="8" bestFit="1" customWidth="1"/>
    <col min="6414" max="6414" width="9" style="8" bestFit="1" customWidth="1"/>
    <col min="6415" max="6415" width="14.85546875" style="8" bestFit="1" customWidth="1"/>
    <col min="6416" max="6416" width="9.42578125" style="8" bestFit="1" customWidth="1"/>
    <col min="6417" max="6656" width="9.140625" style="8"/>
    <col min="6657" max="6657" width="3.140625" style="8" customWidth="1"/>
    <col min="6658" max="6658" width="56.140625" style="8" customWidth="1"/>
    <col min="6659" max="6659" width="22.5703125" style="8" customWidth="1"/>
    <col min="6660" max="6666" width="15.42578125" style="8" customWidth="1"/>
    <col min="6667" max="6667" width="16.85546875" style="8" customWidth="1"/>
    <col min="6668" max="6668" width="12.42578125" style="8" bestFit="1" customWidth="1"/>
    <col min="6669" max="6669" width="15.5703125" style="8" bestFit="1" customWidth="1"/>
    <col min="6670" max="6670" width="9" style="8" bestFit="1" customWidth="1"/>
    <col min="6671" max="6671" width="14.85546875" style="8" bestFit="1" customWidth="1"/>
    <col min="6672" max="6672" width="9.42578125" style="8" bestFit="1" customWidth="1"/>
    <col min="6673" max="6912" width="9.140625" style="8"/>
    <col min="6913" max="6913" width="3.140625" style="8" customWidth="1"/>
    <col min="6914" max="6914" width="56.140625" style="8" customWidth="1"/>
    <col min="6915" max="6915" width="22.5703125" style="8" customWidth="1"/>
    <col min="6916" max="6922" width="15.42578125" style="8" customWidth="1"/>
    <col min="6923" max="6923" width="16.85546875" style="8" customWidth="1"/>
    <col min="6924" max="6924" width="12.42578125" style="8" bestFit="1" customWidth="1"/>
    <col min="6925" max="6925" width="15.5703125" style="8" bestFit="1" customWidth="1"/>
    <col min="6926" max="6926" width="9" style="8" bestFit="1" customWidth="1"/>
    <col min="6927" max="6927" width="14.85546875" style="8" bestFit="1" customWidth="1"/>
    <col min="6928" max="6928" width="9.42578125" style="8" bestFit="1" customWidth="1"/>
    <col min="6929" max="7168" width="9.140625" style="8"/>
    <col min="7169" max="7169" width="3.140625" style="8" customWidth="1"/>
    <col min="7170" max="7170" width="56.140625" style="8" customWidth="1"/>
    <col min="7171" max="7171" width="22.5703125" style="8" customWidth="1"/>
    <col min="7172" max="7178" width="15.42578125" style="8" customWidth="1"/>
    <col min="7179" max="7179" width="16.85546875" style="8" customWidth="1"/>
    <col min="7180" max="7180" width="12.42578125" style="8" bestFit="1" customWidth="1"/>
    <col min="7181" max="7181" width="15.5703125" style="8" bestFit="1" customWidth="1"/>
    <col min="7182" max="7182" width="9" style="8" bestFit="1" customWidth="1"/>
    <col min="7183" max="7183" width="14.85546875" style="8" bestFit="1" customWidth="1"/>
    <col min="7184" max="7184" width="9.42578125" style="8" bestFit="1" customWidth="1"/>
    <col min="7185" max="7424" width="9.140625" style="8"/>
    <col min="7425" max="7425" width="3.140625" style="8" customWidth="1"/>
    <col min="7426" max="7426" width="56.140625" style="8" customWidth="1"/>
    <col min="7427" max="7427" width="22.5703125" style="8" customWidth="1"/>
    <col min="7428" max="7434" width="15.42578125" style="8" customWidth="1"/>
    <col min="7435" max="7435" width="16.85546875" style="8" customWidth="1"/>
    <col min="7436" max="7436" width="12.42578125" style="8" bestFit="1" customWidth="1"/>
    <col min="7437" max="7437" width="15.5703125" style="8" bestFit="1" customWidth="1"/>
    <col min="7438" max="7438" width="9" style="8" bestFit="1" customWidth="1"/>
    <col min="7439" max="7439" width="14.85546875" style="8" bestFit="1" customWidth="1"/>
    <col min="7440" max="7440" width="9.42578125" style="8" bestFit="1" customWidth="1"/>
    <col min="7441" max="7680" width="9.140625" style="8"/>
    <col min="7681" max="7681" width="3.140625" style="8" customWidth="1"/>
    <col min="7682" max="7682" width="56.140625" style="8" customWidth="1"/>
    <col min="7683" max="7683" width="22.5703125" style="8" customWidth="1"/>
    <col min="7684" max="7690" width="15.42578125" style="8" customWidth="1"/>
    <col min="7691" max="7691" width="16.85546875" style="8" customWidth="1"/>
    <col min="7692" max="7692" width="12.42578125" style="8" bestFit="1" customWidth="1"/>
    <col min="7693" max="7693" width="15.5703125" style="8" bestFit="1" customWidth="1"/>
    <col min="7694" max="7694" width="9" style="8" bestFit="1" customWidth="1"/>
    <col min="7695" max="7695" width="14.85546875" style="8" bestFit="1" customWidth="1"/>
    <col min="7696" max="7696" width="9.42578125" style="8" bestFit="1" customWidth="1"/>
    <col min="7697" max="7936" width="9.140625" style="8"/>
    <col min="7937" max="7937" width="3.140625" style="8" customWidth="1"/>
    <col min="7938" max="7938" width="56.140625" style="8" customWidth="1"/>
    <col min="7939" max="7939" width="22.5703125" style="8" customWidth="1"/>
    <col min="7940" max="7946" width="15.42578125" style="8" customWidth="1"/>
    <col min="7947" max="7947" width="16.85546875" style="8" customWidth="1"/>
    <col min="7948" max="7948" width="12.42578125" style="8" bestFit="1" customWidth="1"/>
    <col min="7949" max="7949" width="15.5703125" style="8" bestFit="1" customWidth="1"/>
    <col min="7950" max="7950" width="9" style="8" bestFit="1" customWidth="1"/>
    <col min="7951" max="7951" width="14.85546875" style="8" bestFit="1" customWidth="1"/>
    <col min="7952" max="7952" width="9.42578125" style="8" bestFit="1" customWidth="1"/>
    <col min="7953" max="8192" width="9.140625" style="8"/>
    <col min="8193" max="8193" width="3.140625" style="8" customWidth="1"/>
    <col min="8194" max="8194" width="56.140625" style="8" customWidth="1"/>
    <col min="8195" max="8195" width="22.5703125" style="8" customWidth="1"/>
    <col min="8196" max="8202" width="15.42578125" style="8" customWidth="1"/>
    <col min="8203" max="8203" width="16.85546875" style="8" customWidth="1"/>
    <col min="8204" max="8204" width="12.42578125" style="8" bestFit="1" customWidth="1"/>
    <col min="8205" max="8205" width="15.5703125" style="8" bestFit="1" customWidth="1"/>
    <col min="8206" max="8206" width="9" style="8" bestFit="1" customWidth="1"/>
    <col min="8207" max="8207" width="14.85546875" style="8" bestFit="1" customWidth="1"/>
    <col min="8208" max="8208" width="9.42578125" style="8" bestFit="1" customWidth="1"/>
    <col min="8209" max="8448" width="9.140625" style="8"/>
    <col min="8449" max="8449" width="3.140625" style="8" customWidth="1"/>
    <col min="8450" max="8450" width="56.140625" style="8" customWidth="1"/>
    <col min="8451" max="8451" width="22.5703125" style="8" customWidth="1"/>
    <col min="8452" max="8458" width="15.42578125" style="8" customWidth="1"/>
    <col min="8459" max="8459" width="16.85546875" style="8" customWidth="1"/>
    <col min="8460" max="8460" width="12.42578125" style="8" bestFit="1" customWidth="1"/>
    <col min="8461" max="8461" width="15.5703125" style="8" bestFit="1" customWidth="1"/>
    <col min="8462" max="8462" width="9" style="8" bestFit="1" customWidth="1"/>
    <col min="8463" max="8463" width="14.85546875" style="8" bestFit="1" customWidth="1"/>
    <col min="8464" max="8464" width="9.42578125" style="8" bestFit="1" customWidth="1"/>
    <col min="8465" max="8704" width="9.140625" style="8"/>
    <col min="8705" max="8705" width="3.140625" style="8" customWidth="1"/>
    <col min="8706" max="8706" width="56.140625" style="8" customWidth="1"/>
    <col min="8707" max="8707" width="22.5703125" style="8" customWidth="1"/>
    <col min="8708" max="8714" width="15.42578125" style="8" customWidth="1"/>
    <col min="8715" max="8715" width="16.85546875" style="8" customWidth="1"/>
    <col min="8716" max="8716" width="12.42578125" style="8" bestFit="1" customWidth="1"/>
    <col min="8717" max="8717" width="15.5703125" style="8" bestFit="1" customWidth="1"/>
    <col min="8718" max="8718" width="9" style="8" bestFit="1" customWidth="1"/>
    <col min="8719" max="8719" width="14.85546875" style="8" bestFit="1" customWidth="1"/>
    <col min="8720" max="8720" width="9.42578125" style="8" bestFit="1" customWidth="1"/>
    <col min="8721" max="8960" width="9.140625" style="8"/>
    <col min="8961" max="8961" width="3.140625" style="8" customWidth="1"/>
    <col min="8962" max="8962" width="56.140625" style="8" customWidth="1"/>
    <col min="8963" max="8963" width="22.5703125" style="8" customWidth="1"/>
    <col min="8964" max="8970" width="15.42578125" style="8" customWidth="1"/>
    <col min="8971" max="8971" width="16.85546875" style="8" customWidth="1"/>
    <col min="8972" max="8972" width="12.42578125" style="8" bestFit="1" customWidth="1"/>
    <col min="8973" max="8973" width="15.5703125" style="8" bestFit="1" customWidth="1"/>
    <col min="8974" max="8974" width="9" style="8" bestFit="1" customWidth="1"/>
    <col min="8975" max="8975" width="14.85546875" style="8" bestFit="1" customWidth="1"/>
    <col min="8976" max="8976" width="9.42578125" style="8" bestFit="1" customWidth="1"/>
    <col min="8977" max="9216" width="9.140625" style="8"/>
    <col min="9217" max="9217" width="3.140625" style="8" customWidth="1"/>
    <col min="9218" max="9218" width="56.140625" style="8" customWidth="1"/>
    <col min="9219" max="9219" width="22.5703125" style="8" customWidth="1"/>
    <col min="9220" max="9226" width="15.42578125" style="8" customWidth="1"/>
    <col min="9227" max="9227" width="16.85546875" style="8" customWidth="1"/>
    <col min="9228" max="9228" width="12.42578125" style="8" bestFit="1" customWidth="1"/>
    <col min="9229" max="9229" width="15.5703125" style="8" bestFit="1" customWidth="1"/>
    <col min="9230" max="9230" width="9" style="8" bestFit="1" customWidth="1"/>
    <col min="9231" max="9231" width="14.85546875" style="8" bestFit="1" customWidth="1"/>
    <col min="9232" max="9232" width="9.42578125" style="8" bestFit="1" customWidth="1"/>
    <col min="9233" max="9472" width="9.140625" style="8"/>
    <col min="9473" max="9473" width="3.140625" style="8" customWidth="1"/>
    <col min="9474" max="9474" width="56.140625" style="8" customWidth="1"/>
    <col min="9475" max="9475" width="22.5703125" style="8" customWidth="1"/>
    <col min="9476" max="9482" width="15.42578125" style="8" customWidth="1"/>
    <col min="9483" max="9483" width="16.85546875" style="8" customWidth="1"/>
    <col min="9484" max="9484" width="12.42578125" style="8" bestFit="1" customWidth="1"/>
    <col min="9485" max="9485" width="15.5703125" style="8" bestFit="1" customWidth="1"/>
    <col min="9486" max="9486" width="9" style="8" bestFit="1" customWidth="1"/>
    <col min="9487" max="9487" width="14.85546875" style="8" bestFit="1" customWidth="1"/>
    <col min="9488" max="9488" width="9.42578125" style="8" bestFit="1" customWidth="1"/>
    <col min="9489" max="9728" width="9.140625" style="8"/>
    <col min="9729" max="9729" width="3.140625" style="8" customWidth="1"/>
    <col min="9730" max="9730" width="56.140625" style="8" customWidth="1"/>
    <col min="9731" max="9731" width="22.5703125" style="8" customWidth="1"/>
    <col min="9732" max="9738" width="15.42578125" style="8" customWidth="1"/>
    <col min="9739" max="9739" width="16.85546875" style="8" customWidth="1"/>
    <col min="9740" max="9740" width="12.42578125" style="8" bestFit="1" customWidth="1"/>
    <col min="9741" max="9741" width="15.5703125" style="8" bestFit="1" customWidth="1"/>
    <col min="9742" max="9742" width="9" style="8" bestFit="1" customWidth="1"/>
    <col min="9743" max="9743" width="14.85546875" style="8" bestFit="1" customWidth="1"/>
    <col min="9744" max="9744" width="9.42578125" style="8" bestFit="1" customWidth="1"/>
    <col min="9745" max="9984" width="9.140625" style="8"/>
    <col min="9985" max="9985" width="3.140625" style="8" customWidth="1"/>
    <col min="9986" max="9986" width="56.140625" style="8" customWidth="1"/>
    <col min="9987" max="9987" width="22.5703125" style="8" customWidth="1"/>
    <col min="9988" max="9994" width="15.42578125" style="8" customWidth="1"/>
    <col min="9995" max="9995" width="16.85546875" style="8" customWidth="1"/>
    <col min="9996" max="9996" width="12.42578125" style="8" bestFit="1" customWidth="1"/>
    <col min="9997" max="9997" width="15.5703125" style="8" bestFit="1" customWidth="1"/>
    <col min="9998" max="9998" width="9" style="8" bestFit="1" customWidth="1"/>
    <col min="9999" max="9999" width="14.85546875" style="8" bestFit="1" customWidth="1"/>
    <col min="10000" max="10000" width="9.42578125" style="8" bestFit="1" customWidth="1"/>
    <col min="10001" max="10240" width="9.140625" style="8"/>
    <col min="10241" max="10241" width="3.140625" style="8" customWidth="1"/>
    <col min="10242" max="10242" width="56.140625" style="8" customWidth="1"/>
    <col min="10243" max="10243" width="22.5703125" style="8" customWidth="1"/>
    <col min="10244" max="10250" width="15.42578125" style="8" customWidth="1"/>
    <col min="10251" max="10251" width="16.85546875" style="8" customWidth="1"/>
    <col min="10252" max="10252" width="12.42578125" style="8" bestFit="1" customWidth="1"/>
    <col min="10253" max="10253" width="15.5703125" style="8" bestFit="1" customWidth="1"/>
    <col min="10254" max="10254" width="9" style="8" bestFit="1" customWidth="1"/>
    <col min="10255" max="10255" width="14.85546875" style="8" bestFit="1" customWidth="1"/>
    <col min="10256" max="10256" width="9.42578125" style="8" bestFit="1" customWidth="1"/>
    <col min="10257" max="10496" width="9.140625" style="8"/>
    <col min="10497" max="10497" width="3.140625" style="8" customWidth="1"/>
    <col min="10498" max="10498" width="56.140625" style="8" customWidth="1"/>
    <col min="10499" max="10499" width="22.5703125" style="8" customWidth="1"/>
    <col min="10500" max="10506" width="15.42578125" style="8" customWidth="1"/>
    <col min="10507" max="10507" width="16.85546875" style="8" customWidth="1"/>
    <col min="10508" max="10508" width="12.42578125" style="8" bestFit="1" customWidth="1"/>
    <col min="10509" max="10509" width="15.5703125" style="8" bestFit="1" customWidth="1"/>
    <col min="10510" max="10510" width="9" style="8" bestFit="1" customWidth="1"/>
    <col min="10511" max="10511" width="14.85546875" style="8" bestFit="1" customWidth="1"/>
    <col min="10512" max="10512" width="9.42578125" style="8" bestFit="1" customWidth="1"/>
    <col min="10513" max="10752" width="9.140625" style="8"/>
    <col min="10753" max="10753" width="3.140625" style="8" customWidth="1"/>
    <col min="10754" max="10754" width="56.140625" style="8" customWidth="1"/>
    <col min="10755" max="10755" width="22.5703125" style="8" customWidth="1"/>
    <col min="10756" max="10762" width="15.42578125" style="8" customWidth="1"/>
    <col min="10763" max="10763" width="16.85546875" style="8" customWidth="1"/>
    <col min="10764" max="10764" width="12.42578125" style="8" bestFit="1" customWidth="1"/>
    <col min="10765" max="10765" width="15.5703125" style="8" bestFit="1" customWidth="1"/>
    <col min="10766" max="10766" width="9" style="8" bestFit="1" customWidth="1"/>
    <col min="10767" max="10767" width="14.85546875" style="8" bestFit="1" customWidth="1"/>
    <col min="10768" max="10768" width="9.42578125" style="8" bestFit="1" customWidth="1"/>
    <col min="10769" max="11008" width="9.140625" style="8"/>
    <col min="11009" max="11009" width="3.140625" style="8" customWidth="1"/>
    <col min="11010" max="11010" width="56.140625" style="8" customWidth="1"/>
    <col min="11011" max="11011" width="22.5703125" style="8" customWidth="1"/>
    <col min="11012" max="11018" width="15.42578125" style="8" customWidth="1"/>
    <col min="11019" max="11019" width="16.85546875" style="8" customWidth="1"/>
    <col min="11020" max="11020" width="12.42578125" style="8" bestFit="1" customWidth="1"/>
    <col min="11021" max="11021" width="15.5703125" style="8" bestFit="1" customWidth="1"/>
    <col min="11022" max="11022" width="9" style="8" bestFit="1" customWidth="1"/>
    <col min="11023" max="11023" width="14.85546875" style="8" bestFit="1" customWidth="1"/>
    <col min="11024" max="11024" width="9.42578125" style="8" bestFit="1" customWidth="1"/>
    <col min="11025" max="11264" width="9.140625" style="8"/>
    <col min="11265" max="11265" width="3.140625" style="8" customWidth="1"/>
    <col min="11266" max="11266" width="56.140625" style="8" customWidth="1"/>
    <col min="11267" max="11267" width="22.5703125" style="8" customWidth="1"/>
    <col min="11268" max="11274" width="15.42578125" style="8" customWidth="1"/>
    <col min="11275" max="11275" width="16.85546875" style="8" customWidth="1"/>
    <col min="11276" max="11276" width="12.42578125" style="8" bestFit="1" customWidth="1"/>
    <col min="11277" max="11277" width="15.5703125" style="8" bestFit="1" customWidth="1"/>
    <col min="11278" max="11278" width="9" style="8" bestFit="1" customWidth="1"/>
    <col min="11279" max="11279" width="14.85546875" style="8" bestFit="1" customWidth="1"/>
    <col min="11280" max="11280" width="9.42578125" style="8" bestFit="1" customWidth="1"/>
    <col min="11281" max="11520" width="9.140625" style="8"/>
    <col min="11521" max="11521" width="3.140625" style="8" customWidth="1"/>
    <col min="11522" max="11522" width="56.140625" style="8" customWidth="1"/>
    <col min="11523" max="11523" width="22.5703125" style="8" customWidth="1"/>
    <col min="11524" max="11530" width="15.42578125" style="8" customWidth="1"/>
    <col min="11531" max="11531" width="16.85546875" style="8" customWidth="1"/>
    <col min="11532" max="11532" width="12.42578125" style="8" bestFit="1" customWidth="1"/>
    <col min="11533" max="11533" width="15.5703125" style="8" bestFit="1" customWidth="1"/>
    <col min="11534" max="11534" width="9" style="8" bestFit="1" customWidth="1"/>
    <col min="11535" max="11535" width="14.85546875" style="8" bestFit="1" customWidth="1"/>
    <col min="11536" max="11536" width="9.42578125" style="8" bestFit="1" customWidth="1"/>
    <col min="11537" max="11776" width="9.140625" style="8"/>
    <col min="11777" max="11777" width="3.140625" style="8" customWidth="1"/>
    <col min="11778" max="11778" width="56.140625" style="8" customWidth="1"/>
    <col min="11779" max="11779" width="22.5703125" style="8" customWidth="1"/>
    <col min="11780" max="11786" width="15.42578125" style="8" customWidth="1"/>
    <col min="11787" max="11787" width="16.85546875" style="8" customWidth="1"/>
    <col min="11788" max="11788" width="12.42578125" style="8" bestFit="1" customWidth="1"/>
    <col min="11789" max="11789" width="15.5703125" style="8" bestFit="1" customWidth="1"/>
    <col min="11790" max="11790" width="9" style="8" bestFit="1" customWidth="1"/>
    <col min="11791" max="11791" width="14.85546875" style="8" bestFit="1" customWidth="1"/>
    <col min="11792" max="11792" width="9.42578125" style="8" bestFit="1" customWidth="1"/>
    <col min="11793" max="12032" width="9.140625" style="8"/>
    <col min="12033" max="12033" width="3.140625" style="8" customWidth="1"/>
    <col min="12034" max="12034" width="56.140625" style="8" customWidth="1"/>
    <col min="12035" max="12035" width="22.5703125" style="8" customWidth="1"/>
    <col min="12036" max="12042" width="15.42578125" style="8" customWidth="1"/>
    <col min="12043" max="12043" width="16.85546875" style="8" customWidth="1"/>
    <col min="12044" max="12044" width="12.42578125" style="8" bestFit="1" customWidth="1"/>
    <col min="12045" max="12045" width="15.5703125" style="8" bestFit="1" customWidth="1"/>
    <col min="12046" max="12046" width="9" style="8" bestFit="1" customWidth="1"/>
    <col min="12047" max="12047" width="14.85546875" style="8" bestFit="1" customWidth="1"/>
    <col min="12048" max="12048" width="9.42578125" style="8" bestFit="1" customWidth="1"/>
    <col min="12049" max="12288" width="9.140625" style="8"/>
    <col min="12289" max="12289" width="3.140625" style="8" customWidth="1"/>
    <col min="12290" max="12290" width="56.140625" style="8" customWidth="1"/>
    <col min="12291" max="12291" width="22.5703125" style="8" customWidth="1"/>
    <col min="12292" max="12298" width="15.42578125" style="8" customWidth="1"/>
    <col min="12299" max="12299" width="16.85546875" style="8" customWidth="1"/>
    <col min="12300" max="12300" width="12.42578125" style="8" bestFit="1" customWidth="1"/>
    <col min="12301" max="12301" width="15.5703125" style="8" bestFit="1" customWidth="1"/>
    <col min="12302" max="12302" width="9" style="8" bestFit="1" customWidth="1"/>
    <col min="12303" max="12303" width="14.85546875" style="8" bestFit="1" customWidth="1"/>
    <col min="12304" max="12304" width="9.42578125" style="8" bestFit="1" customWidth="1"/>
    <col min="12305" max="12544" width="9.140625" style="8"/>
    <col min="12545" max="12545" width="3.140625" style="8" customWidth="1"/>
    <col min="12546" max="12546" width="56.140625" style="8" customWidth="1"/>
    <col min="12547" max="12547" width="22.5703125" style="8" customWidth="1"/>
    <col min="12548" max="12554" width="15.42578125" style="8" customWidth="1"/>
    <col min="12555" max="12555" width="16.85546875" style="8" customWidth="1"/>
    <col min="12556" max="12556" width="12.42578125" style="8" bestFit="1" customWidth="1"/>
    <col min="12557" max="12557" width="15.5703125" style="8" bestFit="1" customWidth="1"/>
    <col min="12558" max="12558" width="9" style="8" bestFit="1" customWidth="1"/>
    <col min="12559" max="12559" width="14.85546875" style="8" bestFit="1" customWidth="1"/>
    <col min="12560" max="12560" width="9.42578125" style="8" bestFit="1" customWidth="1"/>
    <col min="12561" max="12800" width="9.140625" style="8"/>
    <col min="12801" max="12801" width="3.140625" style="8" customWidth="1"/>
    <col min="12802" max="12802" width="56.140625" style="8" customWidth="1"/>
    <col min="12803" max="12803" width="22.5703125" style="8" customWidth="1"/>
    <col min="12804" max="12810" width="15.42578125" style="8" customWidth="1"/>
    <col min="12811" max="12811" width="16.85546875" style="8" customWidth="1"/>
    <col min="12812" max="12812" width="12.42578125" style="8" bestFit="1" customWidth="1"/>
    <col min="12813" max="12813" width="15.5703125" style="8" bestFit="1" customWidth="1"/>
    <col min="12814" max="12814" width="9" style="8" bestFit="1" customWidth="1"/>
    <col min="12815" max="12815" width="14.85546875" style="8" bestFit="1" customWidth="1"/>
    <col min="12816" max="12816" width="9.42578125" style="8" bestFit="1" customWidth="1"/>
    <col min="12817" max="13056" width="9.140625" style="8"/>
    <col min="13057" max="13057" width="3.140625" style="8" customWidth="1"/>
    <col min="13058" max="13058" width="56.140625" style="8" customWidth="1"/>
    <col min="13059" max="13059" width="22.5703125" style="8" customWidth="1"/>
    <col min="13060" max="13066" width="15.42578125" style="8" customWidth="1"/>
    <col min="13067" max="13067" width="16.85546875" style="8" customWidth="1"/>
    <col min="13068" max="13068" width="12.42578125" style="8" bestFit="1" customWidth="1"/>
    <col min="13069" max="13069" width="15.5703125" style="8" bestFit="1" customWidth="1"/>
    <col min="13070" max="13070" width="9" style="8" bestFit="1" customWidth="1"/>
    <col min="13071" max="13071" width="14.85546875" style="8" bestFit="1" customWidth="1"/>
    <col min="13072" max="13072" width="9.42578125" style="8" bestFit="1" customWidth="1"/>
    <col min="13073" max="13312" width="9.140625" style="8"/>
    <col min="13313" max="13313" width="3.140625" style="8" customWidth="1"/>
    <col min="13314" max="13314" width="56.140625" style="8" customWidth="1"/>
    <col min="13315" max="13315" width="22.5703125" style="8" customWidth="1"/>
    <col min="13316" max="13322" width="15.42578125" style="8" customWidth="1"/>
    <col min="13323" max="13323" width="16.85546875" style="8" customWidth="1"/>
    <col min="13324" max="13324" width="12.42578125" style="8" bestFit="1" customWidth="1"/>
    <col min="13325" max="13325" width="15.5703125" style="8" bestFit="1" customWidth="1"/>
    <col min="13326" max="13326" width="9" style="8" bestFit="1" customWidth="1"/>
    <col min="13327" max="13327" width="14.85546875" style="8" bestFit="1" customWidth="1"/>
    <col min="13328" max="13328" width="9.42578125" style="8" bestFit="1" customWidth="1"/>
    <col min="13329" max="13568" width="9.140625" style="8"/>
    <col min="13569" max="13569" width="3.140625" style="8" customWidth="1"/>
    <col min="13570" max="13570" width="56.140625" style="8" customWidth="1"/>
    <col min="13571" max="13571" width="22.5703125" style="8" customWidth="1"/>
    <col min="13572" max="13578" width="15.42578125" style="8" customWidth="1"/>
    <col min="13579" max="13579" width="16.85546875" style="8" customWidth="1"/>
    <col min="13580" max="13580" width="12.42578125" style="8" bestFit="1" customWidth="1"/>
    <col min="13581" max="13581" width="15.5703125" style="8" bestFit="1" customWidth="1"/>
    <col min="13582" max="13582" width="9" style="8" bestFit="1" customWidth="1"/>
    <col min="13583" max="13583" width="14.85546875" style="8" bestFit="1" customWidth="1"/>
    <col min="13584" max="13584" width="9.42578125" style="8" bestFit="1" customWidth="1"/>
    <col min="13585" max="13824" width="9.140625" style="8"/>
    <col min="13825" max="13825" width="3.140625" style="8" customWidth="1"/>
    <col min="13826" max="13826" width="56.140625" style="8" customWidth="1"/>
    <col min="13827" max="13827" width="22.5703125" style="8" customWidth="1"/>
    <col min="13828" max="13834" width="15.42578125" style="8" customWidth="1"/>
    <col min="13835" max="13835" width="16.85546875" style="8" customWidth="1"/>
    <col min="13836" max="13836" width="12.42578125" style="8" bestFit="1" customWidth="1"/>
    <col min="13837" max="13837" width="15.5703125" style="8" bestFit="1" customWidth="1"/>
    <col min="13838" max="13838" width="9" style="8" bestFit="1" customWidth="1"/>
    <col min="13839" max="13839" width="14.85546875" style="8" bestFit="1" customWidth="1"/>
    <col min="13840" max="13840" width="9.42578125" style="8" bestFit="1" customWidth="1"/>
    <col min="13841" max="14080" width="9.140625" style="8"/>
    <col min="14081" max="14081" width="3.140625" style="8" customWidth="1"/>
    <col min="14082" max="14082" width="56.140625" style="8" customWidth="1"/>
    <col min="14083" max="14083" width="22.5703125" style="8" customWidth="1"/>
    <col min="14084" max="14090" width="15.42578125" style="8" customWidth="1"/>
    <col min="14091" max="14091" width="16.85546875" style="8" customWidth="1"/>
    <col min="14092" max="14092" width="12.42578125" style="8" bestFit="1" customWidth="1"/>
    <col min="14093" max="14093" width="15.5703125" style="8" bestFit="1" customWidth="1"/>
    <col min="14094" max="14094" width="9" style="8" bestFit="1" customWidth="1"/>
    <col min="14095" max="14095" width="14.85546875" style="8" bestFit="1" customWidth="1"/>
    <col min="14096" max="14096" width="9.42578125" style="8" bestFit="1" customWidth="1"/>
    <col min="14097" max="14336" width="9.140625" style="8"/>
    <col min="14337" max="14337" width="3.140625" style="8" customWidth="1"/>
    <col min="14338" max="14338" width="56.140625" style="8" customWidth="1"/>
    <col min="14339" max="14339" width="22.5703125" style="8" customWidth="1"/>
    <col min="14340" max="14346" width="15.42578125" style="8" customWidth="1"/>
    <col min="14347" max="14347" width="16.85546875" style="8" customWidth="1"/>
    <col min="14348" max="14348" width="12.42578125" style="8" bestFit="1" customWidth="1"/>
    <col min="14349" max="14349" width="15.5703125" style="8" bestFit="1" customWidth="1"/>
    <col min="14350" max="14350" width="9" style="8" bestFit="1" customWidth="1"/>
    <col min="14351" max="14351" width="14.85546875" style="8" bestFit="1" customWidth="1"/>
    <col min="14352" max="14352" width="9.42578125" style="8" bestFit="1" customWidth="1"/>
    <col min="14353" max="14592" width="9.140625" style="8"/>
    <col min="14593" max="14593" width="3.140625" style="8" customWidth="1"/>
    <col min="14594" max="14594" width="56.140625" style="8" customWidth="1"/>
    <col min="14595" max="14595" width="22.5703125" style="8" customWidth="1"/>
    <col min="14596" max="14602" width="15.42578125" style="8" customWidth="1"/>
    <col min="14603" max="14603" width="16.85546875" style="8" customWidth="1"/>
    <col min="14604" max="14604" width="12.42578125" style="8" bestFit="1" customWidth="1"/>
    <col min="14605" max="14605" width="15.5703125" style="8" bestFit="1" customWidth="1"/>
    <col min="14606" max="14606" width="9" style="8" bestFit="1" customWidth="1"/>
    <col min="14607" max="14607" width="14.85546875" style="8" bestFit="1" customWidth="1"/>
    <col min="14608" max="14608" width="9.42578125" style="8" bestFit="1" customWidth="1"/>
    <col min="14609" max="14848" width="9.140625" style="8"/>
    <col min="14849" max="14849" width="3.140625" style="8" customWidth="1"/>
    <col min="14850" max="14850" width="56.140625" style="8" customWidth="1"/>
    <col min="14851" max="14851" width="22.5703125" style="8" customWidth="1"/>
    <col min="14852" max="14858" width="15.42578125" style="8" customWidth="1"/>
    <col min="14859" max="14859" width="16.85546875" style="8" customWidth="1"/>
    <col min="14860" max="14860" width="12.42578125" style="8" bestFit="1" customWidth="1"/>
    <col min="14861" max="14861" width="15.5703125" style="8" bestFit="1" customWidth="1"/>
    <col min="14862" max="14862" width="9" style="8" bestFit="1" customWidth="1"/>
    <col min="14863" max="14863" width="14.85546875" style="8" bestFit="1" customWidth="1"/>
    <col min="14864" max="14864" width="9.42578125" style="8" bestFit="1" customWidth="1"/>
    <col min="14865" max="15104" width="9.140625" style="8"/>
    <col min="15105" max="15105" width="3.140625" style="8" customWidth="1"/>
    <col min="15106" max="15106" width="56.140625" style="8" customWidth="1"/>
    <col min="15107" max="15107" width="22.5703125" style="8" customWidth="1"/>
    <col min="15108" max="15114" width="15.42578125" style="8" customWidth="1"/>
    <col min="15115" max="15115" width="16.85546875" style="8" customWidth="1"/>
    <col min="15116" max="15116" width="12.42578125" style="8" bestFit="1" customWidth="1"/>
    <col min="15117" max="15117" width="15.5703125" style="8" bestFit="1" customWidth="1"/>
    <col min="15118" max="15118" width="9" style="8" bestFit="1" customWidth="1"/>
    <col min="15119" max="15119" width="14.85546875" style="8" bestFit="1" customWidth="1"/>
    <col min="15120" max="15120" width="9.42578125" style="8" bestFit="1" customWidth="1"/>
    <col min="15121" max="15360" width="9.140625" style="8"/>
    <col min="15361" max="15361" width="3.140625" style="8" customWidth="1"/>
    <col min="15362" max="15362" width="56.140625" style="8" customWidth="1"/>
    <col min="15363" max="15363" width="22.5703125" style="8" customWidth="1"/>
    <col min="15364" max="15370" width="15.42578125" style="8" customWidth="1"/>
    <col min="15371" max="15371" width="16.85546875" style="8" customWidth="1"/>
    <col min="15372" max="15372" width="12.42578125" style="8" bestFit="1" customWidth="1"/>
    <col min="15373" max="15373" width="15.5703125" style="8" bestFit="1" customWidth="1"/>
    <col min="15374" max="15374" width="9" style="8" bestFit="1" customWidth="1"/>
    <col min="15375" max="15375" width="14.85546875" style="8" bestFit="1" customWidth="1"/>
    <col min="15376" max="15376" width="9.42578125" style="8" bestFit="1" customWidth="1"/>
    <col min="15377" max="15616" width="9.140625" style="8"/>
    <col min="15617" max="15617" width="3.140625" style="8" customWidth="1"/>
    <col min="15618" max="15618" width="56.140625" style="8" customWidth="1"/>
    <col min="15619" max="15619" width="22.5703125" style="8" customWidth="1"/>
    <col min="15620" max="15626" width="15.42578125" style="8" customWidth="1"/>
    <col min="15627" max="15627" width="16.85546875" style="8" customWidth="1"/>
    <col min="15628" max="15628" width="12.42578125" style="8" bestFit="1" customWidth="1"/>
    <col min="15629" max="15629" width="15.5703125" style="8" bestFit="1" customWidth="1"/>
    <col min="15630" max="15630" width="9" style="8" bestFit="1" customWidth="1"/>
    <col min="15631" max="15631" width="14.85546875" style="8" bestFit="1" customWidth="1"/>
    <col min="15632" max="15632" width="9.42578125" style="8" bestFit="1" customWidth="1"/>
    <col min="15633" max="15872" width="9.140625" style="8"/>
    <col min="15873" max="15873" width="3.140625" style="8" customWidth="1"/>
    <col min="15874" max="15874" width="56.140625" style="8" customWidth="1"/>
    <col min="15875" max="15875" width="22.5703125" style="8" customWidth="1"/>
    <col min="15876" max="15882" width="15.42578125" style="8" customWidth="1"/>
    <col min="15883" max="15883" width="16.85546875" style="8" customWidth="1"/>
    <col min="15884" max="15884" width="12.42578125" style="8" bestFit="1" customWidth="1"/>
    <col min="15885" max="15885" width="15.5703125" style="8" bestFit="1" customWidth="1"/>
    <col min="15886" max="15886" width="9" style="8" bestFit="1" customWidth="1"/>
    <col min="15887" max="15887" width="14.85546875" style="8" bestFit="1" customWidth="1"/>
    <col min="15888" max="15888" width="9.42578125" style="8" bestFit="1" customWidth="1"/>
    <col min="15889" max="16128" width="9.140625" style="8"/>
    <col min="16129" max="16129" width="3.140625" style="8" customWidth="1"/>
    <col min="16130" max="16130" width="56.140625" style="8" customWidth="1"/>
    <col min="16131" max="16131" width="22.5703125" style="8" customWidth="1"/>
    <col min="16132" max="16138" width="15.42578125" style="8" customWidth="1"/>
    <col min="16139" max="16139" width="16.85546875" style="8" customWidth="1"/>
    <col min="16140" max="16140" width="12.42578125" style="8" bestFit="1" customWidth="1"/>
    <col min="16141" max="16141" width="15.5703125" style="8" bestFit="1" customWidth="1"/>
    <col min="16142" max="16142" width="9" style="8" bestFit="1" customWidth="1"/>
    <col min="16143" max="16143" width="14.85546875" style="8" bestFit="1" customWidth="1"/>
    <col min="16144" max="16144" width="9.42578125" style="8" bestFit="1" customWidth="1"/>
    <col min="16145" max="16384" width="9.140625" style="8"/>
  </cols>
  <sheetData>
    <row r="1" spans="1:32" ht="20.25" x14ac:dyDescent="0.3">
      <c r="A1" s="53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63"/>
      <c r="M1" s="83" t="s">
        <v>59</v>
      </c>
      <c r="N1" s="6"/>
      <c r="O1" s="6"/>
      <c r="P1" s="5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ht="18.75" x14ac:dyDescent="0.3">
      <c r="A2" s="1"/>
      <c r="B2" s="2"/>
      <c r="C2" s="2"/>
      <c r="D2" s="3"/>
      <c r="E2" s="3"/>
      <c r="F2" s="3"/>
      <c r="G2" s="3"/>
      <c r="H2" s="3"/>
      <c r="I2" s="3"/>
      <c r="J2" s="3"/>
      <c r="K2" s="3"/>
      <c r="M2" s="83" t="s">
        <v>60</v>
      </c>
      <c r="N2" s="6"/>
      <c r="O2" s="6"/>
      <c r="P2" s="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9.5" x14ac:dyDescent="0.35">
      <c r="A3" s="54" t="s">
        <v>54</v>
      </c>
      <c r="B3" s="2"/>
      <c r="C3" s="2"/>
      <c r="D3" s="3"/>
      <c r="E3" s="3"/>
      <c r="F3" s="3"/>
      <c r="G3" s="9"/>
      <c r="H3" s="9"/>
      <c r="I3" s="9"/>
      <c r="J3" s="9"/>
      <c r="K3" s="9"/>
      <c r="M3" s="83" t="s">
        <v>61</v>
      </c>
      <c r="N3" s="6"/>
      <c r="O3" s="6"/>
      <c r="P3" s="5"/>
      <c r="Q3" s="7"/>
      <c r="R3" s="10">
        <f>+C8</f>
        <v>0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8.75" x14ac:dyDescent="0.3">
      <c r="A4" s="1"/>
      <c r="B4" s="2"/>
      <c r="C4" s="11"/>
      <c r="D4" s="3"/>
      <c r="E4" s="3"/>
      <c r="F4" s="3"/>
      <c r="G4" s="9"/>
      <c r="H4" s="12"/>
      <c r="I4" s="9"/>
      <c r="J4" s="9"/>
      <c r="K4" s="78" t="s">
        <v>58</v>
      </c>
      <c r="M4" s="5"/>
      <c r="N4" s="6"/>
      <c r="O4" s="6"/>
      <c r="P4" s="5"/>
      <c r="Q4" s="7"/>
      <c r="R4" s="7">
        <f>+R3*0.06</f>
        <v>0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25">
      <c r="A5" s="13"/>
      <c r="B5" s="79" t="s">
        <v>57</v>
      </c>
      <c r="D5" s="15">
        <v>645725</v>
      </c>
      <c r="E5" s="3"/>
      <c r="F5" s="81" t="s">
        <v>48</v>
      </c>
      <c r="H5" s="9"/>
      <c r="I5" s="9"/>
      <c r="J5" s="16">
        <f>ROUND(D7*0.044,0)</f>
        <v>28412</v>
      </c>
      <c r="K5" s="64">
        <f>ROUND(J5/$D$5,4)</f>
        <v>4.3999999999999997E-2</v>
      </c>
      <c r="M5" s="5"/>
      <c r="N5" s="6"/>
      <c r="O5" s="6"/>
      <c r="P5" s="5"/>
      <c r="Q5" s="7"/>
      <c r="R5" s="7">
        <f>+R3-R4</f>
        <v>0</v>
      </c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25">
      <c r="A6" s="13"/>
      <c r="B6" s="79" t="s">
        <v>27</v>
      </c>
      <c r="D6" s="17">
        <f>ROUND(D5*0.2,0)*0</f>
        <v>0</v>
      </c>
      <c r="E6" s="3"/>
      <c r="F6" s="81" t="s">
        <v>49</v>
      </c>
      <c r="H6" s="9"/>
      <c r="I6" s="9"/>
      <c r="J6" s="9">
        <f>ROUND((D7-J5)*L19,0)</f>
        <v>123586</v>
      </c>
      <c r="K6" s="64">
        <f>ROUND(J6/$D$5,4)</f>
        <v>0.19139999999999999</v>
      </c>
      <c r="M6" s="5"/>
      <c r="N6" s="6"/>
      <c r="O6" s="6"/>
      <c r="P6" s="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6.5" thickBot="1" x14ac:dyDescent="0.3">
      <c r="A7" s="13"/>
      <c r="B7" s="79" t="s">
        <v>56</v>
      </c>
      <c r="C7" s="18"/>
      <c r="D7" s="19">
        <f>+D5-D6</f>
        <v>645725</v>
      </c>
      <c r="E7" s="3"/>
      <c r="F7" s="81" t="s">
        <v>50</v>
      </c>
      <c r="H7" s="9"/>
      <c r="I7" s="9"/>
      <c r="J7" s="65">
        <f>+J5+J6</f>
        <v>151998</v>
      </c>
      <c r="K7" s="64">
        <f>ROUND(J7/D5,6)</f>
        <v>0.23539099999999999</v>
      </c>
      <c r="L7" s="77"/>
      <c r="M7" s="5"/>
      <c r="N7" s="6"/>
      <c r="O7" s="6"/>
      <c r="P7" s="5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6.5" thickTop="1" x14ac:dyDescent="0.25">
      <c r="A8" s="13"/>
      <c r="B8" s="14"/>
      <c r="C8" s="20"/>
      <c r="D8" s="3"/>
      <c r="E8" s="3"/>
      <c r="F8" s="81" t="s">
        <v>52</v>
      </c>
      <c r="H8" s="9"/>
      <c r="I8" s="9"/>
      <c r="J8" s="10">
        <v>-172117</v>
      </c>
      <c r="M8" s="5"/>
      <c r="N8" s="6"/>
      <c r="O8" s="6"/>
      <c r="P8" s="5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6.5" thickBot="1" x14ac:dyDescent="0.3">
      <c r="A9" s="13"/>
      <c r="B9" s="21"/>
      <c r="C9" s="22"/>
      <c r="D9" s="3"/>
      <c r="E9" s="3"/>
      <c r="F9" s="82" t="s">
        <v>53</v>
      </c>
      <c r="H9" s="3"/>
      <c r="I9" s="3"/>
      <c r="J9" s="46">
        <f>+J7+J8</f>
        <v>-20119</v>
      </c>
      <c r="K9" s="3"/>
      <c r="M9" s="5"/>
      <c r="N9" s="6"/>
      <c r="O9" s="6"/>
      <c r="P9" s="5"/>
      <c r="Q9" s="7"/>
      <c r="R9" s="7">
        <f>+R5*0.21</f>
        <v>0</v>
      </c>
      <c r="S9" s="7">
        <f>+R9+R4</f>
        <v>0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6.5" customHeight="1" thickTop="1" x14ac:dyDescent="0.25">
      <c r="A10" s="13"/>
      <c r="B10" s="21"/>
      <c r="C10" s="22"/>
      <c r="D10" s="3"/>
      <c r="E10" s="3"/>
      <c r="F10" s="82"/>
      <c r="G10" s="3"/>
      <c r="H10" s="3"/>
      <c r="I10" s="3"/>
      <c r="J10" s="3"/>
      <c r="K10" s="80"/>
      <c r="L10" s="80"/>
      <c r="M10" s="80"/>
      <c r="N10" s="6"/>
      <c r="O10" s="6"/>
      <c r="P10" s="5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6.5" thickBot="1" x14ac:dyDescent="0.3">
      <c r="A11" s="13"/>
      <c r="B11" s="21"/>
      <c r="C11" s="22"/>
      <c r="D11" s="3"/>
      <c r="E11" s="3"/>
      <c r="F11" s="3"/>
      <c r="G11" s="3"/>
      <c r="H11" s="3"/>
      <c r="I11" s="3"/>
      <c r="J11" s="3"/>
      <c r="K11" s="80"/>
      <c r="L11" s="80"/>
      <c r="M11" s="80"/>
      <c r="N11" s="6"/>
      <c r="O11" s="6"/>
      <c r="P11" s="5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9.5" thickBot="1" x14ac:dyDescent="0.35">
      <c r="A12" s="1"/>
      <c r="B12" s="55" t="s">
        <v>0</v>
      </c>
      <c r="C12" s="56"/>
      <c r="D12" s="57" t="s">
        <v>1</v>
      </c>
      <c r="E12" s="57" t="s">
        <v>1</v>
      </c>
      <c r="F12" s="57" t="s">
        <v>1</v>
      </c>
      <c r="G12" s="57" t="s">
        <v>2</v>
      </c>
      <c r="H12" s="57" t="s">
        <v>1</v>
      </c>
      <c r="I12" s="57" t="s">
        <v>1</v>
      </c>
      <c r="J12" s="57" t="s">
        <v>3</v>
      </c>
      <c r="K12" s="58" t="s">
        <v>3</v>
      </c>
      <c r="M12" s="5"/>
      <c r="N12" s="6"/>
      <c r="O12" s="6">
        <f>493727*0.2682</f>
        <v>132417.5814</v>
      </c>
      <c r="P12" s="5"/>
      <c r="Q12" s="7"/>
      <c r="R12" s="7">
        <f>+R5-R9</f>
        <v>0</v>
      </c>
      <c r="S12" s="7">
        <f>+J3</f>
        <v>0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8.600000000000001" customHeight="1" thickBot="1" x14ac:dyDescent="0.3">
      <c r="A13" s="2"/>
      <c r="B13" s="55" t="s">
        <v>4</v>
      </c>
      <c r="C13" s="59"/>
      <c r="D13" s="60">
        <v>0.25</v>
      </c>
      <c r="E13" s="60">
        <v>0.25</v>
      </c>
      <c r="F13" s="60">
        <v>6.25E-2</v>
      </c>
      <c r="G13" s="60">
        <v>6.25E-2</v>
      </c>
      <c r="H13" s="60">
        <v>6.25E-2</v>
      </c>
      <c r="I13" s="60">
        <v>6.25E-2</v>
      </c>
      <c r="J13" s="60">
        <v>0.125</v>
      </c>
      <c r="K13" s="61">
        <v>0.125</v>
      </c>
      <c r="M13" s="5"/>
      <c r="N13" s="6"/>
      <c r="O13" s="6"/>
      <c r="P13" s="5"/>
      <c r="Q13" s="7"/>
      <c r="R13" s="7"/>
      <c r="S13" s="7">
        <f>+S9-S12</f>
        <v>0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31.5" x14ac:dyDescent="0.25">
      <c r="A14" s="13"/>
      <c r="B14" s="13"/>
      <c r="C14" s="13"/>
      <c r="D14" s="62" t="s">
        <v>5</v>
      </c>
      <c r="E14" s="62" t="s">
        <v>6</v>
      </c>
      <c r="F14" s="62" t="s">
        <v>7</v>
      </c>
      <c r="G14" s="62" t="s">
        <v>8</v>
      </c>
      <c r="H14" s="62" t="s">
        <v>9</v>
      </c>
      <c r="I14" s="62" t="s">
        <v>10</v>
      </c>
      <c r="J14" s="62" t="s">
        <v>11</v>
      </c>
      <c r="K14" s="62" t="s">
        <v>12</v>
      </c>
      <c r="L14" s="66" t="s">
        <v>13</v>
      </c>
      <c r="M14" s="6"/>
      <c r="N14" s="7"/>
      <c r="O14" s="7"/>
      <c r="P14" s="7"/>
      <c r="Q14" s="7"/>
      <c r="R14" s="7">
        <f>+R12-493727</f>
        <v>-493727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7.75" customHeight="1" thickBot="1" x14ac:dyDescent="0.3">
      <c r="A15" s="23" t="s">
        <v>14</v>
      </c>
      <c r="B15" s="23"/>
      <c r="C15" s="21"/>
      <c r="D15" s="24">
        <f t="shared" ref="D15:K15" si="0">$D$7*D13</f>
        <v>161431.25</v>
      </c>
      <c r="E15" s="24">
        <f t="shared" si="0"/>
        <v>161431.25</v>
      </c>
      <c r="F15" s="24">
        <f t="shared" si="0"/>
        <v>40357.8125</v>
      </c>
      <c r="G15" s="24">
        <f t="shared" si="0"/>
        <v>40357.8125</v>
      </c>
      <c r="H15" s="24">
        <f t="shared" si="0"/>
        <v>40357.8125</v>
      </c>
      <c r="I15" s="24">
        <f t="shared" si="0"/>
        <v>40357.8125</v>
      </c>
      <c r="J15" s="24">
        <f t="shared" si="0"/>
        <v>80715.625</v>
      </c>
      <c r="K15" s="24">
        <f t="shared" si="0"/>
        <v>80715.625</v>
      </c>
      <c r="L15" s="67">
        <f>SUM(D15:K15)</f>
        <v>645725</v>
      </c>
      <c r="M15" s="8" t="s">
        <v>15</v>
      </c>
      <c r="N15" s="6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7.75" customHeight="1" thickTop="1" x14ac:dyDescent="0.25">
      <c r="A16" s="21"/>
      <c r="B16" s="21"/>
      <c r="C16" s="21"/>
      <c r="D16" s="25"/>
      <c r="E16" s="25"/>
      <c r="F16" s="25"/>
      <c r="G16" s="25"/>
      <c r="H16" s="25"/>
      <c r="I16" s="25"/>
      <c r="J16" s="25"/>
      <c r="K16" s="25"/>
      <c r="L16" s="68"/>
      <c r="N16" s="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6.5" thickBot="1" x14ac:dyDescent="0.3">
      <c r="A17" s="26" t="s">
        <v>16</v>
      </c>
      <c r="C17" s="26"/>
      <c r="D17" s="24">
        <f>D33</f>
        <v>27394</v>
      </c>
      <c r="E17" s="24">
        <f t="shared" ref="E17:F17" si="1">E33</f>
        <v>27394</v>
      </c>
      <c r="F17" s="24">
        <f t="shared" si="1"/>
        <v>4462</v>
      </c>
      <c r="G17" s="24">
        <f>G43</f>
        <v>4571</v>
      </c>
      <c r="H17" s="24">
        <f>H33</f>
        <v>4462</v>
      </c>
      <c r="I17" s="24">
        <f>I33</f>
        <v>4462</v>
      </c>
      <c r="J17" s="24">
        <f>J51</f>
        <v>28252</v>
      </c>
      <c r="K17" s="24">
        <f>K51</f>
        <v>28252</v>
      </c>
      <c r="L17" s="67">
        <f>SUM(D17:K17)</f>
        <v>129249</v>
      </c>
      <c r="M17" s="8" t="s">
        <v>17</v>
      </c>
      <c r="N17" s="74">
        <f>+L17/D5</f>
        <v>0.20016105927445893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16.5" thickTop="1" x14ac:dyDescent="0.25">
      <c r="A18" s="21"/>
      <c r="B18" s="21"/>
      <c r="C18" s="21"/>
      <c r="D18" s="25"/>
      <c r="E18" s="25"/>
      <c r="F18" s="25"/>
      <c r="G18" s="25"/>
      <c r="H18" s="25"/>
      <c r="I18" s="25"/>
      <c r="J18" s="25"/>
      <c r="K18" s="25"/>
      <c r="L18" s="69"/>
      <c r="N18" s="75">
        <f>+N17+0.044</f>
        <v>0.24416105927445891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x14ac:dyDescent="0.25">
      <c r="A19" s="26" t="s">
        <v>45</v>
      </c>
      <c r="B19" s="21"/>
      <c r="C19" s="21"/>
      <c r="D19" s="5">
        <f t="shared" ref="D19:K19" si="2">ROUND(D17/D15,4)</f>
        <v>0.16969999999999999</v>
      </c>
      <c r="E19" s="5">
        <f t="shared" si="2"/>
        <v>0.16969999999999999</v>
      </c>
      <c r="F19" s="5">
        <f t="shared" si="2"/>
        <v>0.1106</v>
      </c>
      <c r="G19" s="5">
        <f t="shared" si="2"/>
        <v>0.1133</v>
      </c>
      <c r="H19" s="5">
        <f t="shared" si="2"/>
        <v>0.1106</v>
      </c>
      <c r="I19" s="5">
        <f t="shared" si="2"/>
        <v>0.1106</v>
      </c>
      <c r="J19" s="5">
        <f t="shared" si="2"/>
        <v>0.35</v>
      </c>
      <c r="K19" s="5">
        <f t="shared" si="2"/>
        <v>0.35</v>
      </c>
      <c r="L19" s="70">
        <f>ROUND(L17/L15,4)</f>
        <v>0.20019999999999999</v>
      </c>
      <c r="M19" s="6" t="s">
        <v>18</v>
      </c>
      <c r="O19" s="27" t="s">
        <v>19</v>
      </c>
      <c r="P19" s="7"/>
      <c r="Q19" s="7" t="s">
        <v>51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x14ac:dyDescent="0.25">
      <c r="D20" s="3"/>
      <c r="E20" s="3"/>
      <c r="F20" s="3"/>
      <c r="G20" s="3"/>
      <c r="H20" s="3"/>
      <c r="I20" s="3"/>
      <c r="K20" s="28"/>
      <c r="L20" s="68"/>
      <c r="M20" s="6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x14ac:dyDescent="0.25">
      <c r="A21" s="21"/>
      <c r="B21" s="21"/>
      <c r="C21" s="21"/>
      <c r="D21" s="21"/>
      <c r="E21" s="21"/>
      <c r="F21" s="21"/>
      <c r="G21" s="21"/>
      <c r="H21" s="21"/>
      <c r="I21" s="21"/>
      <c r="K21" s="27" t="s">
        <v>46</v>
      </c>
      <c r="L21" s="71">
        <v>4.3999999999999997E-2</v>
      </c>
      <c r="M21" s="6"/>
      <c r="O21" s="7" t="s">
        <v>20</v>
      </c>
      <c r="P21" s="7"/>
      <c r="Q21" s="29">
        <v>3.4000000000000002E-2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x14ac:dyDescent="0.25">
      <c r="D22" s="10"/>
      <c r="E22" s="10"/>
      <c r="F22" s="10"/>
      <c r="G22" s="10"/>
      <c r="H22" s="10"/>
      <c r="I22" s="10"/>
      <c r="K22" s="30"/>
      <c r="L22" s="68"/>
      <c r="M22" s="6"/>
      <c r="O22" s="7" t="s">
        <v>21</v>
      </c>
      <c r="P22" s="7"/>
      <c r="Q22" s="29">
        <v>0.01</v>
      </c>
      <c r="R22" s="7" t="s">
        <v>22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6.5" thickBot="1" x14ac:dyDescent="0.3">
      <c r="D23" s="7"/>
      <c r="E23" s="7"/>
      <c r="F23" s="7"/>
      <c r="G23" s="7"/>
      <c r="H23" s="7"/>
      <c r="I23" s="7"/>
      <c r="K23" s="31" t="s">
        <v>55</v>
      </c>
      <c r="L23" s="72">
        <f>SUM(L19:L21)</f>
        <v>0.24419999999999997</v>
      </c>
      <c r="M23" s="6"/>
      <c r="N23" s="32"/>
      <c r="O23" s="7"/>
      <c r="P23" s="7"/>
      <c r="Q23" s="33">
        <f>+Q21+Q22</f>
        <v>4.4000000000000004E-2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17.25" thickTop="1" thickBot="1" x14ac:dyDescent="0.3">
      <c r="D24" s="7"/>
      <c r="E24" s="7"/>
      <c r="F24" s="7"/>
      <c r="G24" s="7"/>
      <c r="H24" s="7"/>
      <c r="I24" s="7"/>
      <c r="K24" s="31"/>
      <c r="L24" s="73"/>
      <c r="M24" s="6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x14ac:dyDescent="0.25">
      <c r="A25" s="34" t="s">
        <v>23</v>
      </c>
      <c r="B25" s="35"/>
      <c r="C25" s="36"/>
      <c r="D25" s="37"/>
      <c r="E25" s="37"/>
      <c r="F25" s="37"/>
      <c r="G25" s="37"/>
      <c r="H25" s="37"/>
      <c r="I25" s="37"/>
      <c r="J25" s="37"/>
      <c r="K25" s="38"/>
      <c r="L25" s="8"/>
      <c r="M25" s="6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x14ac:dyDescent="0.25">
      <c r="A26" s="39" t="s">
        <v>41</v>
      </c>
      <c r="D26" s="25">
        <f>ROUND(19050*0.1,0)</f>
        <v>1905</v>
      </c>
      <c r="E26" s="25">
        <f>D26</f>
        <v>1905</v>
      </c>
      <c r="F26" s="25">
        <f t="shared" ref="F26" si="3">E26</f>
        <v>1905</v>
      </c>
      <c r="G26" s="25">
        <v>0</v>
      </c>
      <c r="H26" s="25">
        <f>F26</f>
        <v>1905</v>
      </c>
      <c r="I26" s="25">
        <f>H26</f>
        <v>1905</v>
      </c>
      <c r="J26" s="25">
        <v>0</v>
      </c>
      <c r="K26" s="40">
        <v>0</v>
      </c>
      <c r="L26" s="43">
        <f>+L19+L21-L21*L19</f>
        <v>0.23539119999999997</v>
      </c>
      <c r="M26" s="6"/>
      <c r="N26" s="41">
        <v>0.1</v>
      </c>
      <c r="O26" s="7">
        <v>19050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25">
      <c r="A27" s="39" t="s">
        <v>40</v>
      </c>
      <c r="D27" s="3">
        <f>ROUND((77400-19050)*0.12,0)</f>
        <v>7002</v>
      </c>
      <c r="E27" s="3">
        <f t="shared" ref="E27:G32" si="4">D27</f>
        <v>7002</v>
      </c>
      <c r="F27" s="3">
        <f>ROUND((+F15-19050)*0.12,0)</f>
        <v>2557</v>
      </c>
      <c r="G27" s="3">
        <v>0</v>
      </c>
      <c r="H27" s="3">
        <f t="shared" ref="H27:H32" si="5">F27</f>
        <v>2557</v>
      </c>
      <c r="I27" s="3">
        <f t="shared" ref="I27:J32" si="6">H27</f>
        <v>2557</v>
      </c>
      <c r="J27" s="3">
        <v>0</v>
      </c>
      <c r="K27" s="42">
        <v>0</v>
      </c>
      <c r="L27" s="43"/>
      <c r="M27" s="6"/>
      <c r="N27" s="41">
        <v>0.12</v>
      </c>
      <c r="O27" s="7">
        <v>77400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x14ac:dyDescent="0.25">
      <c r="A28" s="39" t="s">
        <v>39</v>
      </c>
      <c r="D28" s="3">
        <f>ROUND((+D15-77400)*0.22,0)</f>
        <v>18487</v>
      </c>
      <c r="E28" s="3">
        <f t="shared" si="4"/>
        <v>18487</v>
      </c>
      <c r="F28" s="3">
        <f>(148850-73800)*0.25*0</f>
        <v>0</v>
      </c>
      <c r="G28" s="3">
        <v>0</v>
      </c>
      <c r="H28" s="3">
        <f t="shared" si="5"/>
        <v>0</v>
      </c>
      <c r="I28" s="3">
        <f t="shared" si="6"/>
        <v>0</v>
      </c>
      <c r="J28" s="3">
        <v>0</v>
      </c>
      <c r="K28" s="42">
        <v>0</v>
      </c>
      <c r="L28" s="84"/>
      <c r="M28" s="85"/>
      <c r="N28" s="41">
        <v>0.22</v>
      </c>
      <c r="O28" s="7">
        <v>165000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x14ac:dyDescent="0.25">
      <c r="A29" s="39" t="s">
        <v>38</v>
      </c>
      <c r="D29" s="3">
        <v>0</v>
      </c>
      <c r="E29" s="3">
        <f t="shared" si="4"/>
        <v>0</v>
      </c>
      <c r="F29" s="3">
        <f>(178939-148850)*0.28*0</f>
        <v>0</v>
      </c>
      <c r="G29" s="3">
        <f t="shared" si="4"/>
        <v>0</v>
      </c>
      <c r="H29" s="3">
        <f t="shared" si="5"/>
        <v>0</v>
      </c>
      <c r="I29" s="3">
        <f t="shared" si="6"/>
        <v>0</v>
      </c>
      <c r="J29" s="3">
        <f t="shared" si="6"/>
        <v>0</v>
      </c>
      <c r="K29" s="42">
        <v>0</v>
      </c>
      <c r="L29" s="84"/>
      <c r="M29" s="85"/>
      <c r="N29" s="41">
        <v>0.24</v>
      </c>
      <c r="O29" s="7">
        <v>315000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x14ac:dyDescent="0.25">
      <c r="A30" s="39" t="s">
        <v>37</v>
      </c>
      <c r="D30" s="3">
        <f>(400000-315001)*0.32*0</f>
        <v>0</v>
      </c>
      <c r="E30" s="3">
        <f t="shared" si="4"/>
        <v>0</v>
      </c>
      <c r="F30" s="3">
        <v>0</v>
      </c>
      <c r="G30" s="3">
        <f t="shared" si="4"/>
        <v>0</v>
      </c>
      <c r="H30" s="3">
        <f t="shared" si="5"/>
        <v>0</v>
      </c>
      <c r="I30" s="3">
        <f t="shared" si="6"/>
        <v>0</v>
      </c>
      <c r="J30" s="3">
        <f t="shared" si="6"/>
        <v>0</v>
      </c>
      <c r="K30" s="42">
        <v>0</v>
      </c>
      <c r="L30" s="76"/>
      <c r="M30" s="6"/>
      <c r="N30" s="41">
        <v>0.32</v>
      </c>
      <c r="O30" s="7">
        <v>400000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x14ac:dyDescent="0.25">
      <c r="A31" s="39" t="s">
        <v>28</v>
      </c>
      <c r="D31" s="3">
        <f>(D15-400000)*0.35*0</f>
        <v>0</v>
      </c>
      <c r="E31" s="3">
        <f t="shared" si="4"/>
        <v>0</v>
      </c>
      <c r="F31" s="3">
        <v>0</v>
      </c>
      <c r="G31" s="3">
        <f t="shared" si="4"/>
        <v>0</v>
      </c>
      <c r="H31" s="3">
        <f t="shared" si="5"/>
        <v>0</v>
      </c>
      <c r="I31" s="3">
        <f t="shared" si="6"/>
        <v>0</v>
      </c>
      <c r="J31" s="3">
        <f t="shared" si="6"/>
        <v>0</v>
      </c>
      <c r="K31" s="42">
        <v>0</v>
      </c>
      <c r="L31" s="44"/>
      <c r="M31" s="6"/>
      <c r="N31" s="41">
        <v>0.35</v>
      </c>
      <c r="O31" s="7">
        <v>600000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x14ac:dyDescent="0.25">
      <c r="A32" s="39" t="s">
        <v>36</v>
      </c>
      <c r="D32" s="3">
        <v>0</v>
      </c>
      <c r="E32" s="3">
        <f t="shared" si="4"/>
        <v>0</v>
      </c>
      <c r="F32" s="3">
        <f t="shared" si="4"/>
        <v>0</v>
      </c>
      <c r="G32" s="3">
        <f t="shared" si="4"/>
        <v>0</v>
      </c>
      <c r="H32" s="3">
        <f t="shared" si="5"/>
        <v>0</v>
      </c>
      <c r="I32" s="3">
        <f t="shared" si="6"/>
        <v>0</v>
      </c>
      <c r="J32" s="3">
        <f t="shared" si="6"/>
        <v>0</v>
      </c>
      <c r="K32" s="42">
        <v>0</v>
      </c>
      <c r="L32" s="44"/>
      <c r="M32" s="6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ht="16.5" thickBot="1" x14ac:dyDescent="0.3">
      <c r="A33" s="45"/>
      <c r="D33" s="46">
        <f>SUM(D26:D32)</f>
        <v>27394</v>
      </c>
      <c r="E33" s="46">
        <f t="shared" ref="E33:K33" si="7">SUM(E26:E32)</f>
        <v>27394</v>
      </c>
      <c r="F33" s="46">
        <f t="shared" si="7"/>
        <v>4462</v>
      </c>
      <c r="G33" s="46">
        <f t="shared" si="7"/>
        <v>0</v>
      </c>
      <c r="H33" s="46">
        <f t="shared" si="7"/>
        <v>4462</v>
      </c>
      <c r="I33" s="46">
        <f t="shared" si="7"/>
        <v>4462</v>
      </c>
      <c r="J33" s="46">
        <f t="shared" si="7"/>
        <v>0</v>
      </c>
      <c r="K33" s="47">
        <f t="shared" si="7"/>
        <v>0</v>
      </c>
      <c r="L33" s="44"/>
      <c r="M33" s="6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ht="16.5" thickTop="1" x14ac:dyDescent="0.25">
      <c r="A34" s="45"/>
      <c r="D34" s="3"/>
      <c r="E34" s="3"/>
      <c r="F34" s="3"/>
      <c r="G34" s="3"/>
      <c r="H34" s="3"/>
      <c r="I34" s="3"/>
      <c r="J34" s="3"/>
      <c r="K34" s="42"/>
      <c r="L34" s="44"/>
      <c r="M34" s="6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x14ac:dyDescent="0.25">
      <c r="A35" s="48" t="s">
        <v>24</v>
      </c>
      <c r="B35" s="21"/>
      <c r="D35" s="3"/>
      <c r="E35" s="3"/>
      <c r="F35" s="3"/>
      <c r="G35" s="3"/>
      <c r="H35" s="3"/>
      <c r="I35" s="3"/>
      <c r="J35" s="3"/>
      <c r="K35" s="42"/>
      <c r="L35" s="44"/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x14ac:dyDescent="0.25">
      <c r="A36" s="39" t="s">
        <v>35</v>
      </c>
      <c r="D36" s="25">
        <v>0</v>
      </c>
      <c r="E36" s="25">
        <v>0</v>
      </c>
      <c r="F36" s="25">
        <v>0</v>
      </c>
      <c r="G36" s="25">
        <f>ROUND(13600*0.1,0)</f>
        <v>1360</v>
      </c>
      <c r="H36" s="25">
        <v>0</v>
      </c>
      <c r="I36" s="25">
        <v>0</v>
      </c>
      <c r="J36" s="25">
        <v>0</v>
      </c>
      <c r="K36" s="40">
        <v>0</v>
      </c>
      <c r="L36" s="44"/>
      <c r="M36" s="6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x14ac:dyDescent="0.25">
      <c r="A37" s="39" t="s">
        <v>34</v>
      </c>
      <c r="D37" s="3">
        <v>0</v>
      </c>
      <c r="E37" s="3">
        <v>0</v>
      </c>
      <c r="F37" s="3">
        <v>0</v>
      </c>
      <c r="G37" s="3">
        <f>ROUND((+G15-13600)*0.12,0)</f>
        <v>3211</v>
      </c>
      <c r="H37" s="3">
        <v>0</v>
      </c>
      <c r="I37" s="3">
        <v>0</v>
      </c>
      <c r="J37" s="3">
        <v>0</v>
      </c>
      <c r="K37" s="42">
        <v>0</v>
      </c>
      <c r="L37" s="44"/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x14ac:dyDescent="0.25">
      <c r="A38" s="39" t="s">
        <v>33</v>
      </c>
      <c r="D38" s="3">
        <v>0</v>
      </c>
      <c r="E38" s="3">
        <v>0</v>
      </c>
      <c r="F38" s="3">
        <v>0</v>
      </c>
      <c r="G38" s="3">
        <f>(82500-51800)*0.22*0</f>
        <v>0</v>
      </c>
      <c r="H38" s="3">
        <v>0</v>
      </c>
      <c r="I38" s="3">
        <v>0</v>
      </c>
      <c r="J38" s="3">
        <v>0</v>
      </c>
      <c r="K38" s="42">
        <v>0</v>
      </c>
      <c r="L38" s="44"/>
      <c r="M38" s="6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25">
      <c r="A39" s="39" t="s">
        <v>32</v>
      </c>
      <c r="D39" s="3">
        <v>0</v>
      </c>
      <c r="E39" s="3">
        <v>0</v>
      </c>
      <c r="F39" s="3">
        <v>0</v>
      </c>
      <c r="G39" s="3">
        <f>(G15-82500)*0.24*0</f>
        <v>0</v>
      </c>
      <c r="H39" s="3">
        <v>0</v>
      </c>
      <c r="I39" s="3">
        <v>0</v>
      </c>
      <c r="J39" s="3">
        <v>0</v>
      </c>
      <c r="K39" s="42">
        <v>0</v>
      </c>
      <c r="L39" s="44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x14ac:dyDescent="0.25">
      <c r="A40" s="39" t="s">
        <v>31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42">
        <v>0</v>
      </c>
      <c r="L40" s="44"/>
      <c r="M40" s="6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x14ac:dyDescent="0.25">
      <c r="A41" s="39" t="s">
        <v>29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42">
        <v>0</v>
      </c>
      <c r="L41" s="44"/>
      <c r="M41" s="6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x14ac:dyDescent="0.25">
      <c r="A42" s="39" t="s">
        <v>30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42">
        <v>0</v>
      </c>
      <c r="L42" s="44"/>
      <c r="M42" s="6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ht="16.5" thickBot="1" x14ac:dyDescent="0.3">
      <c r="A43" s="39"/>
      <c r="D43" s="46">
        <f t="shared" ref="D43:F43" si="8">SUM(D36:D42)</f>
        <v>0</v>
      </c>
      <c r="E43" s="46">
        <f t="shared" si="8"/>
        <v>0</v>
      </c>
      <c r="F43" s="46">
        <f t="shared" si="8"/>
        <v>0</v>
      </c>
      <c r="G43" s="46">
        <f>SUM(G36:G42)</f>
        <v>4571</v>
      </c>
      <c r="H43" s="46">
        <f t="shared" ref="H43:K43" si="9">SUM(H36:H42)</f>
        <v>0</v>
      </c>
      <c r="I43" s="46">
        <f t="shared" si="9"/>
        <v>0</v>
      </c>
      <c r="J43" s="46">
        <f t="shared" si="9"/>
        <v>0</v>
      </c>
      <c r="K43" s="47">
        <f t="shared" si="9"/>
        <v>0</v>
      </c>
      <c r="L43" s="44"/>
      <c r="M43" s="6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ht="16.5" thickTop="1" x14ac:dyDescent="0.25">
      <c r="A44" s="45"/>
      <c r="D44" s="3"/>
      <c r="E44" s="3"/>
      <c r="F44" s="3"/>
      <c r="G44" s="3"/>
      <c r="H44" s="3"/>
      <c r="I44" s="3"/>
      <c r="J44" s="3"/>
      <c r="K44" s="42"/>
      <c r="L44" s="44"/>
      <c r="M44" s="6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x14ac:dyDescent="0.25">
      <c r="A45" s="48" t="s">
        <v>25</v>
      </c>
      <c r="B45" s="21"/>
      <c r="D45" s="3"/>
      <c r="E45" s="3"/>
      <c r="F45" s="3"/>
      <c r="G45" s="3"/>
      <c r="H45" s="3"/>
      <c r="I45" s="3"/>
      <c r="J45" s="3"/>
      <c r="K45" s="42"/>
      <c r="L45" s="44"/>
      <c r="M45" s="6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x14ac:dyDescent="0.25">
      <c r="A46" s="39" t="s">
        <v>44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f>ROUND(2550*0.1,0)</f>
        <v>255</v>
      </c>
      <c r="K46" s="40">
        <f>J46</f>
        <v>255</v>
      </c>
      <c r="L46" s="44"/>
      <c r="M46" s="6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x14ac:dyDescent="0.25">
      <c r="A47" s="39" t="s">
        <v>42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f>ROUND((9150-2550)*0.24,0)</f>
        <v>1584</v>
      </c>
      <c r="K47" s="42">
        <f t="shared" ref="K47:K49" si="10">J47</f>
        <v>1584</v>
      </c>
      <c r="L47" s="44"/>
      <c r="M47" s="6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x14ac:dyDescent="0.25">
      <c r="A48" s="39" t="s">
        <v>43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f>ROUND((12500-9150)*0.35,0)</f>
        <v>1173</v>
      </c>
      <c r="K48" s="42">
        <f t="shared" si="10"/>
        <v>1173</v>
      </c>
      <c r="L48" s="44"/>
      <c r="M48" s="6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x14ac:dyDescent="0.25">
      <c r="A49" s="39" t="s">
        <v>47</v>
      </c>
      <c r="D49" s="3"/>
      <c r="E49" s="3"/>
      <c r="F49" s="3"/>
      <c r="G49" s="3"/>
      <c r="H49" s="3"/>
      <c r="I49" s="3"/>
      <c r="J49" s="3">
        <f>ROUND((+J15-12500)*0.37,0)</f>
        <v>25240</v>
      </c>
      <c r="K49" s="42">
        <f t="shared" si="10"/>
        <v>25240</v>
      </c>
      <c r="L49" s="44"/>
      <c r="M49" s="6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x14ac:dyDescent="0.25">
      <c r="A50" s="39"/>
      <c r="D50" s="3"/>
      <c r="E50" s="3"/>
      <c r="F50" s="3"/>
      <c r="G50" s="3"/>
      <c r="H50" s="3"/>
      <c r="I50" s="3"/>
      <c r="J50" s="3"/>
      <c r="K50" s="42"/>
      <c r="L50" s="44"/>
      <c r="M50" s="6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ht="16.5" thickBot="1" x14ac:dyDescent="0.3">
      <c r="A51" s="45"/>
      <c r="D51" s="46">
        <f t="shared" ref="D51:H51" si="11">SUM(D46:D50)</f>
        <v>0</v>
      </c>
      <c r="E51" s="46">
        <f t="shared" si="11"/>
        <v>0</v>
      </c>
      <c r="F51" s="46">
        <f t="shared" si="11"/>
        <v>0</v>
      </c>
      <c r="G51" s="46">
        <f t="shared" si="11"/>
        <v>0</v>
      </c>
      <c r="H51" s="46">
        <f t="shared" si="11"/>
        <v>0</v>
      </c>
      <c r="I51" s="46">
        <f>SUM(I46:I50)</f>
        <v>0</v>
      </c>
      <c r="J51" s="46">
        <f>SUM(J46:J50)</f>
        <v>28252</v>
      </c>
      <c r="K51" s="47">
        <f>SUM(K46:K50)</f>
        <v>28252</v>
      </c>
      <c r="L51" s="44"/>
    </row>
    <row r="52" spans="1:32" ht="17.25" thickTop="1" thickBot="1" x14ac:dyDescent="0.3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1"/>
    </row>
    <row r="53" spans="1:32" x14ac:dyDescent="0.25">
      <c r="L53" s="52"/>
    </row>
  </sheetData>
  <mergeCells count="1">
    <mergeCell ref="L28:M29"/>
  </mergeCells>
  <printOptions horizontalCentered="1"/>
  <pageMargins left="0" right="0.45" top="0.75" bottom="0.5" header="0.3" footer="0.3"/>
  <pageSetup scale="5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CF0FAE-4084-45F1-A585-C8C4A4F5AE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36F862-6BAA-413B-A670-9CF4D78D087F}"/>
</file>

<file path=customXml/itemProps3.xml><?xml version="1.0" encoding="utf-8"?>
<ds:datastoreItem xmlns:ds="http://schemas.openxmlformats.org/officeDocument/2006/customXml" ds:itemID="{7FC22D5A-D2B2-42BD-B7A2-58CFDCA56913}">
  <ds:schemaRefs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99180bc4-2f7d-45e7-9e22-353907fb92c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558938a-8a22-4524-afb0-58b16502930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wo QBI</vt:lpstr>
      <vt:lpstr>'2018 wo QBI'!Print_Area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mstull</dc:creator>
  <cp:lastModifiedBy>shcoe</cp:lastModifiedBy>
  <cp:lastPrinted>2020-09-08T13:54:33Z</cp:lastPrinted>
  <dcterms:created xsi:type="dcterms:W3CDTF">2020-09-07T20:04:20Z</dcterms:created>
  <dcterms:modified xsi:type="dcterms:W3CDTF">2020-09-10T21:34:27Z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