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Image1\FILINGS\"/>
    </mc:Choice>
  </mc:AlternateContent>
  <xr:revisionPtr revIDLastSave="0" documentId="8_{9F0F41BC-0E80-4FE7-B3D4-8A8E011131BC}" xr6:coauthVersionLast="46" xr6:coauthVersionMax="46" xr10:uidLastSave="{00000000-0000-0000-0000-000000000000}"/>
  <bookViews>
    <workbookView xWindow="-120" yWindow="-120" windowWidth="19440" windowHeight="10440" xr2:uid="{1318E429-136B-40EE-8268-FF3F7AFB7EC1}"/>
  </bookViews>
  <sheets>
    <sheet name="Cover Page" sheetId="2" r:id="rId1"/>
    <sheet name="WP 23 Petition Disclosure Info" sheetId="1" r:id="rId2"/>
  </sheets>
  <externalReferences>
    <externalReference r:id="rId3"/>
    <externalReference r:id="rId4"/>
  </externalReferences>
  <definedNames>
    <definedName name="\A" localSheetId="0">#REF!</definedName>
    <definedName name="\A">[1]Instructions_Input!#REF!</definedName>
    <definedName name="\B">#REF!</definedName>
    <definedName name="\C">#REF!</definedName>
    <definedName name="\D" localSheetId="0">#REF!</definedName>
    <definedName name="\D">[1]RS!#REF!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P" localSheetId="0">#REF!</definedName>
    <definedName name="\P">#REF!</definedName>
    <definedName name="\Q" localSheetId="0">#REF!</definedName>
    <definedName name="\R">#REF!</definedName>
    <definedName name="\S">#REF!</definedName>
    <definedName name="\T">#REF!</definedName>
    <definedName name="\U">#REF!</definedName>
    <definedName name="\V">#REF!</definedName>
    <definedName name="\W">#REF!</definedName>
    <definedName name="\Y">#REF!</definedName>
    <definedName name="\Z">#REF!</definedName>
    <definedName name="_CCR30">#REF!</definedName>
    <definedName name="_Order1" hidden="1">255</definedName>
    <definedName name="A1_">#REF!</definedName>
    <definedName name="AGIN" localSheetId="0">#REF!</definedName>
    <definedName name="AGIN">[1]Instructions_Input!#REF!</definedName>
    <definedName name="AVGCAP">#REF!</definedName>
    <definedName name="BAL">#REF!</definedName>
    <definedName name="BilledKWH">#REF!</definedName>
    <definedName name="CALCWIP">#REF!</definedName>
    <definedName name="CAP">#REF!</definedName>
    <definedName name="CAPST">#REF!</definedName>
    <definedName name="CAPSTR">#REF!</definedName>
    <definedName name="ClassSales_dir">#REF!</definedName>
    <definedName name="ClassSales_file">#REF!</definedName>
    <definedName name="ClassSales_tab">#REF!</definedName>
    <definedName name="CMSDIR7020">[2]MACRO!#REF!</definedName>
    <definedName name="CMSFILE">[2]MACRO!#REF!</definedName>
    <definedName name="CMSRateCode">#REF!</definedName>
    <definedName name="CO30_1_2">#REF!</definedName>
    <definedName name="CO30_2_2">#REF!</definedName>
    <definedName name="COMFEE">#REF!</definedName>
    <definedName name="COMP">#REF!</definedName>
    <definedName name="COMP1">#REF!</definedName>
    <definedName name="COMP2">#REF!</definedName>
    <definedName name="COMPARE">#REF!</definedName>
    <definedName name="CONTINUE" localSheetId="0">#REF!</definedName>
    <definedName name="CONTINUE">[1]Instructions_Input!#REF!</definedName>
    <definedName name="CRS_CCOC71" localSheetId="0">#REF!</definedName>
    <definedName name="CRS_CCOC71">[1]RS!#REF!</definedName>
    <definedName name="CS_CCOC71" localSheetId="0">#REF!</definedName>
    <definedName name="CS_CCOC71">[1]CS!#REF!</definedName>
    <definedName name="CS_EMISS" localSheetId="0">#REF!</definedName>
    <definedName name="CS_EMISS">[1]CS!#REF!</definedName>
    <definedName name="CS_MISO68">#REF!</definedName>
    <definedName name="CS_PPT67">#REF!</definedName>
    <definedName name="CS_QPCP">#REF!</definedName>
    <definedName name="CS_SRA70">#REF!</definedName>
    <definedName name="curr_rate">#REF!</definedName>
    <definedName name="customer">#REF!</definedName>
    <definedName name="Date">[2]MACRO!$B$22</definedName>
    <definedName name="DEBTST">#REF!</definedName>
    <definedName name="DIR">#REF!</definedName>
    <definedName name="Dir_7020">#REF!</definedName>
    <definedName name="EACOST">#REF!</definedName>
    <definedName name="ECON">#REF!</definedName>
    <definedName name="ED_1">#REF!</definedName>
    <definedName name="ED_2">#REF!</definedName>
    <definedName name="ED_3">#REF!</definedName>
    <definedName name="ED_4">#REF!</definedName>
    <definedName name="ED_B">#REF!</definedName>
    <definedName name="ED_C">#REF!</definedName>
    <definedName name="ED_CSCH1">#REF!</definedName>
    <definedName name="ED_D">#REF!</definedName>
    <definedName name="EXHIBITA">#REF!</definedName>
    <definedName name="EXHIBITC">#REF!</definedName>
    <definedName name="EXHIBITC1">#REF!</definedName>
    <definedName name="EXHIBITD">#REF!</definedName>
    <definedName name="EXHIBITE">#REF!</definedName>
    <definedName name="EXTRA">#REF!</definedName>
    <definedName name="FEES">#REF!</definedName>
    <definedName name="FILE_NAME">#REF!</definedName>
    <definedName name="Filename_7020">#REF!</definedName>
    <definedName name="FUELCLAUSE" localSheetId="0">#REF!</definedName>
    <definedName name="FUELCLAUSE">[1]RS!$C$11</definedName>
    <definedName name="FULL_DIR">#REF!</definedName>
    <definedName name="full_dir_7020">#REF!</definedName>
    <definedName name="HLF_138">#REF!</definedName>
    <definedName name="HLF_24_34">#REF!</definedName>
    <definedName name="HLF_69">#REF!</definedName>
    <definedName name="HLF_CCOC71" localSheetId="0">#REF!</definedName>
    <definedName name="HLF_CCOC71">[1]HLF!#REF!</definedName>
    <definedName name="HLF_DSM66" localSheetId="0">#REF!</definedName>
    <definedName name="HLF_DSM66">[1]HLF!#REF!</definedName>
    <definedName name="HLF_ED" localSheetId="0">#REF!</definedName>
    <definedName name="HLF_ED">[1]HLF!#REF!</definedName>
    <definedName name="HLF_EMISS" localSheetId="0">#REF!</definedName>
    <definedName name="HLF_EMISS">[1]HLF!#REF!</definedName>
    <definedName name="HLF_MISO68">#REF!</definedName>
    <definedName name="HLF_PPT67">#REF!</definedName>
    <definedName name="HLF_QPCP">#REF!</definedName>
    <definedName name="HLF_SEC">#REF!</definedName>
    <definedName name="HLF_SRA70">#REF!</definedName>
    <definedName name="KWH">#REF!</definedName>
    <definedName name="LETTER">#REF!</definedName>
    <definedName name="LETTER1">#REF!</definedName>
    <definedName name="LLF_PRI">#REF!</definedName>
    <definedName name="LLF_PRI2">#REF!</definedName>
    <definedName name="LLF_QPCP">#REF!</definedName>
    <definedName name="LLF_SEC">#REF!</definedName>
    <definedName name="LOCATE">#REF!</definedName>
    <definedName name="LTDEBT">#REF!</definedName>
    <definedName name="MLF_DESTEC" localSheetId="0">#REF!</definedName>
    <definedName name="MLF_DESTEC">#REF!</definedName>
    <definedName name="MLF_DSM65" localSheetId="0">#REF!</definedName>
    <definedName name="MLF_DSM65">#REF!</definedName>
    <definedName name="MLF_DSM66" localSheetId="0">#REF!</definedName>
    <definedName name="MLF_DSM66">#REF!</definedName>
    <definedName name="MLF_ED" localSheetId="0">#REF!</definedName>
    <definedName name="MLF_ED">#REF!</definedName>
    <definedName name="MLF_EMISS" localSheetId="0">#REF!</definedName>
    <definedName name="MLF_EMISS">#REF!</definedName>
    <definedName name="MLF_PRI" localSheetId="0">#REF!</definedName>
    <definedName name="MLF_PRI">#REF!</definedName>
    <definedName name="MLF_PRI2" localSheetId="0">#REF!</definedName>
    <definedName name="MLF_PRI2">#REF!</definedName>
    <definedName name="MLF_QPCP" localSheetId="0">#REF!</definedName>
    <definedName name="MLF_QPCP">#REF!</definedName>
    <definedName name="MLF_SEC" localSheetId="0">#REF!</definedName>
    <definedName name="MLF_SEC">#REF!</definedName>
    <definedName name="Month">#REF!</definedName>
    <definedName name="MORE" localSheetId="0">#REF!</definedName>
    <definedName name="MORE">[1]Instructions_Input!#REF!</definedName>
    <definedName name="MTN">#REF!</definedName>
    <definedName name="MTNA">#REF!</definedName>
    <definedName name="MTNB">#REF!</definedName>
    <definedName name="NETL_GDT">#REF!</definedName>
    <definedName name="NETPREXP">#REF!</definedName>
    <definedName name="nonfirm_rate">#REF!</definedName>
    <definedName name="PAGE1">#REF!</definedName>
    <definedName name="PREFER">#REF!</definedName>
    <definedName name="PRINT" localSheetId="0">#REF!</definedName>
    <definedName name="PRINT">[1]Instructions_Input!#REF!</definedName>
    <definedName name="_xlnm.Print_Area" localSheetId="1">'WP 23 Petition Disclosure Info'!$A$1:$V$43</definedName>
    <definedName name="PRT_MORE" localSheetId="0">#REF!</definedName>
    <definedName name="PRT_MORE">[1]Instructions_Input!#REF!</definedName>
    <definedName name="QUARTER_1" localSheetId="0">#REF!</definedName>
    <definedName name="QUARTER_1">#REF!</definedName>
    <definedName name="QUARTER_2" localSheetId="0">#REF!</definedName>
    <definedName name="QUARTER_2">#REF!</definedName>
    <definedName name="QUARTER_3" localSheetId="0">#REF!</definedName>
    <definedName name="QUARTER_3">#REF!</definedName>
    <definedName name="QUARTER_4" localSheetId="0">#REF!</definedName>
    <definedName name="QUARTER_4">#REF!</definedName>
    <definedName name="QUARTER_94" localSheetId="0">#REF!</definedName>
    <definedName name="QUARTER_94">#REF!</definedName>
    <definedName name="QUARTER_95" localSheetId="0">#REF!</definedName>
    <definedName name="QUARTER_95">#REF!</definedName>
    <definedName name="QUARTER_96" localSheetId="0">#REF!</definedName>
    <definedName name="QUARTER_96">#REF!</definedName>
    <definedName name="RATE">#REF!</definedName>
    <definedName name="rate_titles">#REF!</definedName>
    <definedName name="Rates">#REF!</definedName>
    <definedName name="report_MO">#REF!</definedName>
    <definedName name="revclass_Titles">#REF!</definedName>
    <definedName name="revenue">#REF!</definedName>
    <definedName name="ROR">#REF!</definedName>
    <definedName name="RS">#REF!</definedName>
    <definedName name="rs_300kwh">#REF!</definedName>
    <definedName name="rs_700kwh">#REF!</definedName>
    <definedName name="rs_custchg">#REF!</definedName>
    <definedName name="RS_DESTEC" localSheetId="0">#REF!</definedName>
    <definedName name="RS_DESTEC">[1]RS!#REF!</definedName>
    <definedName name="RS_DSM65" localSheetId="0">#REF!</definedName>
    <definedName name="RS_DSM65">[1]RS!#REF!</definedName>
    <definedName name="RS_DSM66" localSheetId="0">#REF!</definedName>
    <definedName name="RS_DSM66">[1]RS!#REF!</definedName>
    <definedName name="RS_ED" localSheetId="0">#REF!</definedName>
    <definedName name="RS_ED">[1]RS!#REF!</definedName>
    <definedName name="RS_EMISS" localSheetId="0">#REF!</definedName>
    <definedName name="RS_EMISS">[1]RS!#REF!</definedName>
    <definedName name="RS_MISO68" localSheetId="0">#REF!</definedName>
    <definedName name="RS_MISO68">[1]RS!$C$16</definedName>
    <definedName name="RS_PPT67" localSheetId="0">#REF!</definedName>
    <definedName name="RS_PPT67">[1]RS!$C$15</definedName>
    <definedName name="RS_QPCP" localSheetId="0">#REF!</definedName>
    <definedName name="RS_QPCP">[1]RS!$C$12</definedName>
    <definedName name="RS_REG" localSheetId="0">#REF!</definedName>
    <definedName name="RS_REG">[1]RS!$C$35</definedName>
    <definedName name="RS_SRA70" localSheetId="0">#REF!</definedName>
    <definedName name="RS_SRA70">[1]RS!$C$17</definedName>
    <definedName name="SALESTAX" localSheetId="0">#REF!</definedName>
    <definedName name="SALESTAX">[1]RS!#REF!</definedName>
    <definedName name="SCH7_1">#REF!</definedName>
    <definedName name="SCH7_2">#REF!</definedName>
    <definedName name="SCH7_3">#REF!</definedName>
    <definedName name="SH_1">#REF!</definedName>
    <definedName name="SH_2">#REF!</definedName>
    <definedName name="SH_3">#REF!</definedName>
    <definedName name="SH_4">#REF!</definedName>
    <definedName name="SH_5">#REF!</definedName>
    <definedName name="SH_6">#REF!</definedName>
    <definedName name="SH_8_1_3">#REF!</definedName>
    <definedName name="SH_8_2_3">#REF!</definedName>
    <definedName name="SH_8_3_3">#REF!</definedName>
    <definedName name="SH_9_1_3">#REF!</definedName>
    <definedName name="SH_9_2_3">#REF!</definedName>
    <definedName name="SH_9_3_3">#REF!</definedName>
    <definedName name="SH10_1">#REF!</definedName>
    <definedName name="SH11_1">#REF!</definedName>
    <definedName name="SHEETF">#REF!</definedName>
    <definedName name="special_rates">#REF!</definedName>
    <definedName name="STEAM">#REF!</definedName>
    <definedName name="STLOANS">#REF!</definedName>
    <definedName name="Tab">#REF!</definedName>
    <definedName name="TEXT">#REF!</definedName>
    <definedName name="W_ACT1_F">#REF!</definedName>
    <definedName name="W_ACT2_S">#REF!</definedName>
    <definedName name="W_ACT3_F">#REF!</definedName>
    <definedName name="W_ACT3_S">#REF!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30" i="1" l="1"/>
  <c r="T30" i="1"/>
  <c r="U30" i="1"/>
  <c r="A14" i="1"/>
  <c r="A15" i="1"/>
  <c r="A16" i="1"/>
  <c r="A18" i="1"/>
  <c r="A19" i="1"/>
  <c r="A20" i="1"/>
  <c r="A21" i="1"/>
  <c r="A23" i="1"/>
  <c r="A24" i="1"/>
  <c r="A26" i="1"/>
  <c r="A30" i="1"/>
  <c r="V30" i="1"/>
  <c r="S31" i="1"/>
  <c r="T31" i="1"/>
  <c r="U31" i="1"/>
  <c r="A31" i="1"/>
  <c r="V31" i="1"/>
  <c r="S32" i="1"/>
  <c r="T32" i="1"/>
  <c r="U32" i="1"/>
  <c r="A32" i="1"/>
  <c r="V32" i="1"/>
  <c r="S33" i="1"/>
  <c r="T33" i="1"/>
  <c r="U33" i="1"/>
  <c r="A33" i="1"/>
  <c r="V33" i="1"/>
  <c r="S34" i="1"/>
  <c r="T34" i="1"/>
  <c r="U34" i="1"/>
  <c r="A34" i="1"/>
  <c r="V34" i="1"/>
  <c r="S35" i="1"/>
  <c r="T35" i="1"/>
  <c r="U35" i="1"/>
  <c r="A35" i="1"/>
  <c r="V35" i="1"/>
  <c r="S36" i="1"/>
  <c r="T36" i="1"/>
  <c r="U36" i="1"/>
  <c r="A36" i="1"/>
  <c r="V36" i="1"/>
  <c r="S37" i="1"/>
  <c r="T37" i="1"/>
  <c r="U37" i="1"/>
  <c r="A37" i="1"/>
  <c r="V37" i="1"/>
  <c r="S38" i="1"/>
  <c r="T38" i="1"/>
  <c r="U38" i="1"/>
  <c r="A38" i="1"/>
  <c r="V38" i="1"/>
  <c r="Y41" i="1"/>
  <c r="Z41" i="1"/>
  <c r="X41" i="1"/>
  <c r="A41" i="1"/>
  <c r="V41" i="1"/>
  <c r="D41" i="1"/>
  <c r="Y38" i="1"/>
  <c r="Z38" i="1"/>
  <c r="X38" i="1"/>
  <c r="J38" i="1"/>
  <c r="Y37" i="1"/>
  <c r="Z37" i="1"/>
  <c r="X37" i="1"/>
  <c r="J37" i="1"/>
  <c r="Y36" i="1"/>
  <c r="Z36" i="1"/>
  <c r="X36" i="1"/>
  <c r="J36" i="1"/>
  <c r="Y35" i="1"/>
  <c r="Z35" i="1"/>
  <c r="X35" i="1"/>
  <c r="J35" i="1"/>
  <c r="Y34" i="1"/>
  <c r="Z34" i="1"/>
  <c r="X34" i="1"/>
  <c r="J34" i="1"/>
  <c r="Y33" i="1"/>
  <c r="Z33" i="1"/>
  <c r="X33" i="1"/>
  <c r="J33" i="1"/>
  <c r="Y32" i="1"/>
  <c r="Z32" i="1"/>
  <c r="X32" i="1"/>
  <c r="J32" i="1"/>
  <c r="Y31" i="1"/>
  <c r="Z31" i="1"/>
  <c r="X31" i="1"/>
  <c r="J31" i="1"/>
  <c r="Y30" i="1"/>
  <c r="Z30" i="1"/>
  <c r="X30" i="1"/>
  <c r="J30" i="1"/>
  <c r="R29" i="1"/>
  <c r="T29" i="1"/>
  <c r="N29" i="1"/>
  <c r="L29" i="1"/>
  <c r="J29" i="1"/>
  <c r="H29" i="1"/>
  <c r="V26" i="1"/>
  <c r="N18" i="1"/>
  <c r="N14" i="1"/>
  <c r="N19" i="1"/>
  <c r="N20" i="1"/>
  <c r="N21" i="1"/>
  <c r="N15" i="1"/>
  <c r="N16" i="1"/>
  <c r="N23" i="1"/>
  <c r="N24" i="1"/>
  <c r="P18" i="1"/>
  <c r="P14" i="1"/>
  <c r="P19" i="1"/>
  <c r="P20" i="1"/>
  <c r="P21" i="1"/>
  <c r="P15" i="1"/>
  <c r="P16" i="1"/>
  <c r="P23" i="1"/>
  <c r="P24" i="1"/>
  <c r="R18" i="1"/>
  <c r="R14" i="1"/>
  <c r="R19" i="1"/>
  <c r="R20" i="1"/>
  <c r="R21" i="1"/>
  <c r="R15" i="1"/>
  <c r="R16" i="1"/>
  <c r="R23" i="1"/>
  <c r="R24" i="1"/>
  <c r="T18" i="1"/>
  <c r="T14" i="1"/>
  <c r="T19" i="1"/>
  <c r="T20" i="1"/>
  <c r="T21" i="1"/>
  <c r="T15" i="1"/>
  <c r="T16" i="1"/>
  <c r="T23" i="1"/>
  <c r="T24" i="1"/>
  <c r="Z18" i="1"/>
  <c r="Z19" i="1"/>
  <c r="Z21" i="1"/>
  <c r="Z20" i="1"/>
  <c r="Z23" i="1"/>
  <c r="Z24" i="1"/>
  <c r="N26" i="1"/>
  <c r="H18" i="1"/>
  <c r="H14" i="1"/>
  <c r="H19" i="1"/>
  <c r="H20" i="1"/>
  <c r="H21" i="1"/>
  <c r="H15" i="1"/>
  <c r="H16" i="1"/>
  <c r="H23" i="1"/>
  <c r="H24" i="1"/>
  <c r="J18" i="1"/>
  <c r="J14" i="1"/>
  <c r="J19" i="1"/>
  <c r="J20" i="1"/>
  <c r="J21" i="1"/>
  <c r="J15" i="1"/>
  <c r="J16" i="1"/>
  <c r="J23" i="1"/>
  <c r="J24" i="1"/>
  <c r="L18" i="1"/>
  <c r="L14" i="1"/>
  <c r="L19" i="1"/>
  <c r="L20" i="1"/>
  <c r="L21" i="1"/>
  <c r="L15" i="1"/>
  <c r="L16" i="1"/>
  <c r="L23" i="1"/>
  <c r="L24" i="1"/>
  <c r="Y18" i="1"/>
  <c r="Y19" i="1"/>
  <c r="Y21" i="1"/>
  <c r="Y20" i="1"/>
  <c r="Y23" i="1"/>
  <c r="Y24" i="1"/>
  <c r="H26" i="1"/>
  <c r="F18" i="1"/>
  <c r="F14" i="1"/>
  <c r="F19" i="1"/>
  <c r="F20" i="1"/>
  <c r="F21" i="1"/>
  <c r="F15" i="1"/>
  <c r="F16" i="1"/>
  <c r="F23" i="1"/>
  <c r="F24" i="1"/>
  <c r="F26" i="1"/>
  <c r="V24" i="1"/>
  <c r="V23" i="1"/>
  <c r="Z22" i="1"/>
  <c r="Y22" i="1"/>
  <c r="V21" i="1"/>
  <c r="C21" i="1"/>
  <c r="V20" i="1"/>
  <c r="C20" i="1"/>
  <c r="V19" i="1"/>
  <c r="C14" i="1"/>
  <c r="C19" i="1"/>
  <c r="V18" i="1"/>
  <c r="V16" i="1"/>
  <c r="V15" i="1"/>
  <c r="C15" i="1"/>
  <c r="V14" i="1"/>
  <c r="V13" i="1"/>
  <c r="C12" i="1"/>
  <c r="C4" i="1"/>
</calcChain>
</file>

<file path=xl/sharedStrings.xml><?xml version="1.0" encoding="utf-8"?>
<sst xmlns="http://schemas.openxmlformats.org/spreadsheetml/2006/main" count="90" uniqueCount="69">
  <si>
    <t>Duke Energy Indiana, LLC</t>
  </si>
  <si>
    <t>Residential</t>
  </si>
  <si>
    <t>Commercial</t>
  </si>
  <si>
    <t>Industrial</t>
  </si>
  <si>
    <t>Rate Code</t>
  </si>
  <si>
    <t>RS</t>
  </si>
  <si>
    <t>CS</t>
  </si>
  <si>
    <t>LLF</t>
  </si>
  <si>
    <t>HLF</t>
  </si>
  <si>
    <t>Line</t>
  </si>
  <si>
    <t>kWh</t>
  </si>
  <si>
    <t>No</t>
  </si>
  <si>
    <t>Description                                                          KW</t>
  </si>
  <si>
    <t>NA</t>
  </si>
  <si>
    <t>(A)</t>
  </si>
  <si>
    <t>(B)</t>
  </si>
  <si>
    <t>(C)</t>
  </si>
  <si>
    <t>(D)</t>
  </si>
  <si>
    <t>(E)</t>
  </si>
  <si>
    <t>(F)</t>
  </si>
  <si>
    <t>(G)</t>
  </si>
  <si>
    <t>(H)</t>
  </si>
  <si>
    <t>Base Bill</t>
  </si>
  <si>
    <t>DO NOT DELETE</t>
  </si>
  <si>
    <t>Total Current Bill</t>
  </si>
  <si>
    <t>Data for Percent Change Lines</t>
  </si>
  <si>
    <t>Maximum</t>
  </si>
  <si>
    <t>Minimum</t>
  </si>
  <si>
    <t>Both above</t>
  </si>
  <si>
    <t>Both below</t>
  </si>
  <si>
    <t>Straddle</t>
  </si>
  <si>
    <t>$ Increase/(Decrease)</t>
  </si>
  <si>
    <t>Percent</t>
  </si>
  <si>
    <t>% Increase/(Decrease)</t>
  </si>
  <si>
    <t>Incr/Decr</t>
  </si>
  <si>
    <t>Percent Change by Customer Class</t>
  </si>
  <si>
    <t>Incl/Excl</t>
  </si>
  <si>
    <t>HLF Indices for calculation</t>
  </si>
  <si>
    <t>Current Rider Rates</t>
  </si>
  <si>
    <t>$/kWh</t>
  </si>
  <si>
    <t>$/KWH-$/KW</t>
  </si>
  <si>
    <t>KWH</t>
  </si>
  <si>
    <t>KW</t>
  </si>
  <si>
    <t>Rider 60</t>
  </si>
  <si>
    <t>Fuel Cost Adjustment</t>
  </si>
  <si>
    <t>/kWh</t>
  </si>
  <si>
    <t>Rider 62</t>
  </si>
  <si>
    <t>Environmental Compliance Adjustment</t>
  </si>
  <si>
    <t>/KW</t>
  </si>
  <si>
    <t>Rider 65</t>
  </si>
  <si>
    <t>Transmission &amp; Distribution Improvement Cost Adjustment</t>
  </si>
  <si>
    <t>Rider 66</t>
  </si>
  <si>
    <t>Energy Efficiency Adjustment (for Participating Customers)</t>
  </si>
  <si>
    <t>Rider 67</t>
  </si>
  <si>
    <t>Credits Adjustment</t>
  </si>
  <si>
    <t>Rider 68</t>
  </si>
  <si>
    <t>RTO Non-Fuel Costs and Revenue Adjustment</t>
  </si>
  <si>
    <t>Rider 70</t>
  </si>
  <si>
    <t>Reliability Adjustment</t>
  </si>
  <si>
    <t>Rider 72</t>
  </si>
  <si>
    <t>Federally Mandated Cost Adjustment</t>
  </si>
  <si>
    <t>Rider 73</t>
  </si>
  <si>
    <t>Renewable Energy Project Adjustment</t>
  </si>
  <si>
    <t>Proposed Rider Rate:</t>
  </si>
  <si>
    <r>
      <t xml:space="preserve">(1) Current Rider charges were calculated based on rates above for each of the data points listed.  The rates shown in </t>
    </r>
    <r>
      <rPr>
        <b/>
        <sz val="11"/>
        <color rgb="FFC00000"/>
        <rFont val="Calibri"/>
        <family val="2"/>
        <scheme val="minor"/>
      </rPr>
      <t>bold dark red</t>
    </r>
    <r>
      <rPr>
        <sz val="11"/>
        <color theme="1"/>
        <rFont val="Calibri"/>
        <family val="2"/>
        <scheme val="minor"/>
      </rPr>
      <t xml:space="preserve"> type for HLF are applied to KW demand amounts (vs. kWh energy usage).</t>
    </r>
  </si>
  <si>
    <t>IURC CAUSE NO. 44720 TDSIC-9</t>
  </si>
  <si>
    <t>On behalf of DUKE ENERGY INDIANA, LLC</t>
  </si>
  <si>
    <t>Workpapers of Maria T. Diaz</t>
  </si>
  <si>
    <t>Revised Workpaper 23-MTD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</si>
</sst>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7" formatCode="&quot;$&quot;#,##0.00_);\(&quot;$&quot;#,##0.00\)"/>
    <numFmt numFmtId="43" formatCode="_(* #,##0.00_);_(* \(#,##0.00\);_(* &quot;-&quot;??_);_(@_)"/>
    <numFmt numFmtId="164" formatCode="0.0%_);\(0.0%\)"/>
    <numFmt numFmtId="165" formatCode="0.0%"/>
    <numFmt numFmtId="166" formatCode="0.0000%"/>
    <numFmt numFmtId="167" formatCode="_(* #,##0.000000_);_(* \(#,##0.0000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i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0" borderId="0"/>
  </cellStyleXfs>
  <cellXfs count="66">
    <xf numFmtId="0" fontId="0" fillId="0" borderId="0" xfId="0"/>
    <xf numFmtId="0" fontId="1" fillId="0" borderId="0" xfId="3"/>
    <xf numFmtId="0" fontId="1" fillId="0" borderId="0" xfId="3" applyAlignment="1">
      <alignment horizontal="center"/>
    </xf>
    <xf numFmtId="0" fontId="2" fillId="0" borderId="0" xfId="3" applyFont="1" applyAlignment="1">
      <alignment horizontal="center"/>
    </xf>
    <xf numFmtId="0" fontId="2" fillId="0" borderId="0" xfId="3" applyFont="1"/>
    <xf numFmtId="0" fontId="2" fillId="0" borderId="1" xfId="3" applyFont="1" applyBorder="1" applyAlignment="1">
      <alignment horizontal="center"/>
    </xf>
    <xf numFmtId="37" fontId="2" fillId="0" borderId="0" xfId="3" applyNumberFormat="1" applyFont="1"/>
    <xf numFmtId="0" fontId="2" fillId="0" borderId="0" xfId="3" applyFont="1" applyAlignment="1">
      <alignment horizontal="right"/>
    </xf>
    <xf numFmtId="0" fontId="2" fillId="0" borderId="2" xfId="3" applyFont="1" applyBorder="1" applyAlignment="1">
      <alignment horizontal="center"/>
    </xf>
    <xf numFmtId="0" fontId="2" fillId="0" borderId="3" xfId="3" applyFont="1" applyBorder="1" applyAlignment="1">
      <alignment horizontal="center"/>
    </xf>
    <xf numFmtId="37" fontId="2" fillId="0" borderId="4" xfId="3" applyNumberFormat="1" applyFont="1" applyBorder="1" applyAlignment="1">
      <alignment horizontal="center"/>
    </xf>
    <xf numFmtId="0" fontId="2" fillId="0" borderId="4" xfId="3" applyFont="1" applyBorder="1" applyAlignment="1">
      <alignment horizontal="center"/>
    </xf>
    <xf numFmtId="0" fontId="2" fillId="0" borderId="5" xfId="3" applyFont="1" applyBorder="1" applyAlignment="1">
      <alignment horizontal="center"/>
    </xf>
    <xf numFmtId="37" fontId="2" fillId="0" borderId="6" xfId="3" applyNumberFormat="1" applyFont="1" applyBorder="1" applyAlignment="1">
      <alignment horizontal="center"/>
    </xf>
    <xf numFmtId="37" fontId="2" fillId="0" borderId="0" xfId="3" applyNumberFormat="1" applyFont="1" applyAlignment="1">
      <alignment horizontal="center"/>
    </xf>
    <xf numFmtId="37" fontId="2" fillId="0" borderId="7" xfId="3" applyNumberFormat="1" applyFont="1" applyBorder="1" applyAlignment="1">
      <alignment horizontal="center"/>
    </xf>
    <xf numFmtId="37" fontId="2" fillId="0" borderId="8" xfId="3" applyNumberFormat="1" applyFont="1" applyBorder="1" applyAlignment="1">
      <alignment horizontal="center"/>
    </xf>
    <xf numFmtId="0" fontId="2" fillId="0" borderId="1" xfId="3" applyFont="1" applyBorder="1"/>
    <xf numFmtId="0" fontId="2" fillId="0" borderId="1" xfId="3" applyFont="1" applyBorder="1" applyAlignment="1">
      <alignment horizontal="right"/>
    </xf>
    <xf numFmtId="37" fontId="2" fillId="0" borderId="9" xfId="3" applyNumberFormat="1" applyFont="1" applyBorder="1" applyAlignment="1">
      <alignment horizontal="center"/>
    </xf>
    <xf numFmtId="37" fontId="2" fillId="0" borderId="10" xfId="3" applyNumberFormat="1" applyFont="1" applyBorder="1" applyAlignment="1">
      <alignment horizontal="center"/>
    </xf>
    <xf numFmtId="37" fontId="2" fillId="0" borderId="1" xfId="3" applyNumberFormat="1" applyFont="1" applyBorder="1" applyAlignment="1">
      <alignment horizontal="center"/>
    </xf>
    <xf numFmtId="37" fontId="2" fillId="0" borderId="11" xfId="3" applyNumberFormat="1" applyFont="1" applyBorder="1" applyAlignment="1">
      <alignment horizontal="center"/>
    </xf>
    <xf numFmtId="0" fontId="1" fillId="0" borderId="0" xfId="3" applyAlignment="1">
      <alignment horizontal="right"/>
    </xf>
    <xf numFmtId="37" fontId="1" fillId="0" borderId="0" xfId="3" quotePrefix="1" applyNumberFormat="1" applyAlignment="1">
      <alignment horizontal="center"/>
    </xf>
    <xf numFmtId="37" fontId="1" fillId="0" borderId="0" xfId="3" applyNumberFormat="1" applyAlignment="1">
      <alignment horizontal="center"/>
    </xf>
    <xf numFmtId="0" fontId="1" fillId="0" borderId="0" xfId="3" applyAlignment="1">
      <alignment horizontal="left" indent="1"/>
    </xf>
    <xf numFmtId="7" fontId="1" fillId="0" borderId="0" xfId="3" applyNumberFormat="1"/>
    <xf numFmtId="39" fontId="1" fillId="0" borderId="0" xfId="3" applyNumberFormat="1"/>
    <xf numFmtId="39" fontId="1" fillId="0" borderId="1" xfId="3" applyNumberFormat="1" applyBorder="1"/>
    <xf numFmtId="0" fontId="2" fillId="0" borderId="0" xfId="3" applyFont="1" applyAlignment="1">
      <alignment horizontal="left" indent="2"/>
    </xf>
    <xf numFmtId="7" fontId="2" fillId="0" borderId="0" xfId="3" applyNumberFormat="1" applyFont="1"/>
    <xf numFmtId="7" fontId="4" fillId="0" borderId="0" xfId="3" applyNumberFormat="1" applyFont="1"/>
    <xf numFmtId="0" fontId="1" fillId="0" borderId="0" xfId="3" applyAlignment="1">
      <alignment horizontal="left"/>
    </xf>
    <xf numFmtId="164" fontId="1" fillId="0" borderId="0" xfId="3" applyNumberFormat="1" applyAlignment="1">
      <alignment horizontal="center"/>
    </xf>
    <xf numFmtId="0" fontId="2" fillId="0" borderId="0" xfId="3" applyFont="1" applyAlignment="1">
      <alignment horizontal="left" indent="1"/>
    </xf>
    <xf numFmtId="165" fontId="1" fillId="0" borderId="0" xfId="2" applyNumberFormat="1" applyFont="1" applyAlignment="1">
      <alignment horizontal="center"/>
    </xf>
    <xf numFmtId="164" fontId="2" fillId="0" borderId="0" xfId="3" applyNumberFormat="1" applyFont="1"/>
    <xf numFmtId="0" fontId="2" fillId="3" borderId="15" xfId="3" applyFont="1" applyFill="1" applyBorder="1" applyAlignment="1">
      <alignment horizontal="center"/>
    </xf>
    <xf numFmtId="0" fontId="2" fillId="0" borderId="15" xfId="3" applyFont="1" applyBorder="1" applyAlignment="1">
      <alignment horizontal="center"/>
    </xf>
    <xf numFmtId="0" fontId="6" fillId="0" borderId="0" xfId="3" applyFont="1"/>
    <xf numFmtId="0" fontId="4" fillId="0" borderId="1" xfId="3" applyFont="1" applyBorder="1" applyAlignment="1">
      <alignment horizontal="center"/>
    </xf>
    <xf numFmtId="167" fontId="1" fillId="0" borderId="0" xfId="1" applyNumberFormat="1" applyFont="1"/>
    <xf numFmtId="167" fontId="1" fillId="0" borderId="0" xfId="3" applyNumberFormat="1"/>
    <xf numFmtId="167" fontId="7" fillId="0" borderId="0" xfId="3" applyNumberFormat="1" applyFont="1"/>
    <xf numFmtId="0" fontId="8" fillId="0" borderId="0" xfId="3" applyFont="1" applyAlignment="1">
      <alignment horizontal="left"/>
    </xf>
    <xf numFmtId="0" fontId="1" fillId="4" borderId="0" xfId="3" applyFill="1"/>
    <xf numFmtId="167" fontId="1" fillId="4" borderId="0" xfId="1" applyNumberFormat="1" applyFont="1" applyFill="1"/>
    <xf numFmtId="167" fontId="1" fillId="4" borderId="0" xfId="3" applyNumberFormat="1" applyFill="1"/>
    <xf numFmtId="167" fontId="7" fillId="4" borderId="0" xfId="3" applyNumberFormat="1" applyFont="1" applyFill="1"/>
    <xf numFmtId="165" fontId="1" fillId="0" borderId="0" xfId="3" applyNumberFormat="1"/>
    <xf numFmtId="0" fontId="2" fillId="0" borderId="0" xfId="4" applyFont="1" applyAlignment="1">
      <alignment vertical="center"/>
    </xf>
    <xf numFmtId="0" fontId="1" fillId="0" borderId="0" xfId="4"/>
    <xf numFmtId="0" fontId="2" fillId="3" borderId="12" xfId="3" quotePrefix="1" applyFont="1" applyFill="1" applyBorder="1" applyAlignment="1">
      <alignment horizontal="center"/>
    </xf>
    <xf numFmtId="0" fontId="2" fillId="3" borderId="13" xfId="3" applyFont="1" applyFill="1" applyBorder="1" applyAlignment="1">
      <alignment horizontal="center"/>
    </xf>
    <xf numFmtId="0" fontId="2" fillId="3" borderId="14" xfId="3" applyFont="1" applyFill="1" applyBorder="1" applyAlignment="1">
      <alignment horizontal="center"/>
    </xf>
    <xf numFmtId="166" fontId="2" fillId="3" borderId="12" xfId="3" applyNumberFormat="1" applyFont="1" applyFill="1" applyBorder="1" applyAlignment="1">
      <alignment horizontal="center"/>
    </xf>
    <xf numFmtId="166" fontId="2" fillId="3" borderId="13" xfId="3" applyNumberFormat="1" applyFont="1" applyFill="1" applyBorder="1" applyAlignment="1">
      <alignment horizontal="center"/>
    </xf>
    <xf numFmtId="0" fontId="2" fillId="2" borderId="12" xfId="3" applyFont="1" applyFill="1" applyBorder="1" applyAlignment="1">
      <alignment horizontal="center"/>
    </xf>
    <xf numFmtId="0" fontId="2" fillId="2" borderId="13" xfId="3" applyFont="1" applyFill="1" applyBorder="1" applyAlignment="1">
      <alignment horizontal="center"/>
    </xf>
    <xf numFmtId="0" fontId="2" fillId="2" borderId="14" xfId="3" applyFont="1" applyFill="1" applyBorder="1" applyAlignment="1">
      <alignment horizontal="center"/>
    </xf>
    <xf numFmtId="0" fontId="2" fillId="0" borderId="12" xfId="3" applyFont="1" applyBorder="1" applyAlignment="1">
      <alignment horizontal="center"/>
    </xf>
    <xf numFmtId="0" fontId="2" fillId="0" borderId="14" xfId="3" applyFont="1" applyBorder="1" applyAlignment="1">
      <alignment horizontal="center"/>
    </xf>
    <xf numFmtId="0" fontId="3" fillId="0" borderId="0" xfId="3" applyFont="1" applyAlignment="1">
      <alignment horizontal="center"/>
    </xf>
    <xf numFmtId="0" fontId="2" fillId="0" borderId="1" xfId="3" applyFont="1" applyBorder="1" applyAlignment="1">
      <alignment horizontal="center"/>
    </xf>
    <xf numFmtId="0" fontId="2" fillId="0" borderId="13" xfId="3" applyFont="1" applyBorder="1" applyAlignment="1">
      <alignment horizontal="center"/>
    </xf>
  </cellXfs>
  <cellStyles count="5">
    <cellStyle name="Comma" xfId="1" builtinId="3"/>
    <cellStyle name="Normal" xfId="0" builtinId="0"/>
    <cellStyle name="Normal 2" xfId="3" xr:uid="{AD496DE5-E346-47C8-B54A-1B7678988D97}"/>
    <cellStyle name="Normal 3" xfId="4" xr:uid="{DD095F74-AEB7-4164-8CB6-BB5F1D09B645}"/>
    <cellStyle name="Percent" xfId="2" builtinId="5"/>
  </cellStyles>
  <dxfs count="2">
    <dxf>
      <font>
        <b/>
        <i val="0"/>
        <color rgb="FFC00000"/>
      </font>
    </dxf>
    <dxf>
      <font>
        <b/>
        <i val="0"/>
        <color rgb="FFC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6</xdr:row>
      <xdr:rowOff>0</xdr:rowOff>
    </xdr:from>
    <xdr:to>
      <xdr:col>6</xdr:col>
      <xdr:colOff>533754</xdr:colOff>
      <xdr:row>12</xdr:row>
      <xdr:rowOff>19212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8FBD779-7006-4FDE-BF0C-E63DB1E38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0" y="1143000"/>
          <a:ext cx="2534004" cy="11622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llaborate.duke-energy.com/PSI/RateRev/T&amp;D%20Rider%2065/TDSIC%209/Workpapers/WP%2023-MTD%20-%20%20Rider_Rate%20Comparison_revised%20depr%20&amp;%20prop%20tax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llaborate.duke-energy.com/T&amp;D%20Rider%2065/TDSIC%201/Exhibits%20and%20WPs/Filing%20Version%20-%20Workpapers/support%20worksheets/TDSIC%20Data%20Request%201.6_LLF%20%20HLF%20Voltage%20Differentiated%2012%20ME%20June%202016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_Input"/>
      <sheetName val="RS"/>
      <sheetName val="RS_OPT"/>
      <sheetName val="CS"/>
      <sheetName val="LLF"/>
      <sheetName val="HLF"/>
      <sheetName val="Petition Disclosure Info_AJB"/>
      <sheetName val="Petition Disclosure Info"/>
      <sheetName val="summary"/>
      <sheetName val="SUMMARY COVER SHEET"/>
      <sheetName val="SURVEY"/>
      <sheetName val="SALES and REVENUE SURVEY"/>
      <sheetName val="pg 14"/>
    </sheetNames>
    <sheetDataSet>
      <sheetData sheetId="0"/>
      <sheetData sheetId="1">
        <row r="11">
          <cell r="C11">
            <v>-6.7299999999999999E-4</v>
          </cell>
        </row>
        <row r="12">
          <cell r="C12">
            <v>-1.3290000000000001E-3</v>
          </cell>
        </row>
        <row r="15">
          <cell r="C15">
            <v>-4.6290000000000003E-3</v>
          </cell>
        </row>
        <row r="16">
          <cell r="C16">
            <v>-2.3699999999999999E-4</v>
          </cell>
        </row>
        <row r="17">
          <cell r="C17">
            <v>1.253E-3</v>
          </cell>
        </row>
        <row r="35">
          <cell r="C35">
            <v>9.8146999999999998E-2</v>
          </cell>
        </row>
      </sheetData>
      <sheetData sheetId="2" refreshError="1"/>
      <sheetData sheetId="3">
        <row r="8">
          <cell r="C8">
            <v>-6.7299999999999999E-4</v>
          </cell>
        </row>
      </sheetData>
      <sheetData sheetId="4">
        <row r="24">
          <cell r="C24">
            <v>-6.7299999999999999E-4</v>
          </cell>
        </row>
      </sheetData>
      <sheetData sheetId="5">
        <row r="24">
          <cell r="N24">
            <v>-6.7299999999999999E-4</v>
          </cell>
        </row>
      </sheetData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MACRO"/>
      <sheetName val="INPUT"/>
      <sheetName val="DATA7020"/>
      <sheetName val="recapdata"/>
      <sheetName val="MASTER"/>
      <sheetName val="JANUARY 2016"/>
      <sheetName val="FEBRUARY 2016"/>
      <sheetName val="MARCH 2016"/>
      <sheetName val="APRIL 2016"/>
      <sheetName val="MAY 2016"/>
      <sheetName val="JUNE 2016"/>
      <sheetName val="JULY 2015"/>
      <sheetName val="AUGUST 2015"/>
      <sheetName val="SEPTEMBER 2015"/>
      <sheetName val="OCTOBER 2015"/>
      <sheetName val="NOVEMBER 2015"/>
      <sheetName val="DECEMBER 2015"/>
      <sheetName val="SUMMARY JUL15-JUN16"/>
      <sheetName val="Sheet5"/>
      <sheetName val="Sheet3"/>
      <sheetName val="Sheet6"/>
      <sheetName val="Sheet7"/>
      <sheetName val="Sheet2"/>
      <sheetName val="Sheet1"/>
      <sheetName val="Monthly Summary"/>
    </sheetNames>
    <sheetDataSet>
      <sheetData sheetId="0"/>
      <sheetData sheetId="1">
        <row r="21">
          <cell r="B21" t="str">
            <v>JUNE</v>
          </cell>
        </row>
        <row r="22">
          <cell r="B22" t="str">
            <v>062016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F55CE-529E-407A-BE86-1D16F94FE968}">
  <dimension ref="A1:A4"/>
  <sheetViews>
    <sheetView tabSelected="1" zoomScaleNormal="100" workbookViewId="0">
      <selection activeCell="D7" sqref="D7"/>
    </sheetView>
  </sheetViews>
  <sheetFormatPr defaultColWidth="10" defaultRowHeight="15" x14ac:dyDescent="0.25"/>
  <cols>
    <col min="1" max="16384" width="10" style="52"/>
  </cols>
  <sheetData>
    <row r="1" spans="1:1" x14ac:dyDescent="0.25">
      <c r="A1" s="51" t="s">
        <v>65</v>
      </c>
    </row>
    <row r="2" spans="1:1" x14ac:dyDescent="0.25">
      <c r="A2" s="51" t="s">
        <v>66</v>
      </c>
    </row>
    <row r="3" spans="1:1" x14ac:dyDescent="0.25">
      <c r="A3" s="51" t="s">
        <v>67</v>
      </c>
    </row>
    <row r="4" spans="1:1" x14ac:dyDescent="0.25">
      <c r="A4" s="51" t="s">
        <v>68</v>
      </c>
    </row>
  </sheetData>
  <pageMargins left="0.7" right="0.7" top="1" bottom="0.75" header="0.3" footer="0.3"/>
  <pageSetup scale="7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0C971-C6B4-47EA-8300-F62713333AF4}">
  <sheetPr>
    <pageSetUpPr fitToPage="1"/>
  </sheetPr>
  <dimension ref="A3:AB46"/>
  <sheetViews>
    <sheetView zoomScale="84" zoomScaleNormal="84" workbookViewId="0">
      <selection activeCell="N35" sqref="N35"/>
    </sheetView>
  </sheetViews>
  <sheetFormatPr defaultColWidth="10.42578125" defaultRowHeight="15" x14ac:dyDescent="0.25"/>
  <cols>
    <col min="1" max="1" width="5.42578125" style="1" customWidth="1"/>
    <col min="2" max="2" width="3" style="1" customWidth="1"/>
    <col min="3" max="3" width="8.42578125" style="1" customWidth="1"/>
    <col min="4" max="4" width="48.28515625" style="1" customWidth="1"/>
    <col min="5" max="5" width="3" style="1" customWidth="1"/>
    <col min="6" max="6" width="12.140625" style="1" customWidth="1"/>
    <col min="7" max="7" width="2" style="1" customWidth="1"/>
    <col min="8" max="8" width="12.140625" style="1" customWidth="1"/>
    <col min="9" max="9" width="2" style="1" customWidth="1"/>
    <col min="10" max="10" width="12.140625" style="1" customWidth="1"/>
    <col min="11" max="11" width="2" style="1" customWidth="1"/>
    <col min="12" max="12" width="12.140625" style="1" customWidth="1"/>
    <col min="13" max="13" width="1.85546875" style="1" customWidth="1"/>
    <col min="14" max="14" width="12.140625" style="1" customWidth="1"/>
    <col min="15" max="15" width="2" style="1" customWidth="1"/>
    <col min="16" max="16" width="12.140625" style="1" customWidth="1"/>
    <col min="17" max="17" width="4.42578125" style="1" bestFit="1" customWidth="1"/>
    <col min="18" max="18" width="14.140625" style="1" bestFit="1" customWidth="1"/>
    <col min="19" max="19" width="4.42578125" style="1" bestFit="1" customWidth="1"/>
    <col min="20" max="20" width="14.140625" style="1" bestFit="1" customWidth="1"/>
    <col min="21" max="21" width="4.42578125" style="1" customWidth="1"/>
    <col min="22" max="22" width="5.42578125" style="1" customWidth="1"/>
    <col min="23" max="23" width="4.140625" style="1" customWidth="1"/>
    <col min="24" max="24" width="11.7109375" style="1" customWidth="1"/>
    <col min="25" max="25" width="12.42578125" style="1" customWidth="1"/>
    <col min="26" max="16384" width="10.42578125" style="1"/>
  </cols>
  <sheetData>
    <row r="3" spans="1:26" ht="18.75" x14ac:dyDescent="0.3">
      <c r="C3" s="63" t="s">
        <v>0</v>
      </c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6" ht="18.75" x14ac:dyDescent="0.3">
      <c r="A4" s="2"/>
      <c r="C4" s="63" t="str">
        <f>"Impacts to Current Bills of Proposed "&amp;C41&amp;" - "&amp;VLOOKUP(C41,C30:D38,2)</f>
        <v>Impacts to Current Bills of Proposed Rider 65 - Transmission &amp; Distribution Improvement Cost Adjustment</v>
      </c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</row>
    <row r="5" spans="1:26" x14ac:dyDescent="0.25">
      <c r="A5" s="2"/>
    </row>
    <row r="6" spans="1:26" x14ac:dyDescent="0.25">
      <c r="A6" s="3"/>
      <c r="B6" s="4"/>
      <c r="F6" s="5" t="s">
        <v>1</v>
      </c>
      <c r="H6" s="64" t="s">
        <v>2</v>
      </c>
      <c r="I6" s="64"/>
      <c r="J6" s="64"/>
      <c r="K6" s="64"/>
      <c r="L6" s="64"/>
      <c r="N6" s="64" t="s">
        <v>3</v>
      </c>
      <c r="O6" s="64"/>
      <c r="P6" s="64"/>
      <c r="Q6" s="64"/>
      <c r="R6" s="64"/>
      <c r="S6" s="64"/>
      <c r="T6" s="64"/>
      <c r="U6" s="6"/>
      <c r="V6" s="4"/>
      <c r="W6" s="4"/>
      <c r="X6" s="4"/>
    </row>
    <row r="7" spans="1:26" x14ac:dyDescent="0.25">
      <c r="B7" s="4"/>
      <c r="C7" s="4"/>
      <c r="D7" s="7" t="s">
        <v>4</v>
      </c>
      <c r="E7" s="4"/>
      <c r="F7" s="8" t="s">
        <v>5</v>
      </c>
      <c r="G7" s="4"/>
      <c r="H7" s="9" t="s">
        <v>6</v>
      </c>
      <c r="I7" s="10"/>
      <c r="J7" s="11" t="s">
        <v>6</v>
      </c>
      <c r="K7" s="10"/>
      <c r="L7" s="12" t="s">
        <v>7</v>
      </c>
      <c r="M7" s="3"/>
      <c r="N7" s="9" t="s">
        <v>7</v>
      </c>
      <c r="O7" s="10"/>
      <c r="P7" s="11" t="s">
        <v>8</v>
      </c>
      <c r="Q7" s="10"/>
      <c r="R7" s="11" t="s">
        <v>8</v>
      </c>
      <c r="S7" s="10"/>
      <c r="T7" s="12" t="s">
        <v>8</v>
      </c>
      <c r="U7" s="6"/>
      <c r="W7" s="3"/>
      <c r="X7" s="3"/>
    </row>
    <row r="8" spans="1:26" x14ac:dyDescent="0.25">
      <c r="A8" s="3" t="s">
        <v>9</v>
      </c>
      <c r="B8" s="4"/>
      <c r="C8" s="4"/>
      <c r="D8" s="7" t="s">
        <v>10</v>
      </c>
      <c r="E8" s="4"/>
      <c r="F8" s="13">
        <v>1000</v>
      </c>
      <c r="G8" s="14"/>
      <c r="H8" s="15">
        <v>375</v>
      </c>
      <c r="I8" s="14"/>
      <c r="J8" s="14">
        <v>10000</v>
      </c>
      <c r="K8" s="14"/>
      <c r="L8" s="16">
        <v>150000</v>
      </c>
      <c r="M8" s="14"/>
      <c r="N8" s="15">
        <v>15000</v>
      </c>
      <c r="O8" s="14"/>
      <c r="P8" s="14">
        <v>50000</v>
      </c>
      <c r="Q8" s="14"/>
      <c r="R8" s="14">
        <v>15000000</v>
      </c>
      <c r="S8" s="14"/>
      <c r="T8" s="16">
        <v>25000000</v>
      </c>
      <c r="U8" s="4"/>
      <c r="V8" s="3" t="s">
        <v>9</v>
      </c>
      <c r="W8" s="3"/>
      <c r="X8" s="3"/>
    </row>
    <row r="9" spans="1:26" x14ac:dyDescent="0.25">
      <c r="A9" s="5" t="s">
        <v>11</v>
      </c>
      <c r="C9" s="17"/>
      <c r="D9" s="18" t="s">
        <v>12</v>
      </c>
      <c r="E9" s="4"/>
      <c r="F9" s="19" t="s">
        <v>13</v>
      </c>
      <c r="G9" s="14"/>
      <c r="H9" s="20">
        <v>3</v>
      </c>
      <c r="I9" s="21"/>
      <c r="J9" s="21">
        <v>40</v>
      </c>
      <c r="K9" s="21"/>
      <c r="L9" s="22">
        <v>500</v>
      </c>
      <c r="M9" s="14"/>
      <c r="N9" s="20">
        <v>75</v>
      </c>
      <c r="O9" s="21"/>
      <c r="P9" s="21">
        <v>75</v>
      </c>
      <c r="Q9" s="21"/>
      <c r="R9" s="21">
        <v>50000</v>
      </c>
      <c r="S9" s="21"/>
      <c r="T9" s="22">
        <v>50000</v>
      </c>
      <c r="V9" s="5" t="s">
        <v>11</v>
      </c>
      <c r="W9" s="2"/>
      <c r="X9" s="2"/>
    </row>
    <row r="10" spans="1:26" x14ac:dyDescent="0.25">
      <c r="A10" s="2"/>
      <c r="D10" s="23"/>
      <c r="F10" s="24" t="s">
        <v>14</v>
      </c>
      <c r="G10" s="25"/>
      <c r="H10" s="24" t="s">
        <v>15</v>
      </c>
      <c r="I10" s="25"/>
      <c r="J10" s="24" t="s">
        <v>16</v>
      </c>
      <c r="K10" s="25"/>
      <c r="L10" s="24" t="s">
        <v>17</v>
      </c>
      <c r="M10" s="25"/>
      <c r="N10" s="24" t="s">
        <v>18</v>
      </c>
      <c r="O10" s="25"/>
      <c r="P10" s="24" t="s">
        <v>19</v>
      </c>
      <c r="Q10" s="25"/>
      <c r="R10" s="24" t="s">
        <v>20</v>
      </c>
      <c r="S10" s="25"/>
      <c r="T10" s="24" t="s">
        <v>21</v>
      </c>
      <c r="V10" s="2"/>
      <c r="W10" s="2"/>
      <c r="X10" s="2"/>
    </row>
    <row r="11" spans="1:26" x14ac:dyDescent="0.25">
      <c r="A11" s="2"/>
      <c r="D11" s="23"/>
      <c r="F11" s="24"/>
      <c r="G11" s="25"/>
      <c r="H11" s="24"/>
      <c r="I11" s="25"/>
      <c r="J11" s="24"/>
      <c r="K11" s="25"/>
      <c r="L11" s="24"/>
      <c r="M11" s="25"/>
      <c r="N11" s="24"/>
      <c r="O11" s="25"/>
      <c r="P11" s="24"/>
      <c r="Q11" s="25"/>
      <c r="R11" s="24"/>
      <c r="S11" s="25"/>
      <c r="T11" s="24"/>
      <c r="V11" s="2"/>
      <c r="W11" s="2"/>
      <c r="X11" s="2"/>
    </row>
    <row r="12" spans="1:26" x14ac:dyDescent="0.25">
      <c r="C12" s="4" t="str">
        <f>"Change in Current Bills due to Proposed "&amp;C41</f>
        <v>Change in Current Bills due to Proposed Rider 65</v>
      </c>
      <c r="I12" s="25"/>
      <c r="K12" s="25"/>
      <c r="O12" s="25"/>
      <c r="Q12" s="25"/>
      <c r="S12" s="25"/>
      <c r="W12" s="2"/>
      <c r="X12" s="2"/>
    </row>
    <row r="13" spans="1:26" x14ac:dyDescent="0.25">
      <c r="A13" s="2">
        <v>1</v>
      </c>
      <c r="C13" s="26" t="s">
        <v>22</v>
      </c>
      <c r="F13" s="27">
        <v>130.99</v>
      </c>
      <c r="H13" s="27">
        <v>62.650000000000006</v>
      </c>
      <c r="I13" s="27"/>
      <c r="J13" s="27">
        <v>1046.03</v>
      </c>
      <c r="K13" s="27"/>
      <c r="L13" s="27">
        <v>14773.79</v>
      </c>
      <c r="N13" s="27">
        <v>1553.9499999999998</v>
      </c>
      <c r="O13" s="27"/>
      <c r="P13" s="27">
        <v>3928.49</v>
      </c>
      <c r="Q13" s="25"/>
      <c r="R13" s="27">
        <v>1456429.5899999999</v>
      </c>
      <c r="S13" s="25"/>
      <c r="T13" s="27">
        <v>1883209.5899999999</v>
      </c>
      <c r="V13" s="2">
        <f>+A13</f>
        <v>1</v>
      </c>
      <c r="W13" s="2"/>
      <c r="X13" s="2"/>
    </row>
    <row r="14" spans="1:26" x14ac:dyDescent="0.25">
      <c r="A14" s="2">
        <f>+A13+1</f>
        <v>2</v>
      </c>
      <c r="C14" s="26" t="str">
        <f>"Current Riders, excluding "&amp;C41&amp;" (1)"</f>
        <v>Current Riders, excluding Rider 65 (1)</v>
      </c>
      <c r="F14" s="28">
        <f>ROUND(SUMPRODUCT($X$30:$X$38,F30:F38)*F8,2)</f>
        <v>-3.71</v>
      </c>
      <c r="H14" s="28">
        <f>ROUND(SUMPRODUCT($X$30:$X$38,H30:H38)*H8,2)</f>
        <v>-0.84</v>
      </c>
      <c r="I14" s="28"/>
      <c r="J14" s="28">
        <f>ROUND(SUMPRODUCT($X$30:$X$38,J30:J38)*J8,2)</f>
        <v>-22.41</v>
      </c>
      <c r="K14" s="28"/>
      <c r="L14" s="28">
        <f>ROUND(SUMPRODUCT($X$30:$X$38,L30:L38)*L8,2)</f>
        <v>-250.05</v>
      </c>
      <c r="N14" s="28">
        <f>ROUND(SUMPRODUCT($X$30:$X$38,N30:N38)*N8,2)</f>
        <v>-25.01</v>
      </c>
      <c r="O14" s="28"/>
      <c r="P14" s="28">
        <f>ROUND(SUMPRODUCT($X$30:$X$38,$Y$30:$Y$38,P30:P38)*P8+SUMPRODUCT($X$30:$X$38,P30:P38,$Z$30:$Z$38)*P9,2)</f>
        <v>2.21</v>
      </c>
      <c r="Q14" s="25"/>
      <c r="R14" s="28">
        <f>ROUND(SUMPRODUCT($X$30:$X$38,$Y$30:$Y$38,R30:R38)*R8+SUMPRODUCT($X$30:$X$38,R30:R38,$Z$30:$Z$38)*R9,2)</f>
        <v>1604.75</v>
      </c>
      <c r="S14" s="25"/>
      <c r="T14" s="28">
        <f>ROUND(SUMPRODUCT($X$30:$X$38,$Y$30:$Y$38,T30:T38)*T8+SUMPRODUCT($X$30:$X$38,T30:T38,$Z$30:$Z$38)*T9,2)</f>
        <v>1534.75</v>
      </c>
      <c r="V14" s="2">
        <f>+A14</f>
        <v>2</v>
      </c>
      <c r="W14" s="2"/>
      <c r="X14" s="2"/>
    </row>
    <row r="15" spans="1:26" x14ac:dyDescent="0.25">
      <c r="A15" s="2">
        <f>+A14+1</f>
        <v>3</v>
      </c>
      <c r="C15" s="26" t="str">
        <f>"Current "&amp;C41</f>
        <v>Current Rider 65</v>
      </c>
      <c r="F15" s="29">
        <f>ROUND(SUMIF($X$30:$X$38,0,F30:F38)*F8,2)</f>
        <v>1.78</v>
      </c>
      <c r="H15" s="29">
        <f>ROUND(SUMIF($X$30:$X$38,0,H30:H38)*H8,2)</f>
        <v>0.69</v>
      </c>
      <c r="I15" s="29"/>
      <c r="J15" s="29">
        <f>ROUND(SUMIF($X$30:$X$38,0,J30:J38)*J8,2)</f>
        <v>18.36</v>
      </c>
      <c r="K15" s="29"/>
      <c r="L15" s="29">
        <f>ROUND(SUMIF($X$30:$X$38,0,L30:L38)*L8,2)</f>
        <v>203.4</v>
      </c>
      <c r="N15" s="29">
        <f>ROUND(SUMIF($X$30:$X$38,0,N30:N38)*N8,2)</f>
        <v>13.76</v>
      </c>
      <c r="O15" s="29"/>
      <c r="P15" s="29">
        <f>ROUND(SUMIF($X$30:$X$38,0,P30:P38)*IF(Y41=1,P8,P9),2)</f>
        <v>41.37</v>
      </c>
      <c r="Q15" s="25"/>
      <c r="R15" s="29">
        <f>ROUND(SUMIF($X$30:$X$38,0,R30:R38)*IF($Y$41=1,R8,R9),2)</f>
        <v>4958.05</v>
      </c>
      <c r="S15" s="25"/>
      <c r="T15" s="29">
        <f>ROUND(SUMIF($X$30:$X$38,0,T30:T38)*IF($Y$41=1,T8,T9),2)</f>
        <v>4958.05</v>
      </c>
      <c r="V15" s="2">
        <f>+A15</f>
        <v>3</v>
      </c>
      <c r="W15" s="2"/>
      <c r="X15" s="58" t="s">
        <v>23</v>
      </c>
      <c r="Y15" s="59"/>
      <c r="Z15" s="60"/>
    </row>
    <row r="16" spans="1:26" x14ac:dyDescent="0.25">
      <c r="A16" s="2">
        <f>+A15+1</f>
        <v>4</v>
      </c>
      <c r="C16" s="30" t="s">
        <v>24</v>
      </c>
      <c r="D16" s="4"/>
      <c r="E16" s="4"/>
      <c r="F16" s="31">
        <f>SUM(F13:F15)</f>
        <v>129.06</v>
      </c>
      <c r="G16" s="4"/>
      <c r="H16" s="31">
        <f>SUM(H13:H15)</f>
        <v>62.5</v>
      </c>
      <c r="I16" s="31"/>
      <c r="J16" s="31">
        <f>SUM(J13:J15)</f>
        <v>1041.98</v>
      </c>
      <c r="K16" s="31"/>
      <c r="L16" s="31">
        <f>SUM(L13:L15)</f>
        <v>14727.140000000001</v>
      </c>
      <c r="M16" s="4"/>
      <c r="N16" s="31">
        <f>SUM(N13:N15)</f>
        <v>1542.6999999999998</v>
      </c>
      <c r="O16" s="31"/>
      <c r="P16" s="32">
        <f>SUM(P13:P15)</f>
        <v>3972.0699999999997</v>
      </c>
      <c r="Q16" s="25"/>
      <c r="R16" s="31">
        <f>SUM(R13:R15)</f>
        <v>1462992.39</v>
      </c>
      <c r="S16" s="25"/>
      <c r="T16" s="31">
        <f>SUM(T13:T15)</f>
        <v>1889702.39</v>
      </c>
      <c r="V16" s="2">
        <f>+A16</f>
        <v>4</v>
      </c>
      <c r="W16" s="2"/>
      <c r="X16" s="61" t="s">
        <v>25</v>
      </c>
      <c r="Y16" s="65"/>
      <c r="Z16" s="62"/>
    </row>
    <row r="17" spans="1:26" x14ac:dyDescent="0.25">
      <c r="A17" s="2"/>
      <c r="C17" s="26"/>
      <c r="Q17" s="25"/>
      <c r="S17" s="25"/>
      <c r="V17" s="2"/>
      <c r="W17" s="2"/>
      <c r="Y17" s="2" t="s">
        <v>2</v>
      </c>
      <c r="Z17" s="2" t="s">
        <v>3</v>
      </c>
    </row>
    <row r="18" spans="1:26" x14ac:dyDescent="0.25">
      <c r="A18" s="2">
        <f>+A16+1</f>
        <v>5</v>
      </c>
      <c r="C18" s="26" t="s">
        <v>22</v>
      </c>
      <c r="F18" s="27">
        <f>+F13</f>
        <v>130.99</v>
      </c>
      <c r="H18" s="27">
        <f>+H13</f>
        <v>62.650000000000006</v>
      </c>
      <c r="I18" s="27"/>
      <c r="J18" s="27">
        <f>+J13</f>
        <v>1046.03</v>
      </c>
      <c r="K18" s="27"/>
      <c r="L18" s="27">
        <f>+L13</f>
        <v>14773.79</v>
      </c>
      <c r="N18" s="27">
        <f>+N13</f>
        <v>1553.9499999999998</v>
      </c>
      <c r="O18" s="27"/>
      <c r="P18" s="27">
        <f>+P13</f>
        <v>3928.49</v>
      </c>
      <c r="Q18" s="25"/>
      <c r="R18" s="27">
        <f>+R13</f>
        <v>1456429.5899999999</v>
      </c>
      <c r="S18" s="25"/>
      <c r="T18" s="27">
        <f>+T13</f>
        <v>1883209.5899999999</v>
      </c>
      <c r="V18" s="2">
        <f t="shared" ref="V18:V26" si="0">+A18</f>
        <v>5</v>
      </c>
      <c r="W18" s="2"/>
      <c r="X18" s="33" t="s">
        <v>26</v>
      </c>
      <c r="Y18" s="34">
        <f>MAX(H24:L24)</f>
        <v>1E-3</v>
      </c>
      <c r="Z18" s="34">
        <f>MAX(N24:T24)</f>
        <v>7.0000000000000001E-3</v>
      </c>
    </row>
    <row r="19" spans="1:26" x14ac:dyDescent="0.25">
      <c r="A19" s="2">
        <f t="shared" ref="A19:A38" si="1">+A18+1</f>
        <v>6</v>
      </c>
      <c r="C19" s="26" t="str">
        <f>+C14</f>
        <v>Current Riders, excluding Rider 65 (1)</v>
      </c>
      <c r="F19" s="28">
        <f>+F14</f>
        <v>-3.71</v>
      </c>
      <c r="H19" s="28">
        <f>+H14</f>
        <v>-0.84</v>
      </c>
      <c r="I19" s="28"/>
      <c r="J19" s="28">
        <f t="shared" ref="J19" si="2">+J14</f>
        <v>-22.41</v>
      </c>
      <c r="K19" s="28"/>
      <c r="L19" s="28">
        <f t="shared" ref="L19:N19" si="3">+L14</f>
        <v>-250.05</v>
      </c>
      <c r="N19" s="28">
        <f t="shared" si="3"/>
        <v>-25.01</v>
      </c>
      <c r="O19" s="28"/>
      <c r="P19" s="28">
        <f t="shared" ref="P19:T19" si="4">+P14</f>
        <v>2.21</v>
      </c>
      <c r="Q19" s="25"/>
      <c r="R19" s="28">
        <f t="shared" si="4"/>
        <v>1604.75</v>
      </c>
      <c r="S19" s="25"/>
      <c r="T19" s="28">
        <f t="shared" si="4"/>
        <v>1534.75</v>
      </c>
      <c r="V19" s="2">
        <f t="shared" si="0"/>
        <v>6</v>
      </c>
      <c r="W19" s="2"/>
      <c r="X19" s="33" t="s">
        <v>27</v>
      </c>
      <c r="Y19" s="34">
        <f>MIN(H24:L24)</f>
        <v>1E-3</v>
      </c>
      <c r="Z19" s="34">
        <f>MIN(N24:T24)</f>
        <v>-6.0000000000000001E-3</v>
      </c>
    </row>
    <row r="20" spans="1:26" x14ac:dyDescent="0.25">
      <c r="A20" s="2">
        <f t="shared" si="1"/>
        <v>7</v>
      </c>
      <c r="C20" s="26" t="str">
        <f>"Proposed "&amp;C41</f>
        <v>Proposed Rider 65</v>
      </c>
      <c r="F20" s="29">
        <f>ROUND($F$8*F41,2)</f>
        <v>1.55</v>
      </c>
      <c r="H20" s="29">
        <f>ROUND($H$8*H41,2)</f>
        <v>0.73</v>
      </c>
      <c r="I20" s="29"/>
      <c r="J20" s="29">
        <f>ROUND($J$8*J41,2)</f>
        <v>19.510000000000002</v>
      </c>
      <c r="K20" s="29"/>
      <c r="L20" s="29">
        <f>ROUND($L$8*L41,2)</f>
        <v>213</v>
      </c>
      <c r="N20" s="29">
        <f>ROUND($N$8*N41,2)</f>
        <v>4.9400000000000004</v>
      </c>
      <c r="O20" s="29"/>
      <c r="P20" s="29">
        <f>ROUND(IF($Y$41=1,P8,P9)*P41,2)</f>
        <v>70.72</v>
      </c>
      <c r="Q20" s="25"/>
      <c r="R20" s="29">
        <f>ROUND(IF($Y$41=1,R8,R9)*R41,2)</f>
        <v>5203.45</v>
      </c>
      <c r="S20" s="25"/>
      <c r="T20" s="29">
        <f>ROUND(IF($Y$41=1,T8,T9)*T41,2)</f>
        <v>5203.45</v>
      </c>
      <c r="V20" s="2">
        <f t="shared" si="0"/>
        <v>7</v>
      </c>
      <c r="W20" s="2"/>
      <c r="X20" s="33" t="s">
        <v>28</v>
      </c>
      <c r="Y20" s="2">
        <f>AND(Y18&gt;=0,Y19&gt;=0)*1</f>
        <v>1</v>
      </c>
      <c r="Z20" s="2">
        <f>AND(Z18&gt;=0,Z19&gt;=0)*1</f>
        <v>0</v>
      </c>
    </row>
    <row r="21" spans="1:26" x14ac:dyDescent="0.25">
      <c r="A21" s="2">
        <f t="shared" si="1"/>
        <v>8</v>
      </c>
      <c r="C21" s="30" t="str">
        <f>"Total with Proposed "&amp;C41</f>
        <v>Total with Proposed Rider 65</v>
      </c>
      <c r="D21" s="4"/>
      <c r="E21" s="4"/>
      <c r="F21" s="31">
        <f>SUM(F18:F20)</f>
        <v>128.83000000000001</v>
      </c>
      <c r="G21" s="4"/>
      <c r="H21" s="31">
        <f t="shared" ref="H21:L21" si="5">SUM(H18:H20)</f>
        <v>62.54</v>
      </c>
      <c r="I21" s="31"/>
      <c r="J21" s="31">
        <f t="shared" si="5"/>
        <v>1043.1300000000001</v>
      </c>
      <c r="K21" s="31"/>
      <c r="L21" s="31">
        <f t="shared" si="5"/>
        <v>14736.740000000002</v>
      </c>
      <c r="M21" s="4"/>
      <c r="N21" s="31">
        <f t="shared" ref="N21:T21" si="6">SUM(N18:N20)</f>
        <v>1533.8799999999999</v>
      </c>
      <c r="O21" s="31"/>
      <c r="P21" s="32">
        <f t="shared" si="6"/>
        <v>4001.4199999999996</v>
      </c>
      <c r="Q21" s="25"/>
      <c r="R21" s="31">
        <f t="shared" si="6"/>
        <v>1463237.7899999998</v>
      </c>
      <c r="S21" s="25"/>
      <c r="T21" s="31">
        <f t="shared" si="6"/>
        <v>1889947.7899999998</v>
      </c>
      <c r="V21" s="2">
        <f t="shared" si="0"/>
        <v>8</v>
      </c>
      <c r="W21" s="2"/>
      <c r="X21" s="33" t="s">
        <v>29</v>
      </c>
      <c r="Y21" s="2">
        <f>AND(Y18&lt;0,Y19&lt;0)*1</f>
        <v>0</v>
      </c>
      <c r="Z21" s="2">
        <f>AND(Z18&lt;0,Z19&lt;0)*1</f>
        <v>0</v>
      </c>
    </row>
    <row r="22" spans="1:26" x14ac:dyDescent="0.25">
      <c r="A22" s="2"/>
      <c r="C22" s="26"/>
      <c r="Q22" s="25"/>
      <c r="S22" s="25"/>
      <c r="V22" s="2"/>
      <c r="W22" s="2"/>
      <c r="X22" s="33" t="s">
        <v>30</v>
      </c>
      <c r="Y22" s="2">
        <f>1-Y20-Y21</f>
        <v>0</v>
      </c>
      <c r="Z22" s="2">
        <f>1-Z20-Z21</f>
        <v>1</v>
      </c>
    </row>
    <row r="23" spans="1:26" x14ac:dyDescent="0.25">
      <c r="A23" s="2">
        <f>+A21+1</f>
        <v>9</v>
      </c>
      <c r="C23" s="35" t="s">
        <v>31</v>
      </c>
      <c r="D23" s="4"/>
      <c r="E23" s="4"/>
      <c r="F23" s="31">
        <f>+F21-F16</f>
        <v>-0.22999999999998977</v>
      </c>
      <c r="G23" s="4"/>
      <c r="H23" s="31">
        <f t="shared" ref="H23:L23" si="7">+H21-H16</f>
        <v>3.9999999999999147E-2</v>
      </c>
      <c r="I23" s="31"/>
      <c r="J23" s="31">
        <f t="shared" si="7"/>
        <v>1.1500000000000909</v>
      </c>
      <c r="K23" s="31"/>
      <c r="L23" s="31">
        <f t="shared" si="7"/>
        <v>9.6000000000003638</v>
      </c>
      <c r="M23" s="4"/>
      <c r="N23" s="31">
        <f t="shared" ref="N23:T23" si="8">+N21-N16</f>
        <v>-8.8199999999999363</v>
      </c>
      <c r="O23" s="31"/>
      <c r="P23" s="31">
        <f t="shared" si="8"/>
        <v>29.349999999999909</v>
      </c>
      <c r="Q23" s="31"/>
      <c r="R23" s="31">
        <f t="shared" si="8"/>
        <v>245.39999999990687</v>
      </c>
      <c r="S23" s="31"/>
      <c r="T23" s="31">
        <f t="shared" si="8"/>
        <v>245.39999999990687</v>
      </c>
      <c r="V23" s="2">
        <f t="shared" si="0"/>
        <v>9</v>
      </c>
      <c r="W23" s="2"/>
      <c r="X23" s="33" t="s">
        <v>32</v>
      </c>
      <c r="Y23" s="36">
        <f>IF(Y20,Y18+0.001,IF(Y21,ABS(Y18)-0.001,Y18+0.001))</f>
        <v>2E-3</v>
      </c>
      <c r="Z23" s="36">
        <f>IF(Z20,Z18+0.001,IF(Z21,ABS(Z18)-0.001,Z18+0.001))</f>
        <v>8.0000000000000002E-3</v>
      </c>
    </row>
    <row r="24" spans="1:26" x14ac:dyDescent="0.25">
      <c r="A24" s="2">
        <f>+A23+1</f>
        <v>10</v>
      </c>
      <c r="C24" s="35" t="s">
        <v>33</v>
      </c>
      <c r="D24" s="4"/>
      <c r="E24" s="4"/>
      <c r="F24" s="37">
        <f>ROUND(F23/F16,3)</f>
        <v>-2E-3</v>
      </c>
      <c r="G24" s="37"/>
      <c r="H24" s="37">
        <f>ROUND(H23/H16,3)</f>
        <v>1E-3</v>
      </c>
      <c r="I24" s="37"/>
      <c r="J24" s="37">
        <f>ROUND(J23/J16,3)</f>
        <v>1E-3</v>
      </c>
      <c r="K24" s="37"/>
      <c r="L24" s="37">
        <f>ROUND(L23/L16,3)</f>
        <v>1E-3</v>
      </c>
      <c r="M24" s="37"/>
      <c r="N24" s="37">
        <f>ROUND(N23/N16,3)</f>
        <v>-6.0000000000000001E-3</v>
      </c>
      <c r="O24" s="37"/>
      <c r="P24" s="37">
        <f>ROUND(P23/P16,3)</f>
        <v>7.0000000000000001E-3</v>
      </c>
      <c r="Q24" s="37"/>
      <c r="R24" s="37">
        <f>ROUND(R23/R16,3)</f>
        <v>0</v>
      </c>
      <c r="S24" s="37"/>
      <c r="T24" s="37">
        <f>ROUND(T23/T16,3)</f>
        <v>0</v>
      </c>
      <c r="V24" s="2">
        <f t="shared" si="0"/>
        <v>10</v>
      </c>
      <c r="W24" s="2"/>
      <c r="X24" s="33" t="s">
        <v>34</v>
      </c>
      <c r="Y24" s="2" t="str">
        <f>IF(Y21,"Decrease","Increase")</f>
        <v>Increase</v>
      </c>
      <c r="Z24" s="2" t="str">
        <f>IF(Z21,"Decrease","Increase")</f>
        <v>Increase</v>
      </c>
    </row>
    <row r="25" spans="1:26" x14ac:dyDescent="0.25">
      <c r="A25" s="2"/>
      <c r="V25" s="2"/>
      <c r="W25" s="2"/>
      <c r="X25" s="2"/>
    </row>
    <row r="26" spans="1:26" ht="15.75" customHeight="1" x14ac:dyDescent="0.25">
      <c r="A26" s="2">
        <f>+A24+1</f>
        <v>11</v>
      </c>
      <c r="C26" s="4" t="s">
        <v>35</v>
      </c>
      <c r="D26" s="4"/>
      <c r="E26" s="4"/>
      <c r="F26" s="38" t="str">
        <f>TEXT(ABS(F24),"#0.0%")&amp;IF(F24&lt;0," Decr"," Incr")</f>
        <v>0.2% Decr</v>
      </c>
      <c r="G26" s="4"/>
      <c r="H26" s="53" t="str">
        <f>IF(Y21,"&gt;(","&lt;")&amp;TEXT(Y23,"#0.0%")&amp;IF(Y21,") "," ")&amp;Y24</f>
        <v>&lt;0.2% Increase</v>
      </c>
      <c r="I26" s="54"/>
      <c r="J26" s="54"/>
      <c r="K26" s="54"/>
      <c r="L26" s="55"/>
      <c r="M26" s="4"/>
      <c r="N26" s="56" t="str">
        <f>IF(Z21,"&gt;(","&lt;")&amp;TEXT(Z23,"#0.0%")&amp;IF(Z21,") "," ")&amp;Z24</f>
        <v>&lt;0.8% Increase</v>
      </c>
      <c r="O26" s="57"/>
      <c r="P26" s="54"/>
      <c r="Q26" s="54"/>
      <c r="R26" s="54"/>
      <c r="S26" s="54"/>
      <c r="T26" s="55"/>
      <c r="U26" s="4"/>
      <c r="V26" s="2">
        <f t="shared" si="0"/>
        <v>11</v>
      </c>
      <c r="W26" s="4"/>
    </row>
    <row r="27" spans="1:26" x14ac:dyDescent="0.25">
      <c r="A27" s="2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V27" s="2"/>
      <c r="W27" s="2"/>
      <c r="X27" s="58" t="s">
        <v>23</v>
      </c>
      <c r="Y27" s="59"/>
      <c r="Z27" s="60"/>
    </row>
    <row r="28" spans="1:26" x14ac:dyDescent="0.25">
      <c r="A28" s="2"/>
      <c r="F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V28" s="2"/>
      <c r="W28" s="2"/>
      <c r="X28" s="39" t="s">
        <v>36</v>
      </c>
      <c r="Y28" s="61" t="s">
        <v>37</v>
      </c>
      <c r="Z28" s="62"/>
    </row>
    <row r="29" spans="1:26" x14ac:dyDescent="0.25">
      <c r="A29" s="2"/>
      <c r="C29" s="40" t="s">
        <v>38</v>
      </c>
      <c r="F29" s="41" t="s">
        <v>39</v>
      </c>
      <c r="H29" s="41" t="str">
        <f>+F29</f>
        <v>$/kWh</v>
      </c>
      <c r="J29" s="41" t="str">
        <f>+F29</f>
        <v>$/kWh</v>
      </c>
      <c r="L29" s="41" t="str">
        <f>+F29</f>
        <v>$/kWh</v>
      </c>
      <c r="N29" s="41" t="str">
        <f>+F29</f>
        <v>$/kWh</v>
      </c>
      <c r="P29" s="41" t="s">
        <v>40</v>
      </c>
      <c r="R29" s="41" t="str">
        <f>+P29</f>
        <v>$/KWH-$/KW</v>
      </c>
      <c r="T29" s="41" t="str">
        <f>+R29</f>
        <v>$/KWH-$/KW</v>
      </c>
      <c r="W29" s="2"/>
      <c r="X29" s="2"/>
      <c r="Y29" s="2" t="s">
        <v>41</v>
      </c>
      <c r="Z29" s="2" t="s">
        <v>42</v>
      </c>
    </row>
    <row r="30" spans="1:26" x14ac:dyDescent="0.25">
      <c r="A30" s="2">
        <f>+A26+1</f>
        <v>12</v>
      </c>
      <c r="C30" s="1" t="s">
        <v>43</v>
      </c>
      <c r="D30" s="1" t="s">
        <v>44</v>
      </c>
      <c r="F30" s="42">
        <v>-6.7299999999999999E-4</v>
      </c>
      <c r="H30" s="42">
        <v>-6.7299999999999999E-4</v>
      </c>
      <c r="I30" s="42"/>
      <c r="J30" s="43">
        <f>+H30</f>
        <v>-6.7299999999999999E-4</v>
      </c>
      <c r="K30" s="43"/>
      <c r="L30" s="43">
        <v>-6.7299999999999999E-4</v>
      </c>
      <c r="N30" s="43">
        <v>-6.7299999999999999E-4</v>
      </c>
      <c r="P30" s="44">
        <v>-6.7299999999999999E-4</v>
      </c>
      <c r="Q30" s="45" t="s">
        <v>45</v>
      </c>
      <c r="R30" s="44">
        <v>-6.7299999999999999E-4</v>
      </c>
      <c r="S30" s="45" t="str">
        <f>+Q30</f>
        <v>/kWh</v>
      </c>
      <c r="T30" s="44">
        <f>+R30</f>
        <v>-6.7299999999999999E-4</v>
      </c>
      <c r="U30" s="45" t="str">
        <f t="shared" ref="U30:U38" si="9">+S30</f>
        <v>/kWh</v>
      </c>
      <c r="V30" s="2">
        <f>+A30</f>
        <v>12</v>
      </c>
      <c r="W30" s="2"/>
      <c r="X30" s="2">
        <f t="shared" ref="X30:X38" si="10">(+C30&lt;&gt;$C$41)*1</f>
        <v>1</v>
      </c>
      <c r="Y30" s="2">
        <f t="shared" ref="Y30:Y38" si="11">(Q30="/kWh")*1</f>
        <v>1</v>
      </c>
      <c r="Z30" s="2">
        <f>-(Y30-1)</f>
        <v>0</v>
      </c>
    </row>
    <row r="31" spans="1:26" x14ac:dyDescent="0.25">
      <c r="A31" s="2">
        <f t="shared" si="1"/>
        <v>13</v>
      </c>
      <c r="C31" s="1" t="s">
        <v>46</v>
      </c>
      <c r="D31" s="1" t="s">
        <v>47</v>
      </c>
      <c r="F31" s="42">
        <v>-1.3290000000000001E-3</v>
      </c>
      <c r="H31" s="42">
        <v>-1.6379999999999999E-3</v>
      </c>
      <c r="I31" s="42"/>
      <c r="J31" s="43">
        <f t="shared" ref="J31:J38" si="12">+H31</f>
        <v>-1.6379999999999999E-3</v>
      </c>
      <c r="K31" s="43"/>
      <c r="L31" s="43">
        <v>-1.3259999999999999E-3</v>
      </c>
      <c r="N31" s="43">
        <v>-1.3259999999999999E-3</v>
      </c>
      <c r="P31" s="44">
        <v>-0.68885700000000005</v>
      </c>
      <c r="Q31" s="45" t="s">
        <v>48</v>
      </c>
      <c r="R31" s="44">
        <v>-0.68885700000000005</v>
      </c>
      <c r="S31" s="45" t="str">
        <f t="shared" ref="S31:T38" si="13">+Q31</f>
        <v>/KW</v>
      </c>
      <c r="T31" s="44">
        <f t="shared" si="13"/>
        <v>-0.68885700000000005</v>
      </c>
      <c r="U31" s="45" t="str">
        <f t="shared" si="9"/>
        <v>/KW</v>
      </c>
      <c r="V31" s="2">
        <f t="shared" ref="V31:V41" si="14">+A31</f>
        <v>13</v>
      </c>
      <c r="W31" s="2"/>
      <c r="X31" s="2">
        <f t="shared" si="10"/>
        <v>1</v>
      </c>
      <c r="Y31" s="2">
        <f t="shared" si="11"/>
        <v>0</v>
      </c>
      <c r="Z31" s="2">
        <f t="shared" ref="Z31:Z38" si="15">-(Y31-1)</f>
        <v>1</v>
      </c>
    </row>
    <row r="32" spans="1:26" x14ac:dyDescent="0.25">
      <c r="A32" s="2">
        <f t="shared" si="1"/>
        <v>14</v>
      </c>
      <c r="C32" s="1" t="s">
        <v>49</v>
      </c>
      <c r="D32" s="1" t="s">
        <v>50</v>
      </c>
      <c r="F32" s="42">
        <v>1.7769999999999999E-3</v>
      </c>
      <c r="H32" s="42">
        <v>1.836E-3</v>
      </c>
      <c r="I32" s="42"/>
      <c r="J32" s="43">
        <f t="shared" si="12"/>
        <v>1.836E-3</v>
      </c>
      <c r="K32" s="43"/>
      <c r="L32" s="43">
        <v>1.356E-3</v>
      </c>
      <c r="N32" s="43">
        <v>9.1699999999999995E-4</v>
      </c>
      <c r="P32" s="44">
        <v>0.55160799999999999</v>
      </c>
      <c r="Q32" s="45" t="s">
        <v>48</v>
      </c>
      <c r="R32" s="44">
        <v>9.9160999999999999E-2</v>
      </c>
      <c r="S32" s="45" t="str">
        <f t="shared" si="13"/>
        <v>/KW</v>
      </c>
      <c r="T32" s="44">
        <f t="shared" si="13"/>
        <v>9.9160999999999999E-2</v>
      </c>
      <c r="U32" s="45" t="str">
        <f t="shared" si="9"/>
        <v>/KW</v>
      </c>
      <c r="V32" s="2">
        <f t="shared" si="14"/>
        <v>14</v>
      </c>
      <c r="W32" s="2"/>
      <c r="X32" s="2">
        <f t="shared" si="10"/>
        <v>0</v>
      </c>
      <c r="Y32" s="2">
        <f t="shared" si="11"/>
        <v>0</v>
      </c>
      <c r="Z32" s="2">
        <f t="shared" si="15"/>
        <v>1</v>
      </c>
    </row>
    <row r="33" spans="1:28" x14ac:dyDescent="0.25">
      <c r="A33" s="2">
        <f t="shared" si="1"/>
        <v>15</v>
      </c>
      <c r="C33" s="1" t="s">
        <v>51</v>
      </c>
      <c r="D33" s="1" t="s">
        <v>52</v>
      </c>
      <c r="F33" s="42">
        <v>1.7949999999999999E-3</v>
      </c>
      <c r="H33" s="42">
        <v>3.0170000000000002E-3</v>
      </c>
      <c r="I33" s="42"/>
      <c r="J33" s="43">
        <f t="shared" si="12"/>
        <v>3.0170000000000002E-3</v>
      </c>
      <c r="K33" s="43"/>
      <c r="L33" s="43">
        <v>3.0170000000000002E-3</v>
      </c>
      <c r="N33" s="43">
        <v>3.0170000000000002E-3</v>
      </c>
      <c r="P33" s="44">
        <v>3.0170000000000002E-3</v>
      </c>
      <c r="Q33" s="45" t="s">
        <v>45</v>
      </c>
      <c r="R33" s="44">
        <v>3.0170000000000002E-3</v>
      </c>
      <c r="S33" s="45" t="str">
        <f t="shared" si="13"/>
        <v>/kWh</v>
      </c>
      <c r="T33" s="44">
        <f t="shared" si="13"/>
        <v>3.0170000000000002E-3</v>
      </c>
      <c r="U33" s="45" t="str">
        <f t="shared" si="9"/>
        <v>/kWh</v>
      </c>
      <c r="V33" s="2">
        <f t="shared" si="14"/>
        <v>15</v>
      </c>
      <c r="W33" s="2"/>
      <c r="X33" s="2">
        <f t="shared" si="10"/>
        <v>1</v>
      </c>
      <c r="Y33" s="2">
        <f t="shared" si="11"/>
        <v>1</v>
      </c>
      <c r="Z33" s="2">
        <f t="shared" si="15"/>
        <v>0</v>
      </c>
    </row>
    <row r="34" spans="1:28" x14ac:dyDescent="0.25">
      <c r="A34" s="2">
        <f t="shared" si="1"/>
        <v>16</v>
      </c>
      <c r="C34" s="1" t="s">
        <v>53</v>
      </c>
      <c r="D34" s="1" t="s">
        <v>54</v>
      </c>
      <c r="F34" s="42">
        <v>-4.6290000000000003E-3</v>
      </c>
      <c r="H34" s="42">
        <v>-4.5459999999999997E-3</v>
      </c>
      <c r="I34" s="42"/>
      <c r="J34" s="43">
        <f t="shared" si="12"/>
        <v>-4.5459999999999997E-3</v>
      </c>
      <c r="K34" s="43"/>
      <c r="L34" s="43">
        <v>-3.4290000000000002E-3</v>
      </c>
      <c r="N34" s="43">
        <v>-3.4290000000000002E-3</v>
      </c>
      <c r="P34" s="44">
        <v>-2.3509999999999998E-3</v>
      </c>
      <c r="Q34" s="45" t="s">
        <v>45</v>
      </c>
      <c r="R34" s="44">
        <v>-2.3509999999999998E-3</v>
      </c>
      <c r="S34" s="45" t="str">
        <f t="shared" si="13"/>
        <v>/kWh</v>
      </c>
      <c r="T34" s="44">
        <f t="shared" si="13"/>
        <v>-2.3509999999999998E-3</v>
      </c>
      <c r="U34" s="45" t="str">
        <f t="shared" si="9"/>
        <v>/kWh</v>
      </c>
      <c r="V34" s="2">
        <f t="shared" si="14"/>
        <v>16</v>
      </c>
      <c r="W34" s="2"/>
      <c r="X34" s="2">
        <f t="shared" si="10"/>
        <v>1</v>
      </c>
      <c r="Y34" s="2">
        <f t="shared" si="11"/>
        <v>1</v>
      </c>
      <c r="Z34" s="2">
        <f t="shared" si="15"/>
        <v>0</v>
      </c>
    </row>
    <row r="35" spans="1:28" x14ac:dyDescent="0.25">
      <c r="A35" s="2">
        <f t="shared" si="1"/>
        <v>17</v>
      </c>
      <c r="C35" s="1" t="s">
        <v>55</v>
      </c>
      <c r="D35" s="1" t="s">
        <v>56</v>
      </c>
      <c r="F35" s="42">
        <v>-2.3699999999999999E-4</v>
      </c>
      <c r="H35" s="42">
        <v>-1.2999999999999999E-4</v>
      </c>
      <c r="I35" s="42"/>
      <c r="J35" s="43">
        <f t="shared" si="12"/>
        <v>-1.2999999999999999E-4</v>
      </c>
      <c r="K35" s="43"/>
      <c r="L35" s="43">
        <v>-4.1199999999999999E-4</v>
      </c>
      <c r="N35" s="43">
        <v>-4.1199999999999999E-4</v>
      </c>
      <c r="P35" s="44">
        <v>2.183E-3</v>
      </c>
      <c r="Q35" s="45" t="s">
        <v>48</v>
      </c>
      <c r="R35" s="44">
        <v>2.183E-3</v>
      </c>
      <c r="S35" s="45" t="str">
        <f t="shared" si="13"/>
        <v>/KW</v>
      </c>
      <c r="T35" s="44">
        <f t="shared" si="13"/>
        <v>2.183E-3</v>
      </c>
      <c r="U35" s="45" t="str">
        <f t="shared" si="9"/>
        <v>/KW</v>
      </c>
      <c r="V35" s="2">
        <f t="shared" si="14"/>
        <v>17</v>
      </c>
      <c r="W35" s="2"/>
      <c r="X35" s="2">
        <f t="shared" si="10"/>
        <v>1</v>
      </c>
      <c r="Y35" s="2">
        <f t="shared" si="11"/>
        <v>0</v>
      </c>
      <c r="Z35" s="2">
        <f t="shared" si="15"/>
        <v>1</v>
      </c>
    </row>
    <row r="36" spans="1:28" x14ac:dyDescent="0.25">
      <c r="A36" s="2">
        <f t="shared" si="1"/>
        <v>18</v>
      </c>
      <c r="C36" s="1" t="s">
        <v>57</v>
      </c>
      <c r="D36" s="1" t="s">
        <v>58</v>
      </c>
      <c r="F36" s="42">
        <v>1.253E-3</v>
      </c>
      <c r="H36" s="42">
        <v>1.6169999999999999E-3</v>
      </c>
      <c r="I36" s="42"/>
      <c r="J36" s="43">
        <f t="shared" si="12"/>
        <v>1.6169999999999999E-3</v>
      </c>
      <c r="K36" s="43"/>
      <c r="L36" s="43">
        <v>1.0610000000000001E-3</v>
      </c>
      <c r="N36" s="43">
        <v>1.0610000000000001E-3</v>
      </c>
      <c r="P36" s="44">
        <v>0.68607200000000002</v>
      </c>
      <c r="Q36" s="45" t="s">
        <v>48</v>
      </c>
      <c r="R36" s="44">
        <v>0.68607200000000002</v>
      </c>
      <c r="S36" s="45" t="str">
        <f t="shared" si="13"/>
        <v>/KW</v>
      </c>
      <c r="T36" s="44">
        <f t="shared" si="13"/>
        <v>0.68607200000000002</v>
      </c>
      <c r="U36" s="45" t="str">
        <f t="shared" si="9"/>
        <v>/KW</v>
      </c>
      <c r="V36" s="2">
        <f t="shared" si="14"/>
        <v>18</v>
      </c>
      <c r="W36" s="2"/>
      <c r="X36" s="2">
        <f t="shared" si="10"/>
        <v>1</v>
      </c>
      <c r="Y36" s="2">
        <f t="shared" si="11"/>
        <v>0</v>
      </c>
      <c r="Z36" s="2">
        <f t="shared" si="15"/>
        <v>1</v>
      </c>
    </row>
    <row r="37" spans="1:28" x14ac:dyDescent="0.25">
      <c r="A37" s="2">
        <f t="shared" si="1"/>
        <v>19</v>
      </c>
      <c r="C37" s="1" t="s">
        <v>59</v>
      </c>
      <c r="D37" s="1" t="s">
        <v>60</v>
      </c>
      <c r="F37" s="42">
        <v>3.1999999999999999E-5</v>
      </c>
      <c r="H37" s="42">
        <v>3.1999999999999999E-5</v>
      </c>
      <c r="I37" s="42"/>
      <c r="J37" s="43">
        <f t="shared" si="12"/>
        <v>3.1999999999999999E-5</v>
      </c>
      <c r="K37" s="43"/>
      <c r="L37" s="43">
        <v>2.6999999999999999E-5</v>
      </c>
      <c r="N37" s="43">
        <v>2.6999999999999999E-5</v>
      </c>
      <c r="P37" s="44">
        <v>9.3270000000000002E-3</v>
      </c>
      <c r="Q37" s="45" t="s">
        <v>48</v>
      </c>
      <c r="R37" s="44">
        <v>9.3270000000000002E-3</v>
      </c>
      <c r="S37" s="45" t="str">
        <f t="shared" si="13"/>
        <v>/KW</v>
      </c>
      <c r="T37" s="44">
        <f t="shared" si="13"/>
        <v>9.3270000000000002E-3</v>
      </c>
      <c r="U37" s="45" t="str">
        <f t="shared" si="9"/>
        <v>/KW</v>
      </c>
      <c r="V37" s="2">
        <f t="shared" si="14"/>
        <v>19</v>
      </c>
      <c r="W37" s="2"/>
      <c r="X37" s="2">
        <f t="shared" si="10"/>
        <v>1</v>
      </c>
      <c r="Y37" s="2">
        <f t="shared" si="11"/>
        <v>0</v>
      </c>
      <c r="Z37" s="2">
        <f t="shared" si="15"/>
        <v>1</v>
      </c>
    </row>
    <row r="38" spans="1:28" x14ac:dyDescent="0.25">
      <c r="A38" s="2">
        <f t="shared" si="1"/>
        <v>20</v>
      </c>
      <c r="C38" s="1" t="s">
        <v>61</v>
      </c>
      <c r="D38" s="1" t="s">
        <v>62</v>
      </c>
      <c r="F38" s="42">
        <v>7.4999999999999993E-5</v>
      </c>
      <c r="H38" s="42">
        <v>8.0000000000000007E-5</v>
      </c>
      <c r="I38" s="42"/>
      <c r="J38" s="43">
        <f t="shared" si="12"/>
        <v>8.0000000000000007E-5</v>
      </c>
      <c r="K38" s="43"/>
      <c r="L38" s="43">
        <v>6.7999999999999999E-5</v>
      </c>
      <c r="N38" s="43">
        <v>6.7999999999999999E-5</v>
      </c>
      <c r="P38" s="44">
        <v>2.547E-2</v>
      </c>
      <c r="Q38" s="45" t="s">
        <v>48</v>
      </c>
      <c r="R38" s="44">
        <v>2.547E-2</v>
      </c>
      <c r="S38" s="45" t="str">
        <f t="shared" si="13"/>
        <v>/KW</v>
      </c>
      <c r="T38" s="44">
        <f t="shared" si="13"/>
        <v>2.547E-2</v>
      </c>
      <c r="U38" s="45" t="str">
        <f t="shared" si="9"/>
        <v>/KW</v>
      </c>
      <c r="V38" s="2">
        <f t="shared" si="14"/>
        <v>20</v>
      </c>
      <c r="W38" s="2"/>
      <c r="X38" s="2">
        <f t="shared" si="10"/>
        <v>1</v>
      </c>
      <c r="Y38" s="2">
        <f t="shared" si="11"/>
        <v>0</v>
      </c>
      <c r="Z38" s="2">
        <f t="shared" si="15"/>
        <v>1</v>
      </c>
    </row>
    <row r="39" spans="1:28" x14ac:dyDescent="0.25">
      <c r="A39" s="2"/>
      <c r="H39" s="42"/>
      <c r="I39" s="42"/>
      <c r="V39" s="2"/>
      <c r="W39" s="2"/>
    </row>
    <row r="40" spans="1:28" x14ac:dyDescent="0.25">
      <c r="A40" s="2"/>
      <c r="C40" s="40" t="s">
        <v>63</v>
      </c>
      <c r="H40" s="42"/>
      <c r="I40" s="42"/>
      <c r="V40" s="2"/>
      <c r="W40" s="2"/>
    </row>
    <row r="41" spans="1:28" x14ac:dyDescent="0.25">
      <c r="A41" s="2">
        <f>+A38+1</f>
        <v>21</v>
      </c>
      <c r="C41" s="46" t="s">
        <v>49</v>
      </c>
      <c r="D41" s="1" t="str">
        <f>INDEX(D30:D38,MATCH(C41,C30:C38,0))</f>
        <v>Transmission &amp; Distribution Improvement Cost Adjustment</v>
      </c>
      <c r="F41" s="47">
        <v>1.552E-3</v>
      </c>
      <c r="H41" s="47">
        <v>1.951E-3</v>
      </c>
      <c r="I41" s="42"/>
      <c r="J41" s="48">
        <v>1.951E-3</v>
      </c>
      <c r="K41" s="43"/>
      <c r="L41" s="48">
        <v>1.42E-3</v>
      </c>
      <c r="N41" s="48">
        <v>3.2899999999999997E-4</v>
      </c>
      <c r="O41" s="43"/>
      <c r="P41" s="49">
        <v>0.94289999999999996</v>
      </c>
      <c r="Q41" s="45" t="s">
        <v>48</v>
      </c>
      <c r="R41" s="49">
        <v>0.10406899999999999</v>
      </c>
      <c r="S41" s="45" t="s">
        <v>48</v>
      </c>
      <c r="T41" s="49">
        <v>0.10406899999999999</v>
      </c>
      <c r="U41" s="45" t="s">
        <v>48</v>
      </c>
      <c r="V41" s="2">
        <f t="shared" si="14"/>
        <v>21</v>
      </c>
      <c r="X41" s="2">
        <f>(+Q41&lt;&gt;$Q$30)*1</f>
        <v>1</v>
      </c>
      <c r="Y41" s="2">
        <f>(Q41="/kWh")*1</f>
        <v>0</v>
      </c>
      <c r="Z41" s="2">
        <f t="shared" ref="Z41" si="16">-(Y41-1)</f>
        <v>1</v>
      </c>
    </row>
    <row r="43" spans="1:28" x14ac:dyDescent="0.25">
      <c r="C43" s="1" t="s">
        <v>64</v>
      </c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AB43" s="2"/>
    </row>
    <row r="44" spans="1:28" x14ac:dyDescent="0.25">
      <c r="P44" s="43"/>
      <c r="Q44" s="43"/>
      <c r="R44" s="43"/>
      <c r="S44" s="43"/>
      <c r="T44" s="43"/>
    </row>
    <row r="45" spans="1:28" x14ac:dyDescent="0.25">
      <c r="Q45" s="43"/>
      <c r="R45" s="43"/>
      <c r="S45" s="43"/>
      <c r="T45" s="43"/>
    </row>
    <row r="46" spans="1:28" x14ac:dyDescent="0.25">
      <c r="P46" s="43"/>
      <c r="Q46" s="43"/>
      <c r="R46" s="43"/>
      <c r="S46" s="43"/>
      <c r="T46" s="43"/>
    </row>
  </sheetData>
  <mergeCells count="10">
    <mergeCell ref="H26:L26"/>
    <mergeCell ref="N26:T26"/>
    <mergeCell ref="X27:Z27"/>
    <mergeCell ref="Y28:Z28"/>
    <mergeCell ref="C3:T3"/>
    <mergeCell ref="C4:T4"/>
    <mergeCell ref="H6:L6"/>
    <mergeCell ref="N6:T6"/>
    <mergeCell ref="X15:Z15"/>
    <mergeCell ref="X16:Z16"/>
  </mergeCells>
  <conditionalFormatting sqref="P30:P41 T30:T41">
    <cfRule type="expression" dxfId="1" priority="2">
      <formula>Q30="/KW"</formula>
    </cfRule>
  </conditionalFormatting>
  <conditionalFormatting sqref="R30:R41">
    <cfRule type="expression" dxfId="0" priority="1">
      <formula>S30="/KW"</formula>
    </cfRule>
  </conditionalFormatting>
  <dataValidations count="2">
    <dataValidation type="list" allowBlank="1" showInputMessage="1" showErrorMessage="1" sqref="Q30:Q38" xr:uid="{91402490-8997-4DC2-9D8F-4C9F6440FE64}">
      <formula1>"/kWh,/KW"</formula1>
    </dataValidation>
    <dataValidation type="list" allowBlank="1" showInputMessage="1" showErrorMessage="1" sqref="C41" xr:uid="{838734BC-4605-4175-9740-8339250F0218}">
      <formula1>$C$30:$C$38</formula1>
    </dataValidation>
  </dataValidations>
  <printOptions horizontalCentered="1"/>
  <pageMargins left="0.4" right="0.25" top="0.5" bottom="0.5" header="0.3" footer="0.3"/>
  <pageSetup scale="66" orientation="landscape" r:id="rId1"/>
  <headerFooter>
    <oddHeader>&amp;RRevised Workpaper 23-MTD
&amp;P of &amp;N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ItemNumber xmlns="621b3311-adc9-44a7-af0e-36067350c19c" xsi:nil="true"/>
    <ItemId xmlns="621b3311-adc9-44a7-af0e-36067350c19c" xsi:nil="true"/>
    <ItemDate xmlns="621b3311-adc9-44a7-af0e-36067350c19c" xsi:nil="true"/>
    <Filename xmlns="621b3311-adc9-44a7-af0e-36067350c19c" xsi:nil="true"/>
    <ObjectId xmlns="621b3311-adc9-44a7-af0e-36067350c19c" xsi:nil="true"/>
    <TaxCatchAll xmlns="ddb5066c-6899-482b-9ea0-5145f9da9989" xsi:nil="true"/>
    <lcf76f155ced4ddcb4097134ff3c332f xmlns="f5536f26-5d7e-4d2b-a510-6667eeb1ad7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F62C1BAB7D1B4998D0BFFEC59B8AD2" ma:contentTypeVersion="25" ma:contentTypeDescription="Create a new document." ma:contentTypeScope="" ma:versionID="a29347074beb70bca29eaea2ad55900a">
  <xsd:schema xmlns:xsd="http://www.w3.org/2001/XMLSchema" xmlns:xs="http://www.w3.org/2001/XMLSchema" xmlns:p="http://schemas.microsoft.com/office/2006/metadata/properties" xmlns:ns1="http://schemas.microsoft.com/sharepoint/v3" xmlns:ns2="621b3311-adc9-44a7-af0e-36067350c19c" xmlns:ns3="99180bc4-2f7d-45e7-9e22-353907fb92c6" xmlns:ns4="f5536f26-5d7e-4d2b-a510-6667eeb1ad7c" xmlns:ns5="ddb5066c-6899-482b-9ea0-5145f9da9989" targetNamespace="http://schemas.microsoft.com/office/2006/metadata/properties" ma:root="true" ma:fieldsID="dd44e1d3607186ede97e4754c9758a79" ns1:_="" ns2:_="" ns3:_="" ns4:_="" ns5:_="">
    <xsd:import namespace="http://schemas.microsoft.com/sharepoint/v3"/>
    <xsd:import namespace="621b3311-adc9-44a7-af0e-36067350c19c"/>
    <xsd:import namespace="99180bc4-2f7d-45e7-9e22-353907fb92c6"/>
    <xsd:import namespace="f5536f26-5d7e-4d2b-a510-6667eeb1ad7c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ObjectId" minOccurs="0"/>
                <xsd:element ref="ns2:ItemId" minOccurs="0"/>
                <xsd:element ref="ns2:ItemNumber" minOccurs="0"/>
                <xsd:element ref="ns2:ItemDate" minOccurs="0"/>
                <xsd:element ref="ns2:Filename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1:_ip_UnifiedCompliancePolicyProperties" minOccurs="0"/>
                <xsd:element ref="ns1:_ip_UnifiedCompliancePolicyUIAction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5:TaxCatchAll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1b3311-adc9-44a7-af0e-36067350c19c" elementFormDefault="qualified">
    <xsd:import namespace="http://schemas.microsoft.com/office/2006/documentManagement/types"/>
    <xsd:import namespace="http://schemas.microsoft.com/office/infopath/2007/PartnerControls"/>
    <xsd:element name="ObjectId" ma:index="2" nillable="true" ma:displayName="ObjectId" ma:internalName="ObjectId">
      <xsd:simpleType>
        <xsd:restriction base="dms:Text">
          <xsd:maxLength value="255"/>
        </xsd:restriction>
      </xsd:simpleType>
    </xsd:element>
    <xsd:element name="ItemId" ma:index="3" nillable="true" ma:displayName="ItemId" ma:indexed="true" ma:internalName="ItemId">
      <xsd:simpleType>
        <xsd:restriction base="dms:Text">
          <xsd:maxLength value="255"/>
        </xsd:restriction>
      </xsd:simpleType>
    </xsd:element>
    <xsd:element name="ItemNumber" ma:index="4" nillable="true" ma:displayName="ItemNumber" ma:indexed="true" ma:internalName="ItemNumber">
      <xsd:simpleType>
        <xsd:restriction base="dms:Text">
          <xsd:maxLength value="255"/>
        </xsd:restriction>
      </xsd:simpleType>
    </xsd:element>
    <xsd:element name="ItemDate" ma:index="5" nillable="true" ma:displayName="ItemDate" ma:format="DateOnly" ma:indexed="true" ma:internalName="ItemDate">
      <xsd:simpleType>
        <xsd:restriction base="dms:DateTime"/>
      </xsd:simpleType>
    </xsd:element>
    <xsd:element name="Filename" ma:index="6" nillable="true" ma:displayName="Filename" ma:internalName="Filenam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180bc4-2f7d-45e7-9e22-353907fb92c6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536f26-5d7e-4d2b-a510-6667eeb1ad7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MediaServiceAutoTags" ma:internalName="MediaServiceAutoTags" ma:readOnly="true">
      <xsd:simpleType>
        <xsd:restriction base="dms:Text"/>
      </xsd:simpleType>
    </xsd:element>
    <xsd:element name="MediaServiceOCR" ma:index="2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8" nillable="true" ma:displayName="Taxonomy Catch All Column" ma:hidden="true" ma:list="{a6e7e882-9704-4d77-9765-cf8fe4d68a88}" ma:internalName="TaxCatchAll" ma:showField="CatchAllData" ma:web="fe36f78b-f2f5-469e-9861-ee46cd4ffe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0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4EA198-92EF-4834-82E2-3B04114A26B2}">
  <ds:schemaRefs>
    <ds:schemaRef ds:uri="http://purl.org/dc/elements/1.1/"/>
    <ds:schemaRef ds:uri="7558938a-8a22-4524-afb0-58b165029303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schemas.microsoft.com/sharepoint/v3"/>
    <ds:schemaRef ds:uri="99180bc4-2f7d-45e7-9e22-353907fb92c6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1B69D62-BAE6-4EC9-824C-F3C0C6E88C2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EA130F7-CA2B-41AF-994D-77D06D37C1B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Cover Page</vt:lpstr>
      <vt:lpstr>WP 23 Petition Disclosure Info</vt:lpstr>
      <vt:lpstr>'WP 23 Petition Disclosure Info'!Print_Area</vt:lpstr>
    </vt:vector>
  </TitlesOfParts>
  <Company>Duke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>Rider_Rate Comparison - Revised to update forecast depr exp and prop tax</dc:subject>
  <dc:creator>Dunchak, Cheryl</dc:creator>
  <cp:lastModifiedBy>Coe, Shala</cp:lastModifiedBy>
  <cp:lastPrinted>2021-05-05T19:47:05Z</cp:lastPrinted>
  <dcterms:created xsi:type="dcterms:W3CDTF">2021-05-04T19:39:26Z</dcterms:created>
  <dcterms:modified xsi:type="dcterms:W3CDTF">2021-05-06T17:47:28Z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0x01010017F62C1BAB7D1B4998D0BFFEC59B8AD2</vt:lpwstr>
  </property>
</Properties>
</file>