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FILINGS/"/>
    </mc:Choice>
  </mc:AlternateContent>
  <xr:revisionPtr revIDLastSave="0" documentId="8_{E162CCCA-AD93-4399-AFB9-9B0A78B5B5DC}" xr6:coauthVersionLast="45" xr6:coauthVersionMax="45" xr10:uidLastSave="{00000000-0000-0000-0000-000000000000}"/>
  <bookViews>
    <workbookView xWindow="-120" yWindow="-120" windowWidth="19440" windowHeight="15000" tabRatio="807" firstSheet="1" activeTab="1" xr2:uid="{00000000-000D-0000-FFFF-FFFF00000000}"/>
  </bookViews>
  <sheets>
    <sheet name="Total" sheetId="1" state="hidden" r:id="rId1"/>
    <sheet name="Title" sheetId="16" r:id="rId2"/>
    <sheet name="CAR Testimony Table" sheetId="15" r:id="rId3"/>
    <sheet name="CAR-1 Revenue Requirement" sheetId="11" r:id="rId4"/>
    <sheet name="CAR- 2 Rate Base and Depr Exp" sheetId="9" r:id="rId5"/>
    <sheet name="CAR-3 Property Tax Expense" sheetId="10" r:id="rId6"/>
    <sheet name="CAR-4 Depr Exp Retirements" sheetId="13" r:id="rId7"/>
    <sheet name="Transmission Rev Req" sheetId="6" state="hidden" r:id="rId8"/>
    <sheet name="Distribution Rev Req" sheetId="5" state="hidden" r:id="rId9"/>
    <sheet name="TDSIC Allocation Factors" sheetId="7" state="hidden" r:id="rId10"/>
    <sheet name="Sheet2" sheetId="8" state="hidden" r:id="rId11"/>
    <sheet name="Sheet3" sheetId="4" state="hidden" r:id="rId12"/>
  </sheets>
  <definedNames>
    <definedName name="_xlnm.Print_Area" localSheetId="4">'CAR- 2 Rate Base and Depr Exp'!$A$1:$O$260</definedName>
    <definedName name="_xlnm.Print_Area" localSheetId="2">'CAR Testimony Table'!$A$1:$I$16</definedName>
    <definedName name="_xlnm.Print_Area" localSheetId="3">'CAR-1 Revenue Requirement'!$A$1:$L$149</definedName>
    <definedName name="_xlnm.Print_Area" localSheetId="5">'CAR-3 Property Tax Expense'!$A$1:$M$70</definedName>
    <definedName name="_xlnm.Print_Area" localSheetId="6">'CAR-4 Depr Exp Retirements'!$A$1:$O$71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3" l="1"/>
  <c r="E106" i="9" l="1"/>
  <c r="E20" i="9"/>
  <c r="H106" i="9" l="1"/>
  <c r="E117" i="9"/>
  <c r="E122" i="9"/>
  <c r="E133" i="9"/>
  <c r="E11" i="10" l="1"/>
  <c r="F11" i="10" s="1"/>
  <c r="G11" i="10" s="1"/>
  <c r="H11" i="10" s="1"/>
  <c r="I11" i="10" s="1"/>
  <c r="J11" i="10" s="1"/>
  <c r="J13" i="11" l="1"/>
  <c r="I26" i="13"/>
  <c r="J26" i="13"/>
  <c r="K26" i="13"/>
  <c r="I27" i="13"/>
  <c r="J27" i="13"/>
  <c r="K27" i="13"/>
  <c r="I28" i="13"/>
  <c r="J28" i="13"/>
  <c r="K28" i="13"/>
  <c r="I29" i="13"/>
  <c r="J29" i="13"/>
  <c r="K29" i="13"/>
  <c r="I30" i="13"/>
  <c r="J30" i="13"/>
  <c r="K30" i="13"/>
  <c r="I31" i="13"/>
  <c r="J31" i="13"/>
  <c r="K31" i="13"/>
  <c r="I32" i="13"/>
  <c r="J32" i="13"/>
  <c r="K32" i="13"/>
  <c r="I33" i="13"/>
  <c r="J33" i="13"/>
  <c r="K33" i="13"/>
  <c r="I34" i="13"/>
  <c r="J34" i="13"/>
  <c r="K34" i="13"/>
  <c r="I35" i="13"/>
  <c r="J35" i="13"/>
  <c r="K35" i="13"/>
  <c r="G26" i="13"/>
  <c r="H26" i="13"/>
  <c r="G27" i="13"/>
  <c r="H27" i="13"/>
  <c r="G28" i="13"/>
  <c r="H28" i="13"/>
  <c r="G29" i="13"/>
  <c r="H29" i="13"/>
  <c r="G30" i="13"/>
  <c r="H30" i="13"/>
  <c r="G31" i="13"/>
  <c r="H31" i="13"/>
  <c r="G32" i="13"/>
  <c r="H32" i="13"/>
  <c r="G33" i="13"/>
  <c r="H33" i="13"/>
  <c r="G34" i="13"/>
  <c r="H34" i="13"/>
  <c r="G35" i="13"/>
  <c r="H35" i="13"/>
  <c r="G25" i="9"/>
  <c r="H25" i="9"/>
  <c r="I25" i="9"/>
  <c r="J25" i="9"/>
  <c r="K25" i="9"/>
  <c r="L25" i="9"/>
  <c r="G26" i="9"/>
  <c r="H26" i="9"/>
  <c r="I26" i="9"/>
  <c r="J26" i="9"/>
  <c r="K26" i="9"/>
  <c r="L26" i="9"/>
  <c r="L197" i="9" s="1"/>
  <c r="G27" i="9"/>
  <c r="H27" i="9"/>
  <c r="I27" i="9"/>
  <c r="J27" i="9"/>
  <c r="K27" i="9"/>
  <c r="L27" i="9"/>
  <c r="L198" i="9" s="1"/>
  <c r="G28" i="9"/>
  <c r="H28" i="9"/>
  <c r="I28" i="9"/>
  <c r="J28" i="9"/>
  <c r="K28" i="9"/>
  <c r="L28" i="9"/>
  <c r="L199" i="9" s="1"/>
  <c r="J24" i="11"/>
  <c r="J15" i="11"/>
  <c r="J74" i="11"/>
  <c r="J142" i="11"/>
  <c r="L36" i="9" l="1"/>
  <c r="L196" i="9"/>
  <c r="D74" i="11"/>
  <c r="B22" i="15"/>
  <c r="B6" i="15" s="1"/>
  <c r="O42" i="13" l="1"/>
  <c r="O43" i="13"/>
  <c r="O44" i="13"/>
  <c r="O45" i="13"/>
  <c r="O46" i="13"/>
  <c r="O47" i="13"/>
  <c r="O48" i="13"/>
  <c r="O49" i="13"/>
  <c r="O50" i="13"/>
  <c r="O51" i="13"/>
  <c r="O41" i="13"/>
  <c r="F25" i="13"/>
  <c r="F27" i="13"/>
  <c r="F28" i="13"/>
  <c r="F29" i="13"/>
  <c r="F30" i="13"/>
  <c r="F31" i="13"/>
  <c r="F32" i="13"/>
  <c r="F35" i="13"/>
  <c r="G25" i="13"/>
  <c r="H25" i="13"/>
  <c r="I25" i="13"/>
  <c r="O166" i="9"/>
  <c r="O167" i="9"/>
  <c r="O168" i="9"/>
  <c r="O169" i="9"/>
  <c r="O170" i="9"/>
  <c r="O171" i="9"/>
  <c r="O165" i="9"/>
  <c r="E150" i="9"/>
  <c r="E152" i="9"/>
  <c r="E153" i="9"/>
  <c r="E154" i="9"/>
  <c r="E155" i="9"/>
  <c r="E149" i="9"/>
  <c r="E50" i="11" l="1"/>
  <c r="E76" i="11" s="1"/>
  <c r="F50" i="11"/>
  <c r="F76" i="11" s="1"/>
  <c r="G50" i="11"/>
  <c r="G76" i="11" s="1"/>
  <c r="H50" i="11"/>
  <c r="H76" i="11" s="1"/>
  <c r="I50" i="11"/>
  <c r="D50" i="11"/>
  <c r="D76" i="11" s="1"/>
  <c r="I76" i="11" l="1"/>
  <c r="J50" i="11"/>
  <c r="D142" i="11"/>
  <c r="E142" i="11"/>
  <c r="F142" i="11"/>
  <c r="G142" i="11"/>
  <c r="H142" i="11"/>
  <c r="I142" i="11"/>
  <c r="J76" i="11" l="1"/>
  <c r="E151" i="9" l="1"/>
  <c r="F74" i="11"/>
  <c r="G74" i="11"/>
  <c r="H74" i="11"/>
  <c r="I74" i="11"/>
  <c r="D70" i="10" l="1"/>
  <c r="E48" i="11"/>
  <c r="E22" i="11"/>
  <c r="E74" i="11" s="1"/>
  <c r="E67" i="11" l="1"/>
  <c r="F67" i="11"/>
  <c r="G67" i="11"/>
  <c r="H67" i="11"/>
  <c r="I67" i="11"/>
  <c r="D67" i="11"/>
  <c r="E41" i="11"/>
  <c r="F41" i="11"/>
  <c r="G41" i="11"/>
  <c r="H41" i="11"/>
  <c r="I41" i="11"/>
  <c r="J41" i="11" s="1"/>
  <c r="J67" i="11" s="1"/>
  <c r="D41" i="11"/>
  <c r="E39" i="11"/>
  <c r="E65" i="11" s="1"/>
  <c r="F39" i="11"/>
  <c r="F65" i="11" s="1"/>
  <c r="G39" i="11"/>
  <c r="G65" i="11" s="1"/>
  <c r="H39" i="11"/>
  <c r="H65" i="11" s="1"/>
  <c r="I39" i="11"/>
  <c r="D39" i="11"/>
  <c r="D65" i="11" s="1"/>
  <c r="E34" i="13"/>
  <c r="E33" i="13"/>
  <c r="E47" i="13"/>
  <c r="F63" i="13" s="1"/>
  <c r="F34" i="13" l="1"/>
  <c r="F33" i="13"/>
  <c r="I65" i="11"/>
  <c r="J39" i="11"/>
  <c r="E68" i="13"/>
  <c r="J65" i="11" l="1"/>
  <c r="E43" i="13"/>
  <c r="F59" i="13" s="1"/>
  <c r="E44" i="13"/>
  <c r="F60" i="13" s="1"/>
  <c r="E45" i="13"/>
  <c r="F61" i="13" s="1"/>
  <c r="E46" i="13"/>
  <c r="F62" i="13" s="1"/>
  <c r="E48" i="13"/>
  <c r="F64" i="13" s="1"/>
  <c r="E51" i="13"/>
  <c r="F67" i="13" s="1"/>
  <c r="E41" i="13"/>
  <c r="F57" i="13" s="1"/>
  <c r="M11" i="13"/>
  <c r="L27" i="13" s="1"/>
  <c r="M12" i="13"/>
  <c r="L28" i="13" s="1"/>
  <c r="M13" i="13"/>
  <c r="L29" i="13" s="1"/>
  <c r="M14" i="13"/>
  <c r="L30" i="13" s="1"/>
  <c r="M15" i="13"/>
  <c r="L31" i="13" s="1"/>
  <c r="M16" i="13"/>
  <c r="L32" i="13" s="1"/>
  <c r="M17" i="13"/>
  <c r="L33" i="13" s="1"/>
  <c r="M18" i="13"/>
  <c r="L34" i="13" s="1"/>
  <c r="M34" i="13" s="1"/>
  <c r="M19" i="13"/>
  <c r="L35" i="13" s="1"/>
  <c r="G49" i="13"/>
  <c r="H65" i="13" s="1"/>
  <c r="F43" i="13"/>
  <c r="G59" i="13" s="1"/>
  <c r="F49" i="13"/>
  <c r="G65" i="13" s="1"/>
  <c r="F51" i="13"/>
  <c r="G67" i="13" s="1"/>
  <c r="L46" i="13" l="1"/>
  <c r="M30" i="13"/>
  <c r="L43" i="13"/>
  <c r="M27" i="13"/>
  <c r="L44" i="13"/>
  <c r="M28" i="13"/>
  <c r="M33" i="13"/>
  <c r="L45" i="13"/>
  <c r="M29" i="13"/>
  <c r="L51" i="13"/>
  <c r="M35" i="13"/>
  <c r="M32" i="13"/>
  <c r="L48" i="13"/>
  <c r="L50" i="13"/>
  <c r="M31" i="13"/>
  <c r="L47" i="13"/>
  <c r="L49" i="13"/>
  <c r="H44" i="13"/>
  <c r="I60" i="13" s="1"/>
  <c r="H47" i="13"/>
  <c r="I63" i="13" s="1"/>
  <c r="K48" i="13"/>
  <c r="L64" i="13" s="1"/>
  <c r="G47" i="13"/>
  <c r="H63" i="13" s="1"/>
  <c r="K45" i="13"/>
  <c r="L61" i="13" s="1"/>
  <c r="J45" i="13"/>
  <c r="K61" i="13" s="1"/>
  <c r="I45" i="13"/>
  <c r="J61" i="13" s="1"/>
  <c r="K51" i="13"/>
  <c r="L67" i="13" s="1"/>
  <c r="K43" i="13"/>
  <c r="L59" i="13" s="1"/>
  <c r="G44" i="13"/>
  <c r="H60" i="13" s="1"/>
  <c r="I47" i="13"/>
  <c r="J63" i="13" s="1"/>
  <c r="F48" i="13"/>
  <c r="G64" i="13" s="1"/>
  <c r="J51" i="13"/>
  <c r="K67" i="13" s="1"/>
  <c r="I48" i="13"/>
  <c r="J64" i="13" s="1"/>
  <c r="K46" i="13"/>
  <c r="L62" i="13" s="1"/>
  <c r="H45" i="13"/>
  <c r="I61" i="13" s="1"/>
  <c r="J43" i="13"/>
  <c r="K59" i="13" s="1"/>
  <c r="F47" i="13"/>
  <c r="G63" i="13" s="1"/>
  <c r="I51" i="13"/>
  <c r="J67" i="13" s="1"/>
  <c r="K49" i="13"/>
  <c r="L65" i="13" s="1"/>
  <c r="H48" i="13"/>
  <c r="I64" i="13" s="1"/>
  <c r="J46" i="13"/>
  <c r="K62" i="13" s="1"/>
  <c r="G45" i="13"/>
  <c r="H61" i="13" s="1"/>
  <c r="I43" i="13"/>
  <c r="J59" i="13" s="1"/>
  <c r="F46" i="13"/>
  <c r="G62" i="13" s="1"/>
  <c r="H51" i="13"/>
  <c r="I67" i="13" s="1"/>
  <c r="J49" i="13"/>
  <c r="K65" i="13" s="1"/>
  <c r="G48" i="13"/>
  <c r="H64" i="13" s="1"/>
  <c r="I46" i="13"/>
  <c r="J62" i="13" s="1"/>
  <c r="K44" i="13"/>
  <c r="L60" i="13" s="1"/>
  <c r="H43" i="13"/>
  <c r="I59" i="13" s="1"/>
  <c r="J48" i="13"/>
  <c r="K64" i="13" s="1"/>
  <c r="F45" i="13"/>
  <c r="G61" i="13" s="1"/>
  <c r="G51" i="13"/>
  <c r="H67" i="13" s="1"/>
  <c r="I49" i="13"/>
  <c r="J65" i="13" s="1"/>
  <c r="K47" i="13"/>
  <c r="L63" i="13" s="1"/>
  <c r="H46" i="13"/>
  <c r="I62" i="13" s="1"/>
  <c r="J44" i="13"/>
  <c r="K60" i="13" s="1"/>
  <c r="G43" i="13"/>
  <c r="H59" i="13" s="1"/>
  <c r="E50" i="13"/>
  <c r="F66" i="13" s="1"/>
  <c r="F44" i="13"/>
  <c r="G60" i="13" s="1"/>
  <c r="K50" i="13"/>
  <c r="L66" i="13" s="1"/>
  <c r="H49" i="13"/>
  <c r="I65" i="13" s="1"/>
  <c r="J47" i="13"/>
  <c r="K63" i="13" s="1"/>
  <c r="G46" i="13"/>
  <c r="H62" i="13" s="1"/>
  <c r="I44" i="13"/>
  <c r="J60" i="13" s="1"/>
  <c r="G50" i="13"/>
  <c r="H66" i="13" s="1"/>
  <c r="E49" i="13"/>
  <c r="F65" i="13" s="1"/>
  <c r="L71" i="13" l="1"/>
  <c r="J47" i="11" s="1"/>
  <c r="H71" i="13"/>
  <c r="F47" i="11" s="1"/>
  <c r="F71" i="13"/>
  <c r="D47" i="11" s="1"/>
  <c r="F50" i="13"/>
  <c r="H50" i="13"/>
  <c r="I50" i="13"/>
  <c r="J50" i="13"/>
  <c r="G66" i="13" l="1"/>
  <c r="G71" i="13" s="1"/>
  <c r="E47" i="11" s="1"/>
  <c r="J66" i="13"/>
  <c r="J71" i="13" s="1"/>
  <c r="H47" i="11" s="1"/>
  <c r="K66" i="13"/>
  <c r="K71" i="13" s="1"/>
  <c r="I47" i="11" s="1"/>
  <c r="I66" i="13"/>
  <c r="I71" i="13" s="1"/>
  <c r="G47" i="11" s="1"/>
  <c r="E26" i="13"/>
  <c r="F20" i="13"/>
  <c r="G20" i="13"/>
  <c r="H20" i="13"/>
  <c r="I20" i="13"/>
  <c r="J20" i="13"/>
  <c r="K20" i="13"/>
  <c r="K25" i="13"/>
  <c r="J25" i="13"/>
  <c r="M10" i="13"/>
  <c r="M9" i="13"/>
  <c r="F26" i="13" l="1"/>
  <c r="L25" i="13"/>
  <c r="L26" i="13"/>
  <c r="E36" i="13"/>
  <c r="G41" i="13"/>
  <c r="H57" i="13" s="1"/>
  <c r="H41" i="13"/>
  <c r="I57" i="13" s="1"/>
  <c r="I41" i="13"/>
  <c r="J57" i="13" s="1"/>
  <c r="J41" i="13"/>
  <c r="K57" i="13" s="1"/>
  <c r="K41" i="13"/>
  <c r="E42" i="13"/>
  <c r="E52" i="13" s="1"/>
  <c r="M20" i="13"/>
  <c r="G36" i="13"/>
  <c r="I36" i="13"/>
  <c r="J36" i="13"/>
  <c r="K36" i="13"/>
  <c r="H36" i="13"/>
  <c r="F41" i="13"/>
  <c r="G57" i="13" s="1"/>
  <c r="L42" i="13" l="1"/>
  <c r="L57" i="13"/>
  <c r="L36" i="13"/>
  <c r="M26" i="13"/>
  <c r="M25" i="13"/>
  <c r="L41" i="13"/>
  <c r="F58" i="13"/>
  <c r="F70" i="13" s="1"/>
  <c r="D21" i="11" s="1"/>
  <c r="D73" i="11" s="1"/>
  <c r="F36" i="13"/>
  <c r="F42" i="13"/>
  <c r="G58" i="13" s="1"/>
  <c r="G70" i="13" s="1"/>
  <c r="E21" i="11" s="1"/>
  <c r="E73" i="11" s="1"/>
  <c r="K42" i="13"/>
  <c r="K52" i="13" s="1"/>
  <c r="I42" i="13"/>
  <c r="H42" i="13"/>
  <c r="J42" i="13"/>
  <c r="G42" i="13"/>
  <c r="L52" i="13" l="1"/>
  <c r="M36" i="13"/>
  <c r="L58" i="13"/>
  <c r="L70" i="13" s="1"/>
  <c r="J21" i="11" s="1"/>
  <c r="J73" i="11" s="1"/>
  <c r="K58" i="13"/>
  <c r="K70" i="13" s="1"/>
  <c r="I21" i="11" s="1"/>
  <c r="I73" i="11" s="1"/>
  <c r="I58" i="13"/>
  <c r="I68" i="13" s="1"/>
  <c r="J58" i="13"/>
  <c r="J70" i="13" s="1"/>
  <c r="H21" i="11" s="1"/>
  <c r="H73" i="11" s="1"/>
  <c r="H58" i="13"/>
  <c r="H68" i="13" s="1"/>
  <c r="F52" i="13"/>
  <c r="H52" i="13"/>
  <c r="J52" i="13"/>
  <c r="I52" i="13"/>
  <c r="F68" i="13"/>
  <c r="G52" i="13"/>
  <c r="G68" i="13"/>
  <c r="L68" i="13" l="1"/>
  <c r="J68" i="13"/>
  <c r="H70" i="13"/>
  <c r="F21" i="11" s="1"/>
  <c r="F73" i="11" s="1"/>
  <c r="I70" i="13"/>
  <c r="G21" i="11" s="1"/>
  <c r="G73" i="11" s="1"/>
  <c r="K68" i="13"/>
  <c r="E231" i="9"/>
  <c r="E232" i="9"/>
  <c r="E233" i="9"/>
  <c r="E230" i="9"/>
  <c r="E197" i="9"/>
  <c r="E198" i="9"/>
  <c r="E199" i="9"/>
  <c r="E200" i="9"/>
  <c r="E201" i="9"/>
  <c r="E202" i="9"/>
  <c r="E203" i="9"/>
  <c r="E204" i="9"/>
  <c r="E205" i="9"/>
  <c r="E206" i="9"/>
  <c r="E196" i="9"/>
  <c r="F180" i="9"/>
  <c r="G180" i="9"/>
  <c r="H180" i="9"/>
  <c r="I180" i="9"/>
  <c r="J180" i="9"/>
  <c r="K180" i="9"/>
  <c r="F181" i="9"/>
  <c r="G181" i="9"/>
  <c r="H181" i="9"/>
  <c r="I181" i="9"/>
  <c r="J181" i="9"/>
  <c r="K181" i="9"/>
  <c r="F182" i="9"/>
  <c r="G182" i="9"/>
  <c r="H182" i="9"/>
  <c r="I182" i="9"/>
  <c r="J182" i="9"/>
  <c r="K182" i="9"/>
  <c r="F183" i="9"/>
  <c r="G183" i="9"/>
  <c r="H183" i="9"/>
  <c r="I183" i="9"/>
  <c r="J183" i="9"/>
  <c r="K183" i="9"/>
  <c r="F184" i="9"/>
  <c r="G184" i="9"/>
  <c r="H184" i="9"/>
  <c r="I184" i="9"/>
  <c r="J184" i="9"/>
  <c r="K184" i="9"/>
  <c r="F185" i="9"/>
  <c r="G185" i="9"/>
  <c r="H185" i="9"/>
  <c r="I185" i="9"/>
  <c r="J185" i="9"/>
  <c r="K185" i="9"/>
  <c r="F186" i="9"/>
  <c r="G186" i="9"/>
  <c r="H186" i="9"/>
  <c r="I186" i="9"/>
  <c r="J186" i="9"/>
  <c r="K186" i="9"/>
  <c r="F187" i="9"/>
  <c r="G187" i="9"/>
  <c r="H187" i="9"/>
  <c r="I187" i="9"/>
  <c r="J187" i="9"/>
  <c r="K187" i="9"/>
  <c r="F188" i="9"/>
  <c r="G188" i="9"/>
  <c r="H188" i="9"/>
  <c r="I188" i="9"/>
  <c r="J188" i="9"/>
  <c r="K188" i="9"/>
  <c r="F189" i="9"/>
  <c r="G189" i="9"/>
  <c r="H189" i="9"/>
  <c r="I189" i="9"/>
  <c r="J189" i="9"/>
  <c r="K189" i="9"/>
  <c r="F190" i="9"/>
  <c r="G190" i="9"/>
  <c r="H190" i="9"/>
  <c r="I190" i="9"/>
  <c r="J190" i="9"/>
  <c r="K190" i="9"/>
  <c r="E181" i="9"/>
  <c r="E182" i="9"/>
  <c r="E183" i="9"/>
  <c r="E184" i="9"/>
  <c r="E185" i="9"/>
  <c r="E186" i="9"/>
  <c r="E187" i="9"/>
  <c r="E188" i="9"/>
  <c r="E189" i="9"/>
  <c r="E190" i="9"/>
  <c r="E180" i="9"/>
  <c r="E234" i="9"/>
  <c r="E235" i="9"/>
  <c r="E236" i="9"/>
  <c r="E237" i="9"/>
  <c r="E238" i="9"/>
  <c r="E239" i="9"/>
  <c r="E240" i="9"/>
  <c r="E75" i="9" l="1"/>
  <c r="E246" i="9" s="1"/>
  <c r="E76" i="9"/>
  <c r="E247" i="9" s="1"/>
  <c r="E77" i="9"/>
  <c r="E248" i="9" s="1"/>
  <c r="E78" i="9"/>
  <c r="E70" i="9"/>
  <c r="E134" i="9"/>
  <c r="E135" i="9"/>
  <c r="E136" i="9"/>
  <c r="E221" i="9" s="1"/>
  <c r="E137" i="9"/>
  <c r="E138" i="9"/>
  <c r="E139" i="9"/>
  <c r="E224" i="9" s="1"/>
  <c r="E218" i="9"/>
  <c r="E209" i="9"/>
  <c r="E86" i="9" l="1"/>
  <c r="E249" i="9"/>
  <c r="E220" i="9"/>
  <c r="E223" i="9"/>
  <c r="E222" i="9"/>
  <c r="E219" i="9"/>
  <c r="E207" i="9"/>
  <c r="F26" i="9" l="1"/>
  <c r="F27" i="9"/>
  <c r="F28" i="9"/>
  <c r="F25" i="9"/>
  <c r="I45" i="9" l="1"/>
  <c r="J61" i="9" s="1"/>
  <c r="J45" i="9"/>
  <c r="K61" i="9" s="1"/>
  <c r="K45" i="9"/>
  <c r="L61" i="9" s="1"/>
  <c r="L232" i="9" s="1"/>
  <c r="M27" i="9"/>
  <c r="L45" i="9"/>
  <c r="L216" i="9" s="1"/>
  <c r="M25" i="9"/>
  <c r="J43" i="9"/>
  <c r="K59" i="9" s="1"/>
  <c r="L43" i="9"/>
  <c r="L214" i="9" s="1"/>
  <c r="I43" i="9"/>
  <c r="J59" i="9" s="1"/>
  <c r="K43" i="9"/>
  <c r="L59" i="9" s="1"/>
  <c r="I46" i="9"/>
  <c r="J62" i="9" s="1"/>
  <c r="K46" i="9"/>
  <c r="L62" i="9" s="1"/>
  <c r="L233" i="9" s="1"/>
  <c r="M28" i="9"/>
  <c r="J46" i="9"/>
  <c r="K62" i="9" s="1"/>
  <c r="L46" i="9"/>
  <c r="L217" i="9" s="1"/>
  <c r="I44" i="9"/>
  <c r="J60" i="9" s="1"/>
  <c r="L44" i="9"/>
  <c r="J44" i="9"/>
  <c r="K60" i="9" s="1"/>
  <c r="K44" i="9"/>
  <c r="L60" i="9" s="1"/>
  <c r="L231" i="9" s="1"/>
  <c r="M26" i="9"/>
  <c r="J199" i="9"/>
  <c r="I198" i="9"/>
  <c r="F198" i="9"/>
  <c r="K196" i="9"/>
  <c r="I199" i="9"/>
  <c r="K199" i="9"/>
  <c r="I196" i="9"/>
  <c r="G198" i="9"/>
  <c r="J197" i="9"/>
  <c r="I197" i="9"/>
  <c r="H199" i="9"/>
  <c r="H197" i="9"/>
  <c r="K198" i="9"/>
  <c r="H196" i="9"/>
  <c r="G197" i="9"/>
  <c r="K197" i="9"/>
  <c r="F199" i="9"/>
  <c r="H198" i="9"/>
  <c r="F197" i="9"/>
  <c r="G196" i="9"/>
  <c r="G199" i="9"/>
  <c r="F196" i="9"/>
  <c r="J198" i="9"/>
  <c r="J36" i="9"/>
  <c r="J196" i="9"/>
  <c r="K20" i="9"/>
  <c r="J20" i="9"/>
  <c r="I20" i="9"/>
  <c r="H20" i="9"/>
  <c r="G20" i="9"/>
  <c r="F20" i="9"/>
  <c r="F38" i="9"/>
  <c r="M12" i="9"/>
  <c r="M11" i="9"/>
  <c r="M10" i="9"/>
  <c r="M9" i="9"/>
  <c r="M198" i="9" l="1"/>
  <c r="M199" i="9"/>
  <c r="M197" i="9"/>
  <c r="M196" i="9"/>
  <c r="L70" i="9"/>
  <c r="J20" i="11" s="1"/>
  <c r="L230" i="9"/>
  <c r="L54" i="9"/>
  <c r="L215" i="9"/>
  <c r="G38" i="9"/>
  <c r="M20" i="9"/>
  <c r="H38" i="9" l="1"/>
  <c r="I38" i="9" l="1"/>
  <c r="J38" i="9" l="1"/>
  <c r="F60" i="10"/>
  <c r="G60" i="10"/>
  <c r="H60" i="10"/>
  <c r="I60" i="10"/>
  <c r="J60" i="10"/>
  <c r="E60" i="10"/>
  <c r="F56" i="10"/>
  <c r="G56" i="10"/>
  <c r="H56" i="10"/>
  <c r="I56" i="10"/>
  <c r="J56" i="10"/>
  <c r="E56" i="10"/>
  <c r="E167" i="9"/>
  <c r="E252" i="9" s="1"/>
  <c r="K106" i="9"/>
  <c r="J106" i="9"/>
  <c r="I106" i="9"/>
  <c r="G106" i="9"/>
  <c r="F106" i="9"/>
  <c r="F124" i="9" s="1"/>
  <c r="F209" i="9" s="1"/>
  <c r="M105" i="9"/>
  <c r="M104" i="9"/>
  <c r="M103" i="9"/>
  <c r="M102" i="9"/>
  <c r="M101" i="9"/>
  <c r="M100" i="9"/>
  <c r="M99" i="9"/>
  <c r="F43" i="9"/>
  <c r="G59" i="9" s="1"/>
  <c r="G43" i="9"/>
  <c r="H59" i="9" s="1"/>
  <c r="H43" i="9"/>
  <c r="I59" i="9" s="1"/>
  <c r="K214" i="9"/>
  <c r="F44" i="9"/>
  <c r="G60" i="9" s="1"/>
  <c r="G44" i="9"/>
  <c r="H60" i="9" s="1"/>
  <c r="H44" i="9"/>
  <c r="I60" i="9" s="1"/>
  <c r="K215" i="9"/>
  <c r="F45" i="9"/>
  <c r="G61" i="9" s="1"/>
  <c r="G45" i="9"/>
  <c r="H61" i="9" s="1"/>
  <c r="H45" i="9"/>
  <c r="I61" i="9" s="1"/>
  <c r="K216" i="9"/>
  <c r="F46" i="9"/>
  <c r="G62" i="9" s="1"/>
  <c r="G46" i="9"/>
  <c r="H62" i="9" s="1"/>
  <c r="H46" i="9"/>
  <c r="I62" i="9" s="1"/>
  <c r="K217" i="9"/>
  <c r="E44" i="9"/>
  <c r="F60" i="9" s="1"/>
  <c r="E45" i="9"/>
  <c r="F61" i="9" s="1"/>
  <c r="E46" i="9"/>
  <c r="F62" i="9" s="1"/>
  <c r="E43" i="9"/>
  <c r="F59" i="9" s="1"/>
  <c r="K36" i="9"/>
  <c r="J17" i="10"/>
  <c r="J19" i="10" s="1"/>
  <c r="I36" i="9"/>
  <c r="I17" i="10" s="1"/>
  <c r="I19" i="10" s="1"/>
  <c r="H36" i="9"/>
  <c r="H17" i="10" s="1"/>
  <c r="H19" i="10" s="1"/>
  <c r="G36" i="9"/>
  <c r="G17" i="10" s="1"/>
  <c r="G19" i="10" s="1"/>
  <c r="F36" i="9"/>
  <c r="F17" i="10" s="1"/>
  <c r="F19" i="10" s="1"/>
  <c r="E36" i="9"/>
  <c r="E17" i="10" s="1"/>
  <c r="E19" i="10" s="1"/>
  <c r="H75" i="9" l="1"/>
  <c r="I75" i="9"/>
  <c r="J75" i="9"/>
  <c r="K75" i="9"/>
  <c r="L75" i="9"/>
  <c r="H77" i="9"/>
  <c r="L77" i="9"/>
  <c r="L248" i="9" s="1"/>
  <c r="I77" i="9"/>
  <c r="J77" i="9"/>
  <c r="K77" i="9"/>
  <c r="K76" i="9"/>
  <c r="L76" i="9"/>
  <c r="L247" i="9" s="1"/>
  <c r="J76" i="9"/>
  <c r="I76" i="9"/>
  <c r="H76" i="9"/>
  <c r="I78" i="9"/>
  <c r="L78" i="9"/>
  <c r="L249" i="9" s="1"/>
  <c r="H78" i="9"/>
  <c r="H249" i="9" s="1"/>
  <c r="J78" i="9"/>
  <c r="J249" i="9" s="1"/>
  <c r="K78" i="9"/>
  <c r="F121" i="9"/>
  <c r="F115" i="9"/>
  <c r="F119" i="9"/>
  <c r="F116" i="9"/>
  <c r="F120" i="9"/>
  <c r="F117" i="9"/>
  <c r="F118" i="9"/>
  <c r="E217" i="9"/>
  <c r="F233" i="9"/>
  <c r="F217" i="9"/>
  <c r="G233" i="9"/>
  <c r="E214" i="9"/>
  <c r="F230" i="9"/>
  <c r="I214" i="9"/>
  <c r="J230" i="9"/>
  <c r="J216" i="9"/>
  <c r="K232" i="9"/>
  <c r="I216" i="9"/>
  <c r="J232" i="9"/>
  <c r="G215" i="9"/>
  <c r="H231" i="9"/>
  <c r="G217" i="9"/>
  <c r="H233" i="9"/>
  <c r="E216" i="9"/>
  <c r="F232" i="9"/>
  <c r="I215" i="9"/>
  <c r="J231" i="9"/>
  <c r="E215" i="9"/>
  <c r="F231" i="9"/>
  <c r="F214" i="9"/>
  <c r="G230" i="9"/>
  <c r="J217" i="9"/>
  <c r="K233" i="9"/>
  <c r="H216" i="9"/>
  <c r="I232" i="9"/>
  <c r="F215" i="9"/>
  <c r="G231" i="9"/>
  <c r="J215" i="9"/>
  <c r="K231" i="9"/>
  <c r="G214" i="9"/>
  <c r="H230" i="9"/>
  <c r="H214" i="9"/>
  <c r="I230" i="9"/>
  <c r="H215" i="9"/>
  <c r="I231" i="9"/>
  <c r="I217" i="9"/>
  <c r="J233" i="9"/>
  <c r="G216" i="9"/>
  <c r="H232" i="9"/>
  <c r="H217" i="9"/>
  <c r="I233" i="9"/>
  <c r="F216" i="9"/>
  <c r="G232" i="9"/>
  <c r="J214" i="9"/>
  <c r="K230" i="9"/>
  <c r="G39" i="10"/>
  <c r="G41" i="10" s="1"/>
  <c r="H39" i="10"/>
  <c r="H41" i="10" s="1"/>
  <c r="I39" i="10"/>
  <c r="I41" i="10" s="1"/>
  <c r="G124" i="9"/>
  <c r="F39" i="10"/>
  <c r="F41" i="10" s="1"/>
  <c r="E140" i="9"/>
  <c r="H191" i="9"/>
  <c r="M181" i="9"/>
  <c r="E165" i="9"/>
  <c r="E250" i="9" s="1"/>
  <c r="M180" i="9"/>
  <c r="K191" i="9"/>
  <c r="M182" i="9"/>
  <c r="E166" i="9"/>
  <c r="E251" i="9" s="1"/>
  <c r="M184" i="9"/>
  <c r="G191" i="9"/>
  <c r="M183" i="9"/>
  <c r="I191" i="9"/>
  <c r="J191" i="9"/>
  <c r="M185" i="9"/>
  <c r="M189" i="9"/>
  <c r="M190" i="9"/>
  <c r="F191" i="9"/>
  <c r="E191" i="9"/>
  <c r="M187" i="9"/>
  <c r="M188" i="9"/>
  <c r="M186" i="9"/>
  <c r="M106" i="9"/>
  <c r="I54" i="9"/>
  <c r="J54" i="9"/>
  <c r="E171" i="9"/>
  <c r="E256" i="9" s="1"/>
  <c r="E170" i="9"/>
  <c r="E255" i="9" s="1"/>
  <c r="E169" i="9"/>
  <c r="E254" i="9" s="1"/>
  <c r="E156" i="9"/>
  <c r="E168" i="9"/>
  <c r="E253" i="9" s="1"/>
  <c r="F75" i="9"/>
  <c r="F246" i="9" s="1"/>
  <c r="K54" i="9"/>
  <c r="G54" i="9"/>
  <c r="F77" i="9"/>
  <c r="F248" i="9" s="1"/>
  <c r="J246" i="9"/>
  <c r="H54" i="9"/>
  <c r="F54" i="9"/>
  <c r="G78" i="9"/>
  <c r="G249" i="9" s="1"/>
  <c r="E54" i="9"/>
  <c r="K70" i="9"/>
  <c r="I20" i="11" s="1"/>
  <c r="M36" i="9"/>
  <c r="D9" i="5"/>
  <c r="E9" i="5"/>
  <c r="F9" i="5"/>
  <c r="G9" i="5"/>
  <c r="H9" i="5"/>
  <c r="I9" i="5"/>
  <c r="D10" i="5"/>
  <c r="E10" i="5"/>
  <c r="F10" i="5"/>
  <c r="G10" i="5"/>
  <c r="H10" i="5"/>
  <c r="I10" i="5"/>
  <c r="D11" i="5"/>
  <c r="E11" i="5"/>
  <c r="F11" i="5"/>
  <c r="G11" i="5"/>
  <c r="H11" i="5"/>
  <c r="I11" i="5"/>
  <c r="D12" i="5"/>
  <c r="E12" i="5"/>
  <c r="F12" i="5"/>
  <c r="G12" i="5"/>
  <c r="H12" i="5"/>
  <c r="I12" i="5"/>
  <c r="D13" i="5"/>
  <c r="E13" i="5"/>
  <c r="F13" i="5"/>
  <c r="G13" i="5"/>
  <c r="H13" i="5"/>
  <c r="I13" i="5"/>
  <c r="D14" i="5"/>
  <c r="E14" i="5"/>
  <c r="F14" i="5"/>
  <c r="G14" i="5"/>
  <c r="H14" i="5"/>
  <c r="I14" i="5"/>
  <c r="D15" i="5"/>
  <c r="E15" i="5"/>
  <c r="F15" i="5"/>
  <c r="G15" i="5"/>
  <c r="H15" i="5"/>
  <c r="I15" i="5"/>
  <c r="C10" i="5"/>
  <c r="C11" i="5"/>
  <c r="C12" i="5"/>
  <c r="C13" i="5"/>
  <c r="C14" i="5"/>
  <c r="C15" i="5"/>
  <c r="C9" i="5"/>
  <c r="D5" i="6"/>
  <c r="E5" i="6"/>
  <c r="F5" i="6"/>
  <c r="G5" i="6"/>
  <c r="H5" i="6"/>
  <c r="I5" i="6"/>
  <c r="D6" i="6"/>
  <c r="E6" i="6"/>
  <c r="F6" i="6"/>
  <c r="G6" i="6"/>
  <c r="H6" i="6"/>
  <c r="I6" i="6"/>
  <c r="D7" i="6"/>
  <c r="E7" i="6"/>
  <c r="F7" i="6"/>
  <c r="G7" i="6"/>
  <c r="H7" i="6"/>
  <c r="I7" i="6"/>
  <c r="D8" i="6"/>
  <c r="E8" i="6"/>
  <c r="F8" i="6"/>
  <c r="G8" i="6"/>
  <c r="H8" i="6"/>
  <c r="I8" i="6"/>
  <c r="C6" i="6"/>
  <c r="C7" i="6"/>
  <c r="C8" i="6"/>
  <c r="C5" i="6"/>
  <c r="G118" i="9" l="1"/>
  <c r="H124" i="9"/>
  <c r="J39" i="10"/>
  <c r="J41" i="10" s="1"/>
  <c r="J59" i="10"/>
  <c r="J61" i="10" s="1"/>
  <c r="J63" i="10" s="1"/>
  <c r="I59" i="10"/>
  <c r="I61" i="10" s="1"/>
  <c r="I63" i="10" s="1"/>
  <c r="H59" i="10"/>
  <c r="H61" i="10" s="1"/>
  <c r="H63" i="10" s="1"/>
  <c r="E39" i="10"/>
  <c r="E41" i="10" s="1"/>
  <c r="E33" i="10"/>
  <c r="E35" i="10" s="1"/>
  <c r="F152" i="9"/>
  <c r="F151" i="9"/>
  <c r="F154" i="9"/>
  <c r="L86" i="9"/>
  <c r="L89" i="9" s="1"/>
  <c r="L246" i="9"/>
  <c r="F150" i="9"/>
  <c r="F153" i="9"/>
  <c r="F149" i="9"/>
  <c r="F155" i="9"/>
  <c r="G59" i="10"/>
  <c r="G61" i="10" s="1"/>
  <c r="G63" i="10" s="1"/>
  <c r="G120" i="9"/>
  <c r="G115" i="9"/>
  <c r="G117" i="9"/>
  <c r="G119" i="9"/>
  <c r="G116" i="9"/>
  <c r="G121" i="9"/>
  <c r="G139" i="9" s="1"/>
  <c r="G224" i="9" s="1"/>
  <c r="K248" i="9"/>
  <c r="I247" i="9"/>
  <c r="G70" i="9"/>
  <c r="E20" i="11" s="1"/>
  <c r="F76" i="9"/>
  <c r="F247" i="9" s="1"/>
  <c r="G76" i="9"/>
  <c r="G247" i="9" s="1"/>
  <c r="G75" i="9"/>
  <c r="G246" i="9" s="1"/>
  <c r="K246" i="9"/>
  <c r="F59" i="10"/>
  <c r="F61" i="10" s="1"/>
  <c r="F63" i="10" s="1"/>
  <c r="G77" i="9"/>
  <c r="G248" i="9" s="1"/>
  <c r="J70" i="9"/>
  <c r="H20" i="11" s="1"/>
  <c r="I249" i="9"/>
  <c r="K249" i="9"/>
  <c r="H246" i="9"/>
  <c r="H247" i="9"/>
  <c r="H248" i="9"/>
  <c r="J247" i="9"/>
  <c r="J248" i="9"/>
  <c r="I70" i="9"/>
  <c r="G20" i="11" s="1"/>
  <c r="I246" i="9"/>
  <c r="F70" i="9"/>
  <c r="D20" i="11" s="1"/>
  <c r="H70" i="9"/>
  <c r="F20" i="11" s="1"/>
  <c r="K247" i="9"/>
  <c r="I248" i="9"/>
  <c r="F200" i="9"/>
  <c r="F133" i="9"/>
  <c r="G209" i="9"/>
  <c r="F202" i="9"/>
  <c r="F135" i="9"/>
  <c r="F220" i="9" s="1"/>
  <c r="F205" i="9"/>
  <c r="F138" i="9"/>
  <c r="F223" i="9" s="1"/>
  <c r="F206" i="9"/>
  <c r="F139" i="9"/>
  <c r="F224" i="9" s="1"/>
  <c r="F204" i="9"/>
  <c r="F137" i="9"/>
  <c r="F222" i="9" s="1"/>
  <c r="F203" i="9"/>
  <c r="F136" i="9"/>
  <c r="F221" i="9" s="1"/>
  <c r="F201" i="9"/>
  <c r="F134" i="9"/>
  <c r="F219" i="9" s="1"/>
  <c r="F78" i="9"/>
  <c r="G136" i="9"/>
  <c r="G221" i="9" s="1"/>
  <c r="F122" i="9"/>
  <c r="E59" i="10"/>
  <c r="E61" i="10" s="1"/>
  <c r="E63" i="10" s="1"/>
  <c r="E225" i="9"/>
  <c r="E241" i="9"/>
  <c r="M191" i="9"/>
  <c r="E13" i="10"/>
  <c r="E172" i="9"/>
  <c r="F13" i="10"/>
  <c r="F20" i="10" s="1"/>
  <c r="F22" i="10" s="1"/>
  <c r="F26" i="10" s="1"/>
  <c r="E19" i="11" s="1"/>
  <c r="D11" i="8"/>
  <c r="E11" i="8"/>
  <c r="F11" i="8"/>
  <c r="G11" i="8"/>
  <c r="H11" i="8"/>
  <c r="I11" i="8"/>
  <c r="C11" i="8"/>
  <c r="D10" i="8"/>
  <c r="E10" i="8"/>
  <c r="F10" i="8"/>
  <c r="G10" i="8"/>
  <c r="H10" i="8"/>
  <c r="I10" i="8"/>
  <c r="C10" i="8"/>
  <c r="D7" i="8"/>
  <c r="E7" i="8"/>
  <c r="F7" i="8"/>
  <c r="G7" i="8"/>
  <c r="H7" i="8"/>
  <c r="I7" i="8"/>
  <c r="C7" i="8"/>
  <c r="D6" i="8"/>
  <c r="E6" i="8"/>
  <c r="F6" i="8"/>
  <c r="G6" i="8"/>
  <c r="H6" i="8"/>
  <c r="I6" i="8"/>
  <c r="C6" i="8"/>
  <c r="E42" i="10" l="1"/>
  <c r="E44" i="10" s="1"/>
  <c r="E48" i="10" s="1"/>
  <c r="D45" i="11" s="1"/>
  <c r="H119" i="9"/>
  <c r="H118" i="9"/>
  <c r="H121" i="9"/>
  <c r="H120" i="9"/>
  <c r="H138" i="9" s="1"/>
  <c r="H223" i="9" s="1"/>
  <c r="H115" i="9"/>
  <c r="H117" i="9"/>
  <c r="H116" i="9"/>
  <c r="F33" i="10"/>
  <c r="E55" i="10"/>
  <c r="E57" i="10" s="1"/>
  <c r="E64" i="10" s="1"/>
  <c r="E66" i="10" s="1"/>
  <c r="J12" i="11"/>
  <c r="G150" i="9"/>
  <c r="G235" i="9" s="1"/>
  <c r="G153" i="9"/>
  <c r="G238" i="9" s="1"/>
  <c r="G151" i="9"/>
  <c r="G236" i="9" s="1"/>
  <c r="G149" i="9"/>
  <c r="G137" i="9"/>
  <c r="G222" i="9" s="1"/>
  <c r="G154" i="9"/>
  <c r="G239" i="9" s="1"/>
  <c r="H137" i="9"/>
  <c r="H222" i="9" s="1"/>
  <c r="G155" i="9"/>
  <c r="G240" i="9" s="1"/>
  <c r="G152" i="9"/>
  <c r="G237" i="9" s="1"/>
  <c r="K86" i="9"/>
  <c r="K89" i="9" s="1"/>
  <c r="I12" i="11" s="1"/>
  <c r="I86" i="9"/>
  <c r="I89" i="9" s="1"/>
  <c r="G12" i="11" s="1"/>
  <c r="G86" i="9"/>
  <c r="G89" i="9" s="1"/>
  <c r="E12" i="11" s="1"/>
  <c r="J86" i="9"/>
  <c r="J89" i="9" s="1"/>
  <c r="H12" i="11" s="1"/>
  <c r="H86" i="9"/>
  <c r="H89" i="9" s="1"/>
  <c r="F12" i="11" s="1"/>
  <c r="F86" i="9"/>
  <c r="F89" i="9" s="1"/>
  <c r="D12" i="11" s="1"/>
  <c r="F249" i="9"/>
  <c r="F235" i="9"/>
  <c r="F166" i="9"/>
  <c r="F251" i="9" s="1"/>
  <c r="I124" i="9"/>
  <c r="H209" i="9"/>
  <c r="F239" i="9"/>
  <c r="F170" i="9"/>
  <c r="F255" i="9" s="1"/>
  <c r="G205" i="9"/>
  <c r="G202" i="9"/>
  <c r="G134" i="9"/>
  <c r="G219" i="9" s="1"/>
  <c r="F238" i="9"/>
  <c r="F169" i="9"/>
  <c r="F254" i="9" s="1"/>
  <c r="G135" i="9"/>
  <c r="G220" i="9" s="1"/>
  <c r="G133" i="9"/>
  <c r="F218" i="9"/>
  <c r="F225" i="9" s="1"/>
  <c r="F140" i="9"/>
  <c r="G138" i="9"/>
  <c r="G223" i="9" s="1"/>
  <c r="G201" i="9"/>
  <c r="G200" i="9"/>
  <c r="F207" i="9"/>
  <c r="G203" i="9"/>
  <c r="G204" i="9"/>
  <c r="F237" i="9"/>
  <c r="F168" i="9"/>
  <c r="F253" i="9" s="1"/>
  <c r="F240" i="9"/>
  <c r="F171" i="9"/>
  <c r="F256" i="9" s="1"/>
  <c r="F236" i="9"/>
  <c r="F167" i="9"/>
  <c r="F252" i="9" s="1"/>
  <c r="G206" i="9"/>
  <c r="F234" i="9"/>
  <c r="F165" i="9"/>
  <c r="F156" i="9"/>
  <c r="D46" i="11" s="1"/>
  <c r="D72" i="11" s="1"/>
  <c r="G122" i="9"/>
  <c r="E20" i="10"/>
  <c r="E22" i="10" s="1"/>
  <c r="E26" i="10" s="1"/>
  <c r="D19" i="11" s="1"/>
  <c r="D23" i="11" s="1"/>
  <c r="E257" i="9"/>
  <c r="G13" i="10"/>
  <c r="G20" i="10" s="1"/>
  <c r="G22" i="10" s="1"/>
  <c r="G26" i="10" s="1"/>
  <c r="F19" i="11" s="1"/>
  <c r="E15" i="7"/>
  <c r="G15" i="7"/>
  <c r="C15" i="7"/>
  <c r="D11" i="7" s="1"/>
  <c r="H122" i="9" l="1"/>
  <c r="G33" i="10"/>
  <c r="F55" i="10"/>
  <c r="F57" i="10" s="1"/>
  <c r="F64" i="10" s="1"/>
  <c r="F66" i="10" s="1"/>
  <c r="F35" i="10"/>
  <c r="F42" i="10" s="1"/>
  <c r="F44" i="10" s="1"/>
  <c r="F48" i="10" s="1"/>
  <c r="J14" i="11"/>
  <c r="J16" i="11" s="1"/>
  <c r="D71" i="11"/>
  <c r="E70" i="10"/>
  <c r="D49" i="11"/>
  <c r="D51" i="11" s="1"/>
  <c r="H151" i="9"/>
  <c r="H153" i="9"/>
  <c r="H238" i="9" s="1"/>
  <c r="H150" i="9"/>
  <c r="H235" i="9" s="1"/>
  <c r="H155" i="9"/>
  <c r="I115" i="9"/>
  <c r="I118" i="9"/>
  <c r="I121" i="9"/>
  <c r="I139" i="9" s="1"/>
  <c r="I224" i="9" s="1"/>
  <c r="I120" i="9"/>
  <c r="I116" i="9"/>
  <c r="I117" i="9"/>
  <c r="I119" i="9"/>
  <c r="I153" i="9" s="1"/>
  <c r="H149" i="9"/>
  <c r="H165" i="9" s="1"/>
  <c r="H134" i="9"/>
  <c r="H219" i="9" s="1"/>
  <c r="H204" i="9"/>
  <c r="H154" i="9"/>
  <c r="H152" i="9"/>
  <c r="G169" i="9"/>
  <c r="G254" i="9" s="1"/>
  <c r="G167" i="9"/>
  <c r="G252" i="9" s="1"/>
  <c r="G168" i="9"/>
  <c r="G253" i="9" s="1"/>
  <c r="G218" i="9"/>
  <c r="G225" i="9" s="1"/>
  <c r="G140" i="9"/>
  <c r="G234" i="9"/>
  <c r="G241" i="9" s="1"/>
  <c r="G156" i="9"/>
  <c r="E46" i="11" s="1"/>
  <c r="J124" i="9"/>
  <c r="I209" i="9"/>
  <c r="F250" i="9"/>
  <c r="F257" i="9" s="1"/>
  <c r="F172" i="9"/>
  <c r="F175" i="9" s="1"/>
  <c r="H203" i="9"/>
  <c r="H136" i="9"/>
  <c r="H221" i="9" s="1"/>
  <c r="G170" i="9"/>
  <c r="G255" i="9" s="1"/>
  <c r="H201" i="9"/>
  <c r="H202" i="9"/>
  <c r="H135" i="9"/>
  <c r="H220" i="9" s="1"/>
  <c r="G207" i="9"/>
  <c r="F241" i="9"/>
  <c r="H206" i="9"/>
  <c r="H139" i="9"/>
  <c r="H224" i="9" s="1"/>
  <c r="H200" i="9"/>
  <c r="H133" i="9"/>
  <c r="G165" i="9"/>
  <c r="G171" i="9"/>
  <c r="G256" i="9" s="1"/>
  <c r="H205" i="9"/>
  <c r="G166" i="9"/>
  <c r="G251" i="9" s="1"/>
  <c r="E14" i="11"/>
  <c r="E16" i="11" s="1"/>
  <c r="D14" i="11"/>
  <c r="D16" i="11" s="1"/>
  <c r="F14" i="11"/>
  <c r="F16" i="11" s="1"/>
  <c r="F23" i="11"/>
  <c r="F25" i="11" s="1"/>
  <c r="H13" i="10"/>
  <c r="H20" i="10" s="1"/>
  <c r="H22" i="10" s="1"/>
  <c r="D10" i="7"/>
  <c r="D13" i="7"/>
  <c r="D9" i="7"/>
  <c r="H13" i="7"/>
  <c r="H12" i="7"/>
  <c r="B14" i="8" s="1"/>
  <c r="H10" i="7"/>
  <c r="H9" i="7"/>
  <c r="B28" i="8" s="1"/>
  <c r="F10" i="7"/>
  <c r="H11" i="7"/>
  <c r="F13" i="7"/>
  <c r="F12" i="7"/>
  <c r="B13" i="8" s="1"/>
  <c r="F13" i="8" s="1"/>
  <c r="F9" i="7"/>
  <c r="B27" i="8" s="1"/>
  <c r="F11" i="7"/>
  <c r="D12" i="7"/>
  <c r="E45" i="11" l="1"/>
  <c r="E71" i="11" s="1"/>
  <c r="F70" i="10"/>
  <c r="H33" i="10"/>
  <c r="G55" i="10"/>
  <c r="G57" i="10" s="1"/>
  <c r="G64" i="10" s="1"/>
  <c r="G66" i="10" s="1"/>
  <c r="G35" i="10"/>
  <c r="G42" i="10" s="1"/>
  <c r="G44" i="10" s="1"/>
  <c r="G48" i="10" s="1"/>
  <c r="K124" i="9"/>
  <c r="J118" i="9"/>
  <c r="J115" i="9"/>
  <c r="J133" i="9" s="1"/>
  <c r="J117" i="9"/>
  <c r="J119" i="9"/>
  <c r="J116" i="9"/>
  <c r="J120" i="9"/>
  <c r="J121" i="9"/>
  <c r="J155" i="9" s="1"/>
  <c r="H237" i="9"/>
  <c r="I154" i="9"/>
  <c r="I239" i="9" s="1"/>
  <c r="H169" i="9"/>
  <c r="H254" i="9" s="1"/>
  <c r="H170" i="9"/>
  <c r="H255" i="9" s="1"/>
  <c r="B29" i="8"/>
  <c r="H26" i="10"/>
  <c r="I138" i="9"/>
  <c r="I223" i="9" s="1"/>
  <c r="I150" i="9"/>
  <c r="I235" i="9" s="1"/>
  <c r="I155" i="9"/>
  <c r="I171" i="9" s="1"/>
  <c r="I256" i="9" s="1"/>
  <c r="I152" i="9"/>
  <c r="I149" i="9"/>
  <c r="I151" i="9"/>
  <c r="H168" i="9"/>
  <c r="H253" i="9" s="1"/>
  <c r="I203" i="9"/>
  <c r="E72" i="11"/>
  <c r="E49" i="11"/>
  <c r="E51" i="11" s="1"/>
  <c r="H236" i="9"/>
  <c r="I201" i="9"/>
  <c r="H166" i="9"/>
  <c r="H251" i="9" s="1"/>
  <c r="G250" i="9"/>
  <c r="G257" i="9" s="1"/>
  <c r="G172" i="9"/>
  <c r="G175" i="9" s="1"/>
  <c r="I204" i="9"/>
  <c r="I137" i="9"/>
  <c r="I222" i="9" s="1"/>
  <c r="H239" i="9"/>
  <c r="F260" i="9"/>
  <c r="D38" i="11"/>
  <c r="D40" i="11" s="1"/>
  <c r="D42" i="11" s="1"/>
  <c r="D53" i="11" s="1"/>
  <c r="I202" i="9"/>
  <c r="I236" i="9"/>
  <c r="H218" i="9"/>
  <c r="H225" i="9" s="1"/>
  <c r="H140" i="9"/>
  <c r="H234" i="9"/>
  <c r="H156" i="9"/>
  <c r="F46" i="11" s="1"/>
  <c r="I134" i="9"/>
  <c r="I219" i="9" s="1"/>
  <c r="H167" i="9"/>
  <c r="H252" i="9" s="1"/>
  <c r="I206" i="9"/>
  <c r="H250" i="9"/>
  <c r="I136" i="9"/>
  <c r="I221" i="9" s="1"/>
  <c r="H240" i="9"/>
  <c r="H171" i="9"/>
  <c r="H256" i="9" s="1"/>
  <c r="I200" i="9"/>
  <c r="I122" i="9"/>
  <c r="I133" i="9"/>
  <c r="H207" i="9"/>
  <c r="I205" i="9"/>
  <c r="J209" i="9"/>
  <c r="I135" i="9"/>
  <c r="I220" i="9" s="1"/>
  <c r="E23" i="11"/>
  <c r="E25" i="11" s="1"/>
  <c r="E27" i="11" s="1"/>
  <c r="E29" i="11" s="1"/>
  <c r="E91" i="11" s="1"/>
  <c r="D75" i="11"/>
  <c r="D77" i="11" s="1"/>
  <c r="G14" i="8"/>
  <c r="H14" i="8"/>
  <c r="E14" i="8"/>
  <c r="F14" i="8"/>
  <c r="F15" i="8" s="1"/>
  <c r="C14" i="8"/>
  <c r="I14" i="8"/>
  <c r="D14" i="8"/>
  <c r="C13" i="8"/>
  <c r="E13" i="8"/>
  <c r="B16" i="8"/>
  <c r="D13" i="8"/>
  <c r="D15" i="8" s="1"/>
  <c r="D25" i="11"/>
  <c r="D27" i="11" s="1"/>
  <c r="G14" i="11"/>
  <c r="G16" i="11" s="1"/>
  <c r="F27" i="11"/>
  <c r="I13" i="10"/>
  <c r="I20" i="10" s="1"/>
  <c r="I22" i="10" s="1"/>
  <c r="G13" i="8"/>
  <c r="D15" i="7"/>
  <c r="H15" i="7"/>
  <c r="F15" i="7"/>
  <c r="F45" i="11" l="1"/>
  <c r="F71" i="11" s="1"/>
  <c r="G70" i="10"/>
  <c r="I33" i="10"/>
  <c r="H55" i="10"/>
  <c r="H57" i="10" s="1"/>
  <c r="H64" i="10" s="1"/>
  <c r="H66" i="10" s="1"/>
  <c r="H35" i="10"/>
  <c r="H42" i="10" s="1"/>
  <c r="H44" i="10" s="1"/>
  <c r="H48" i="10" s="1"/>
  <c r="G45" i="11" s="1"/>
  <c r="L124" i="9"/>
  <c r="L209" i="9" s="1"/>
  <c r="K209" i="9"/>
  <c r="K118" i="9"/>
  <c r="L118" i="9" s="1"/>
  <c r="L136" i="9" s="1"/>
  <c r="L221" i="9" s="1"/>
  <c r="K115" i="9"/>
  <c r="K121" i="9"/>
  <c r="K119" i="9"/>
  <c r="L119" i="9" s="1"/>
  <c r="K120" i="9"/>
  <c r="L120" i="9" s="1"/>
  <c r="K116" i="9"/>
  <c r="L116" i="9" s="1"/>
  <c r="K117" i="9"/>
  <c r="L117" i="9" s="1"/>
  <c r="G19" i="11"/>
  <c r="I26" i="10"/>
  <c r="J154" i="9"/>
  <c r="J153" i="9"/>
  <c r="J238" i="9" s="1"/>
  <c r="J152" i="9"/>
  <c r="J237" i="9" s="1"/>
  <c r="J138" i="9"/>
  <c r="J223" i="9" s="1"/>
  <c r="J151" i="9"/>
  <c r="J167" i="9" s="1"/>
  <c r="J252" i="9" s="1"/>
  <c r="K149" i="9"/>
  <c r="J150" i="9"/>
  <c r="J149" i="9"/>
  <c r="H241" i="9"/>
  <c r="E110" i="11"/>
  <c r="E109" i="11"/>
  <c r="E113" i="11"/>
  <c r="E112" i="11"/>
  <c r="E111" i="11"/>
  <c r="K200" i="9"/>
  <c r="G260" i="9"/>
  <c r="E38" i="11"/>
  <c r="I238" i="9"/>
  <c r="I169" i="9"/>
  <c r="I254" i="9" s="1"/>
  <c r="I234" i="9"/>
  <c r="I156" i="9"/>
  <c r="G46" i="11" s="1"/>
  <c r="F72" i="11"/>
  <c r="D64" i="11"/>
  <c r="J206" i="9"/>
  <c r="J139" i="9"/>
  <c r="K155" i="9" s="1"/>
  <c r="I237" i="9"/>
  <c r="I168" i="9"/>
  <c r="I253" i="9" s="1"/>
  <c r="J204" i="9"/>
  <c r="H172" i="9"/>
  <c r="H175" i="9" s="1"/>
  <c r="J205" i="9"/>
  <c r="I240" i="9"/>
  <c r="I170" i="9"/>
  <c r="I255" i="9" s="1"/>
  <c r="I166" i="9"/>
  <c r="I251" i="9" s="1"/>
  <c r="J202" i="9"/>
  <c r="I218" i="9"/>
  <c r="I225" i="9" s="1"/>
  <c r="I140" i="9"/>
  <c r="I167" i="9"/>
  <c r="I252" i="9" s="1"/>
  <c r="J218" i="9"/>
  <c r="H257" i="9"/>
  <c r="J203" i="9"/>
  <c r="J135" i="9"/>
  <c r="J220" i="9" s="1"/>
  <c r="I165" i="9"/>
  <c r="J201" i="9"/>
  <c r="J134" i="9"/>
  <c r="J219" i="9" s="1"/>
  <c r="J200" i="9"/>
  <c r="J122" i="9"/>
  <c r="J136" i="9"/>
  <c r="J221" i="9" s="1"/>
  <c r="I207" i="9"/>
  <c r="J137" i="9"/>
  <c r="J222" i="9" s="1"/>
  <c r="K133" i="9"/>
  <c r="E75" i="11"/>
  <c r="E77" i="11" s="1"/>
  <c r="D29" i="11"/>
  <c r="D91" i="11" s="1"/>
  <c r="E15" i="8"/>
  <c r="C15" i="8"/>
  <c r="D16" i="8"/>
  <c r="D20" i="8"/>
  <c r="F29" i="11"/>
  <c r="F91" i="11" s="1"/>
  <c r="I14" i="11"/>
  <c r="I16" i="11" s="1"/>
  <c r="H14" i="11"/>
  <c r="H16" i="11" s="1"/>
  <c r="J13" i="10"/>
  <c r="J20" i="10" s="1"/>
  <c r="J22" i="10" s="1"/>
  <c r="F16" i="8"/>
  <c r="F20" i="8"/>
  <c r="G15" i="8"/>
  <c r="I13" i="8"/>
  <c r="H13" i="8"/>
  <c r="K137" i="9" l="1"/>
  <c r="K222" i="9" s="1"/>
  <c r="F49" i="11"/>
  <c r="F51" i="11" s="1"/>
  <c r="F75" i="11"/>
  <c r="F77" i="11" s="1"/>
  <c r="M116" i="9"/>
  <c r="M118" i="9"/>
  <c r="K136" i="9"/>
  <c r="K221" i="9" s="1"/>
  <c r="J33" i="10"/>
  <c r="I55" i="10"/>
  <c r="I57" i="10" s="1"/>
  <c r="I64" i="10" s="1"/>
  <c r="I66" i="10" s="1"/>
  <c r="I35" i="10"/>
  <c r="I42" i="10" s="1"/>
  <c r="I44" i="10" s="1"/>
  <c r="I48" i="10" s="1"/>
  <c r="H45" i="11" s="1"/>
  <c r="H70" i="10"/>
  <c r="K165" i="9"/>
  <c r="K250" i="9" s="1"/>
  <c r="M120" i="9"/>
  <c r="L205" i="9"/>
  <c r="K206" i="9"/>
  <c r="L121" i="9"/>
  <c r="L115" i="9"/>
  <c r="L133" i="9" s="1"/>
  <c r="L218" i="9" s="1"/>
  <c r="L203" i="9"/>
  <c r="K138" i="9"/>
  <c r="K223" i="9" s="1"/>
  <c r="K139" i="9"/>
  <c r="K224" i="9" s="1"/>
  <c r="M119" i="9"/>
  <c r="L204" i="9"/>
  <c r="L153" i="9"/>
  <c r="L137" i="9"/>
  <c r="L222" i="9" s="1"/>
  <c r="L202" i="9"/>
  <c r="L135" i="9"/>
  <c r="L220" i="9" s="1"/>
  <c r="M117" i="9"/>
  <c r="L201" i="9"/>
  <c r="L134" i="9"/>
  <c r="L219" i="9" s="1"/>
  <c r="L138" i="9"/>
  <c r="L223" i="9" s="1"/>
  <c r="J26" i="10"/>
  <c r="H19" i="11"/>
  <c r="G71" i="11"/>
  <c r="G23" i="11"/>
  <c r="G25" i="11" s="1"/>
  <c r="G27" i="11" s="1"/>
  <c r="G29" i="11" s="1"/>
  <c r="G91" i="11" s="1"/>
  <c r="D66" i="11"/>
  <c r="D68" i="11" s="1"/>
  <c r="D79" i="11" s="1"/>
  <c r="D81" i="11" s="1"/>
  <c r="D90" i="11" s="1"/>
  <c r="C5" i="15" s="1"/>
  <c r="C22" i="15" s="1"/>
  <c r="C6" i="15" s="1"/>
  <c r="K152" i="9"/>
  <c r="K237" i="9" s="1"/>
  <c r="K150" i="9"/>
  <c r="K235" i="9" s="1"/>
  <c r="K153" i="9"/>
  <c r="K238" i="9" s="1"/>
  <c r="K154" i="9"/>
  <c r="K239" i="9" s="1"/>
  <c r="K151" i="9"/>
  <c r="K236" i="9" s="1"/>
  <c r="J207" i="9"/>
  <c r="K122" i="9"/>
  <c r="I241" i="9"/>
  <c r="J168" i="9"/>
  <c r="J253" i="9" s="1"/>
  <c r="K203" i="9"/>
  <c r="D110" i="11"/>
  <c r="D109" i="11"/>
  <c r="D113" i="11"/>
  <c r="D112" i="11"/>
  <c r="D111" i="11"/>
  <c r="F111" i="11"/>
  <c r="F110" i="11"/>
  <c r="F109" i="11"/>
  <c r="F113" i="11"/>
  <c r="F112" i="11"/>
  <c r="E114" i="11"/>
  <c r="G72" i="11"/>
  <c r="G49" i="11"/>
  <c r="G51" i="11" s="1"/>
  <c r="E40" i="11"/>
  <c r="E42" i="11" s="1"/>
  <c r="E53" i="11" s="1"/>
  <c r="E64" i="11"/>
  <c r="E66" i="11" s="1"/>
  <c r="E68" i="11" s="1"/>
  <c r="E79" i="11" s="1"/>
  <c r="E81" i="11" s="1"/>
  <c r="E90" i="11" s="1"/>
  <c r="D5" i="15" s="1"/>
  <c r="D22" i="15" s="1"/>
  <c r="J234" i="9"/>
  <c r="J156" i="9"/>
  <c r="H46" i="11" s="1"/>
  <c r="J240" i="9"/>
  <c r="K202" i="9"/>
  <c r="D55" i="11"/>
  <c r="D92" i="11" s="1"/>
  <c r="J169" i="9"/>
  <c r="J254" i="9" s="1"/>
  <c r="J235" i="9"/>
  <c r="J166" i="9"/>
  <c r="J251" i="9" s="1"/>
  <c r="K135" i="9"/>
  <c r="K220" i="9" s="1"/>
  <c r="J171" i="9"/>
  <c r="J256" i="9" s="1"/>
  <c r="K234" i="9"/>
  <c r="I250" i="9"/>
  <c r="I257" i="9" s="1"/>
  <c r="I172" i="9"/>
  <c r="I175" i="9" s="1"/>
  <c r="J236" i="9"/>
  <c r="J224" i="9"/>
  <c r="J225" i="9" s="1"/>
  <c r="K240" i="9"/>
  <c r="K201" i="9"/>
  <c r="K134" i="9"/>
  <c r="K219" i="9" s="1"/>
  <c r="J239" i="9"/>
  <c r="J170" i="9"/>
  <c r="J255" i="9" s="1"/>
  <c r="K218" i="9"/>
  <c r="K204" i="9"/>
  <c r="J140" i="9"/>
  <c r="K205" i="9"/>
  <c r="F38" i="11"/>
  <c r="H260" i="9"/>
  <c r="J165" i="9"/>
  <c r="D25" i="8"/>
  <c r="D24" i="8"/>
  <c r="C20" i="8"/>
  <c r="C16" i="8"/>
  <c r="E16" i="8"/>
  <c r="E20" i="8"/>
  <c r="F24" i="8"/>
  <c r="F25" i="8"/>
  <c r="G16" i="8"/>
  <c r="G20" i="8"/>
  <c r="H15" i="8"/>
  <c r="I15" i="8"/>
  <c r="L152" i="9" l="1"/>
  <c r="I70" i="10"/>
  <c r="L151" i="9"/>
  <c r="L236" i="9" s="1"/>
  <c r="J55" i="10"/>
  <c r="J57" i="10" s="1"/>
  <c r="J64" i="10" s="1"/>
  <c r="J66" i="10" s="1"/>
  <c r="J35" i="10"/>
  <c r="J42" i="10" s="1"/>
  <c r="J44" i="10" s="1"/>
  <c r="J48" i="10" s="1"/>
  <c r="J70" i="10" s="1"/>
  <c r="G75" i="11"/>
  <c r="G77" i="11" s="1"/>
  <c r="L237" i="9"/>
  <c r="L168" i="9"/>
  <c r="L253" i="9" s="1"/>
  <c r="L238" i="9"/>
  <c r="L169" i="9"/>
  <c r="L254" i="9" s="1"/>
  <c r="L122" i="9"/>
  <c r="L149" i="9"/>
  <c r="L200" i="9"/>
  <c r="M115" i="9"/>
  <c r="L150" i="9"/>
  <c r="M204" i="9"/>
  <c r="M121" i="9"/>
  <c r="L206" i="9"/>
  <c r="M206" i="9" s="1"/>
  <c r="L155" i="9"/>
  <c r="L139" i="9"/>
  <c r="L167" i="9"/>
  <c r="L252" i="9" s="1"/>
  <c r="M201" i="9"/>
  <c r="L154" i="9"/>
  <c r="M205" i="9"/>
  <c r="M202" i="9"/>
  <c r="M203" i="9"/>
  <c r="H23" i="11"/>
  <c r="H25" i="11" s="1"/>
  <c r="H27" i="11" s="1"/>
  <c r="H29" i="11" s="1"/>
  <c r="H91" i="11" s="1"/>
  <c r="H71" i="11"/>
  <c r="K26" i="10"/>
  <c r="I19" i="11"/>
  <c r="D6" i="15"/>
  <c r="K168" i="9"/>
  <c r="K253" i="9" s="1"/>
  <c r="K207" i="9"/>
  <c r="K140" i="9"/>
  <c r="D114" i="11"/>
  <c r="G111" i="11"/>
  <c r="G110" i="11"/>
  <c r="G109" i="11"/>
  <c r="G113" i="11"/>
  <c r="G112" i="11"/>
  <c r="F114" i="11"/>
  <c r="D119" i="11"/>
  <c r="D127" i="11" s="1"/>
  <c r="D147" i="11" s="1"/>
  <c r="C12" i="15" s="1"/>
  <c r="D117" i="11"/>
  <c r="D121" i="11"/>
  <c r="D129" i="11" s="1"/>
  <c r="D149" i="11" s="1"/>
  <c r="C14" i="15" s="1"/>
  <c r="D120" i="11"/>
  <c r="D128" i="11" s="1"/>
  <c r="D148" i="11" s="1"/>
  <c r="C13" i="15" s="1"/>
  <c r="D118" i="11"/>
  <c r="D126" i="11" s="1"/>
  <c r="D146" i="11" s="1"/>
  <c r="C11" i="15" s="1"/>
  <c r="E55" i="11"/>
  <c r="E92" i="11" s="1"/>
  <c r="K169" i="9"/>
  <c r="K254" i="9" s="1"/>
  <c r="K171" i="9"/>
  <c r="K256" i="9" s="1"/>
  <c r="K166" i="9"/>
  <c r="K241" i="9"/>
  <c r="J250" i="9"/>
  <c r="J257" i="9" s="1"/>
  <c r="J172" i="9"/>
  <c r="J175" i="9" s="1"/>
  <c r="K167" i="9"/>
  <c r="K252" i="9" s="1"/>
  <c r="H72" i="11"/>
  <c r="H49" i="11"/>
  <c r="H51" i="11" s="1"/>
  <c r="K225" i="9"/>
  <c r="G38" i="11"/>
  <c r="I260" i="9"/>
  <c r="J241" i="9"/>
  <c r="K156" i="9"/>
  <c r="I46" i="11" s="1"/>
  <c r="F40" i="11"/>
  <c r="F42" i="11" s="1"/>
  <c r="F53" i="11" s="1"/>
  <c r="F64" i="11"/>
  <c r="F66" i="11" s="1"/>
  <c r="F68" i="11" s="1"/>
  <c r="F79" i="11" s="1"/>
  <c r="F81" i="11" s="1"/>
  <c r="F90" i="11" s="1"/>
  <c r="E5" i="15" s="1"/>
  <c r="K170" i="9"/>
  <c r="K255" i="9" s="1"/>
  <c r="E24" i="8"/>
  <c r="E25" i="8"/>
  <c r="C24" i="8"/>
  <c r="C25" i="8"/>
  <c r="G24" i="8"/>
  <c r="G25" i="8"/>
  <c r="H16" i="8"/>
  <c r="H20" i="8"/>
  <c r="I16" i="8"/>
  <c r="I20" i="8"/>
  <c r="M122" i="9" l="1"/>
  <c r="I45" i="11"/>
  <c r="I71" i="11" s="1"/>
  <c r="K48" i="10"/>
  <c r="J45" i="11" s="1"/>
  <c r="H75" i="11"/>
  <c r="H77" i="11" s="1"/>
  <c r="L140" i="9"/>
  <c r="L224" i="9"/>
  <c r="L225" i="9" s="1"/>
  <c r="L234" i="9"/>
  <c r="L156" i="9"/>
  <c r="J46" i="11" s="1"/>
  <c r="L165" i="9"/>
  <c r="L240" i="9"/>
  <c r="L171" i="9"/>
  <c r="L256" i="9" s="1"/>
  <c r="L207" i="9"/>
  <c r="M200" i="9"/>
  <c r="M207" i="9" s="1"/>
  <c r="L239" i="9"/>
  <c r="L170" i="9"/>
  <c r="L255" i="9" s="1"/>
  <c r="K70" i="10"/>
  <c r="J19" i="11"/>
  <c r="L235" i="9"/>
  <c r="L166" i="9"/>
  <c r="L251" i="9" s="1"/>
  <c r="I23" i="11"/>
  <c r="I25" i="11" s="1"/>
  <c r="I27" i="11" s="1"/>
  <c r="I29" i="11" s="1"/>
  <c r="I91" i="11" s="1"/>
  <c r="I109" i="11" s="1"/>
  <c r="E22" i="15"/>
  <c r="E6" i="15" s="1"/>
  <c r="D122" i="11"/>
  <c r="D125" i="11"/>
  <c r="E121" i="11"/>
  <c r="E129" i="11" s="1"/>
  <c r="E149" i="11" s="1"/>
  <c r="D14" i="15" s="1"/>
  <c r="E118" i="11"/>
  <c r="E126" i="11" s="1"/>
  <c r="E146" i="11" s="1"/>
  <c r="D11" i="15" s="1"/>
  <c r="E120" i="11"/>
  <c r="E117" i="11"/>
  <c r="E125" i="11" s="1"/>
  <c r="E119" i="11"/>
  <c r="E127" i="11" s="1"/>
  <c r="E147" i="11" s="1"/>
  <c r="D12" i="15" s="1"/>
  <c r="H112" i="11"/>
  <c r="H109" i="11"/>
  <c r="H111" i="11"/>
  <c r="H110" i="11"/>
  <c r="H113" i="11"/>
  <c r="G114" i="11"/>
  <c r="K251" i="9"/>
  <c r="K257" i="9" s="1"/>
  <c r="K172" i="9"/>
  <c r="K175" i="9" s="1"/>
  <c r="G40" i="11"/>
  <c r="G42" i="11" s="1"/>
  <c r="G53" i="11" s="1"/>
  <c r="G64" i="11"/>
  <c r="G66" i="11" s="1"/>
  <c r="G68" i="11" s="1"/>
  <c r="G79" i="11" s="1"/>
  <c r="G81" i="11" s="1"/>
  <c r="G90" i="11" s="1"/>
  <c r="F5" i="15" s="1"/>
  <c r="F22" i="15" s="1"/>
  <c r="F6" i="15" s="1"/>
  <c r="I72" i="11"/>
  <c r="F55" i="11"/>
  <c r="F92" i="11" s="1"/>
  <c r="H38" i="11"/>
  <c r="J260" i="9"/>
  <c r="I24" i="8"/>
  <c r="I25" i="8"/>
  <c r="H24" i="8"/>
  <c r="H25" i="8"/>
  <c r="C64" i="1"/>
  <c r="I49" i="11" l="1"/>
  <c r="I51" i="11" s="1"/>
  <c r="J71" i="11"/>
  <c r="J23" i="11"/>
  <c r="J25" i="11" s="1"/>
  <c r="J27" i="11" s="1"/>
  <c r="J29" i="11" s="1"/>
  <c r="J91" i="11" s="1"/>
  <c r="L250" i="9"/>
  <c r="L257" i="9" s="1"/>
  <c r="L172" i="9"/>
  <c r="L175" i="9" s="1"/>
  <c r="J72" i="11"/>
  <c r="J49" i="11"/>
  <c r="J51" i="11" s="1"/>
  <c r="L241" i="9"/>
  <c r="I75" i="11"/>
  <c r="I77" i="11" s="1"/>
  <c r="I110" i="11"/>
  <c r="I111" i="11"/>
  <c r="I112" i="11"/>
  <c r="I113" i="11"/>
  <c r="F121" i="11"/>
  <c r="F129" i="11" s="1"/>
  <c r="F149" i="11" s="1"/>
  <c r="E14" i="15" s="1"/>
  <c r="F118" i="11"/>
  <c r="F126" i="11" s="1"/>
  <c r="F146" i="11" s="1"/>
  <c r="E11" i="15" s="1"/>
  <c r="F120" i="11"/>
  <c r="F128" i="11" s="1"/>
  <c r="F148" i="11" s="1"/>
  <c r="E13" i="15" s="1"/>
  <c r="F117" i="11"/>
  <c r="F119" i="11"/>
  <c r="F127" i="11" s="1"/>
  <c r="E145" i="11"/>
  <c r="D10" i="15" s="1"/>
  <c r="H114" i="11"/>
  <c r="E122" i="11"/>
  <c r="E128" i="11"/>
  <c r="E148" i="11" s="1"/>
  <c r="D13" i="15" s="1"/>
  <c r="D145" i="11"/>
  <c r="C10" i="15" s="1"/>
  <c r="D130" i="11"/>
  <c r="G55" i="11"/>
  <c r="G92" i="11" s="1"/>
  <c r="K260" i="9"/>
  <c r="I38" i="11"/>
  <c r="H40" i="11"/>
  <c r="H42" i="11" s="1"/>
  <c r="H53" i="11" s="1"/>
  <c r="H64" i="11"/>
  <c r="H66" i="11" s="1"/>
  <c r="H68" i="11" s="1"/>
  <c r="H79" i="11" s="1"/>
  <c r="H81" i="11" s="1"/>
  <c r="H90" i="11" s="1"/>
  <c r="G5" i="15" s="1"/>
  <c r="G22" i="15" s="1"/>
  <c r="G6" i="15" s="1"/>
  <c r="I135" i="1"/>
  <c r="H135" i="1"/>
  <c r="G135" i="1"/>
  <c r="F135" i="1"/>
  <c r="E135" i="1"/>
  <c r="D135" i="1"/>
  <c r="C135" i="1"/>
  <c r="I41" i="6"/>
  <c r="H41" i="6"/>
  <c r="G41" i="6"/>
  <c r="F41" i="6"/>
  <c r="E41" i="6"/>
  <c r="D41" i="6"/>
  <c r="C41" i="6"/>
  <c r="I40" i="6"/>
  <c r="H40" i="6"/>
  <c r="G40" i="6"/>
  <c r="F40" i="6"/>
  <c r="E40" i="6"/>
  <c r="D40" i="6"/>
  <c r="C40" i="6"/>
  <c r="I39" i="6"/>
  <c r="H39" i="6"/>
  <c r="G39" i="6"/>
  <c r="F39" i="6"/>
  <c r="E39" i="6"/>
  <c r="D39" i="6"/>
  <c r="C39" i="6"/>
  <c r="I38" i="6"/>
  <c r="H38" i="6"/>
  <c r="G38" i="6"/>
  <c r="F38" i="6"/>
  <c r="E38" i="6"/>
  <c r="D38" i="6"/>
  <c r="C38" i="6"/>
  <c r="I37" i="6"/>
  <c r="H37" i="6"/>
  <c r="G37" i="6"/>
  <c r="F37" i="6"/>
  <c r="E37" i="6"/>
  <c r="D37" i="6"/>
  <c r="C37" i="6"/>
  <c r="I36" i="6"/>
  <c r="H36" i="6"/>
  <c r="G36" i="6"/>
  <c r="F36" i="6"/>
  <c r="E36" i="6"/>
  <c r="D36" i="6"/>
  <c r="C36" i="6"/>
  <c r="I35" i="6"/>
  <c r="H35" i="6"/>
  <c r="G35" i="6"/>
  <c r="F35" i="6"/>
  <c r="E35" i="6"/>
  <c r="D35" i="6"/>
  <c r="C35" i="6"/>
  <c r="I34" i="6"/>
  <c r="H34" i="6"/>
  <c r="G34" i="6"/>
  <c r="F34" i="6"/>
  <c r="E34" i="6"/>
  <c r="D34" i="6"/>
  <c r="C34" i="6"/>
  <c r="I33" i="6"/>
  <c r="H33" i="6"/>
  <c r="G33" i="6"/>
  <c r="F33" i="6"/>
  <c r="E33" i="6"/>
  <c r="D33" i="6"/>
  <c r="C33" i="6"/>
  <c r="I32" i="6"/>
  <c r="H32" i="6"/>
  <c r="G32" i="6"/>
  <c r="F32" i="6"/>
  <c r="E32" i="6"/>
  <c r="D32" i="6"/>
  <c r="C32" i="6"/>
  <c r="I31" i="6"/>
  <c r="H31" i="6"/>
  <c r="G31" i="6"/>
  <c r="F31" i="6"/>
  <c r="E31" i="6"/>
  <c r="D31" i="6"/>
  <c r="C31" i="6"/>
  <c r="I20" i="6"/>
  <c r="H20" i="6"/>
  <c r="G20" i="6"/>
  <c r="F20" i="6"/>
  <c r="E20" i="6"/>
  <c r="D20" i="6"/>
  <c r="C20" i="6"/>
  <c r="C24" i="6" s="1"/>
  <c r="I19" i="6"/>
  <c r="H19" i="6"/>
  <c r="G19" i="6"/>
  <c r="F19" i="6"/>
  <c r="E19" i="6"/>
  <c r="D19" i="6"/>
  <c r="C19" i="6"/>
  <c r="C23" i="6" s="1"/>
  <c r="I16" i="6"/>
  <c r="H16" i="6"/>
  <c r="G16" i="6"/>
  <c r="F16" i="6"/>
  <c r="E16" i="6"/>
  <c r="D16" i="6"/>
  <c r="C16" i="6"/>
  <c r="J15" i="6"/>
  <c r="J14" i="6"/>
  <c r="J13" i="6"/>
  <c r="J12" i="6"/>
  <c r="J11" i="6"/>
  <c r="J10" i="6"/>
  <c r="J9" i="6"/>
  <c r="J8" i="6"/>
  <c r="J7" i="6"/>
  <c r="J6" i="6"/>
  <c r="J5" i="6"/>
  <c r="I41" i="5"/>
  <c r="H41" i="5"/>
  <c r="G41" i="5"/>
  <c r="F41" i="5"/>
  <c r="E41" i="5"/>
  <c r="D41" i="5"/>
  <c r="C41" i="5"/>
  <c r="I40" i="5"/>
  <c r="H40" i="5"/>
  <c r="G40" i="5"/>
  <c r="F40" i="5"/>
  <c r="E40" i="5"/>
  <c r="D40" i="5"/>
  <c r="C40" i="5"/>
  <c r="I39" i="5"/>
  <c r="H39" i="5"/>
  <c r="G39" i="5"/>
  <c r="F39" i="5"/>
  <c r="E39" i="5"/>
  <c r="D39" i="5"/>
  <c r="C39" i="5"/>
  <c r="I38" i="5"/>
  <c r="H38" i="5"/>
  <c r="G38" i="5"/>
  <c r="F38" i="5"/>
  <c r="E38" i="5"/>
  <c r="D38" i="5"/>
  <c r="C38" i="5"/>
  <c r="I37" i="5"/>
  <c r="H37" i="5"/>
  <c r="G37" i="5"/>
  <c r="F37" i="5"/>
  <c r="E37" i="5"/>
  <c r="D37" i="5"/>
  <c r="C37" i="5"/>
  <c r="I36" i="5"/>
  <c r="H36" i="5"/>
  <c r="G36" i="5"/>
  <c r="F36" i="5"/>
  <c r="E36" i="5"/>
  <c r="D36" i="5"/>
  <c r="C36" i="5"/>
  <c r="I35" i="5"/>
  <c r="H35" i="5"/>
  <c r="G35" i="5"/>
  <c r="F35" i="5"/>
  <c r="E35" i="5"/>
  <c r="D35" i="5"/>
  <c r="C35" i="5"/>
  <c r="I34" i="5"/>
  <c r="H34" i="5"/>
  <c r="G34" i="5"/>
  <c r="F34" i="5"/>
  <c r="E34" i="5"/>
  <c r="D34" i="5"/>
  <c r="C34" i="5"/>
  <c r="I33" i="5"/>
  <c r="H33" i="5"/>
  <c r="G33" i="5"/>
  <c r="F33" i="5"/>
  <c r="E33" i="5"/>
  <c r="D33" i="5"/>
  <c r="C33" i="5"/>
  <c r="I32" i="5"/>
  <c r="H32" i="5"/>
  <c r="G32" i="5"/>
  <c r="F32" i="5"/>
  <c r="E32" i="5"/>
  <c r="D32" i="5"/>
  <c r="C32" i="5"/>
  <c r="I31" i="5"/>
  <c r="H31" i="5"/>
  <c r="G31" i="5"/>
  <c r="F31" i="5"/>
  <c r="E31" i="5"/>
  <c r="D31" i="5"/>
  <c r="C31" i="5"/>
  <c r="I19" i="5"/>
  <c r="H19" i="5"/>
  <c r="G19" i="5"/>
  <c r="F19" i="5"/>
  <c r="E19" i="5"/>
  <c r="D19" i="5"/>
  <c r="C19" i="5"/>
  <c r="C23" i="5" s="1"/>
  <c r="I18" i="5"/>
  <c r="H18" i="5"/>
  <c r="G18" i="5"/>
  <c r="F18" i="5"/>
  <c r="E18" i="5"/>
  <c r="D18" i="5"/>
  <c r="C18" i="5"/>
  <c r="C22" i="5" s="1"/>
  <c r="I16" i="5"/>
  <c r="H16" i="5"/>
  <c r="G16" i="5"/>
  <c r="F16" i="5"/>
  <c r="E16" i="5"/>
  <c r="D16" i="5"/>
  <c r="C16" i="5"/>
  <c r="J15" i="5"/>
  <c r="J14" i="5"/>
  <c r="J13" i="5"/>
  <c r="J12" i="5"/>
  <c r="J11" i="5"/>
  <c r="J10" i="5"/>
  <c r="J9" i="5"/>
  <c r="J8" i="5"/>
  <c r="J7" i="5"/>
  <c r="J6" i="5"/>
  <c r="J5" i="5"/>
  <c r="J38" i="11" l="1"/>
  <c r="L260" i="9"/>
  <c r="I114" i="11"/>
  <c r="J113" i="11"/>
  <c r="J110" i="11"/>
  <c r="J112" i="11"/>
  <c r="J111" i="11"/>
  <c r="J109" i="11"/>
  <c r="J75" i="11"/>
  <c r="J77" i="11" s="1"/>
  <c r="F122" i="11"/>
  <c r="F125" i="11"/>
  <c r="F145" i="11" s="1"/>
  <c r="E10" i="15" s="1"/>
  <c r="F147" i="11"/>
  <c r="E12" i="15" s="1"/>
  <c r="E130" i="11"/>
  <c r="G119" i="11"/>
  <c r="G127" i="11" s="1"/>
  <c r="G147" i="11" s="1"/>
  <c r="F12" i="15" s="1"/>
  <c r="G121" i="11"/>
  <c r="G129" i="11" s="1"/>
  <c r="G149" i="11" s="1"/>
  <c r="F14" i="15" s="1"/>
  <c r="G118" i="11"/>
  <c r="G117" i="11"/>
  <c r="G125" i="11" s="1"/>
  <c r="G120" i="11"/>
  <c r="G128" i="11" s="1"/>
  <c r="G148" i="11" s="1"/>
  <c r="F13" i="15" s="1"/>
  <c r="H55" i="11"/>
  <c r="H92" i="11" s="1"/>
  <c r="I40" i="11"/>
  <c r="I42" i="11" s="1"/>
  <c r="I53" i="11" s="1"/>
  <c r="I64" i="11"/>
  <c r="I66" i="11" s="1"/>
  <c r="I68" i="11" s="1"/>
  <c r="I79" i="11" s="1"/>
  <c r="I81" i="11" s="1"/>
  <c r="I90" i="11" s="1"/>
  <c r="H5" i="15" s="1"/>
  <c r="H22" i="15" s="1"/>
  <c r="I20" i="5"/>
  <c r="E20" i="5"/>
  <c r="F55" i="5" s="1"/>
  <c r="F20" i="5"/>
  <c r="G55" i="5" s="1"/>
  <c r="D20" i="5"/>
  <c r="E55" i="5" s="1"/>
  <c r="G20" i="5"/>
  <c r="H55" i="5" s="1"/>
  <c r="J18" i="5"/>
  <c r="H20" i="5"/>
  <c r="I55" i="5" s="1"/>
  <c r="D21" i="6"/>
  <c r="E55" i="6" s="1"/>
  <c r="J19" i="5"/>
  <c r="F21" i="6"/>
  <c r="G55" i="6" s="1"/>
  <c r="I21" i="6"/>
  <c r="J16" i="6"/>
  <c r="E21" i="6"/>
  <c r="F55" i="6" s="1"/>
  <c r="G21" i="6"/>
  <c r="H55" i="6" s="1"/>
  <c r="H21" i="6"/>
  <c r="I55" i="6" s="1"/>
  <c r="J20" i="6"/>
  <c r="D23" i="6"/>
  <c r="C25" i="6"/>
  <c r="D51" i="6" s="1"/>
  <c r="D24" i="6"/>
  <c r="F42" i="6"/>
  <c r="F63" i="6" s="1"/>
  <c r="G42" i="6"/>
  <c r="G63" i="6" s="1"/>
  <c r="J19" i="6"/>
  <c r="H42" i="6"/>
  <c r="H63" i="6" s="1"/>
  <c r="C21" i="6"/>
  <c r="D55" i="6" s="1"/>
  <c r="I42" i="6"/>
  <c r="I63" i="6" s="1"/>
  <c r="J31" i="6"/>
  <c r="J32" i="6"/>
  <c r="J33" i="6"/>
  <c r="J34" i="6"/>
  <c r="J35" i="6"/>
  <c r="J36" i="6"/>
  <c r="J37" i="6"/>
  <c r="J38" i="6"/>
  <c r="J39" i="6"/>
  <c r="J40" i="6"/>
  <c r="J41" i="6"/>
  <c r="E42" i="6"/>
  <c r="E63" i="6" s="1"/>
  <c r="C42" i="6"/>
  <c r="D42" i="6"/>
  <c r="D63" i="6" s="1"/>
  <c r="J16" i="5"/>
  <c r="D22" i="5"/>
  <c r="C24" i="5"/>
  <c r="D51" i="5" s="1"/>
  <c r="J33" i="5"/>
  <c r="J40" i="5"/>
  <c r="J35" i="5"/>
  <c r="D23" i="5"/>
  <c r="J31" i="5"/>
  <c r="H42" i="5"/>
  <c r="H63" i="5" s="1"/>
  <c r="J39" i="5"/>
  <c r="J32" i="5"/>
  <c r="J37" i="5"/>
  <c r="J34" i="5"/>
  <c r="J38" i="5"/>
  <c r="J36" i="5"/>
  <c r="E42" i="5"/>
  <c r="E63" i="5" s="1"/>
  <c r="F42" i="5"/>
  <c r="F63" i="5" s="1"/>
  <c r="J41" i="5"/>
  <c r="G42" i="5"/>
  <c r="G63" i="5" s="1"/>
  <c r="C20" i="5"/>
  <c r="D55" i="5" s="1"/>
  <c r="I42" i="5"/>
  <c r="I63" i="5" s="1"/>
  <c r="C42" i="5"/>
  <c r="D42" i="5"/>
  <c r="D63" i="5" s="1"/>
  <c r="C9" i="4"/>
  <c r="D9" i="4"/>
  <c r="E9" i="4"/>
  <c r="F9" i="4"/>
  <c r="G9" i="4"/>
  <c r="H9" i="4"/>
  <c r="I9" i="4"/>
  <c r="C10" i="4"/>
  <c r="D10" i="4"/>
  <c r="E10" i="4"/>
  <c r="F10" i="4"/>
  <c r="G10" i="4"/>
  <c r="H10" i="4"/>
  <c r="I10" i="4"/>
  <c r="C11" i="4"/>
  <c r="D11" i="4"/>
  <c r="E11" i="4"/>
  <c r="F11" i="4"/>
  <c r="G11" i="4"/>
  <c r="H11" i="4"/>
  <c r="I11" i="4"/>
  <c r="B11" i="4"/>
  <c r="D6" i="4"/>
  <c r="E6" i="4"/>
  <c r="F6" i="4"/>
  <c r="G6" i="4"/>
  <c r="H6" i="4"/>
  <c r="I6" i="4"/>
  <c r="C6" i="4"/>
  <c r="E12" i="4" l="1"/>
  <c r="G12" i="4"/>
  <c r="C12" i="4"/>
  <c r="H12" i="4"/>
  <c r="J114" i="11"/>
  <c r="F12" i="4"/>
  <c r="I12" i="4"/>
  <c r="J40" i="11"/>
  <c r="J42" i="11" s="1"/>
  <c r="J53" i="11" s="1"/>
  <c r="J55" i="11" s="1"/>
  <c r="J92" i="11" s="1"/>
  <c r="J64" i="11"/>
  <c r="J66" i="11" s="1"/>
  <c r="J68" i="11" s="1"/>
  <c r="J79" i="11" s="1"/>
  <c r="J81" i="11" s="1"/>
  <c r="J90" i="11" s="1"/>
  <c r="I5" i="15" s="1"/>
  <c r="I7" i="15" s="1"/>
  <c r="H6" i="15"/>
  <c r="F130" i="11"/>
  <c r="G122" i="11"/>
  <c r="G126" i="11"/>
  <c r="G146" i="11" s="1"/>
  <c r="F11" i="15" s="1"/>
  <c r="H119" i="11"/>
  <c r="H127" i="11" s="1"/>
  <c r="H147" i="11" s="1"/>
  <c r="G12" i="15" s="1"/>
  <c r="H121" i="11"/>
  <c r="H118" i="11"/>
  <c r="H126" i="11" s="1"/>
  <c r="H146" i="11" s="1"/>
  <c r="G11" i="15" s="1"/>
  <c r="H120" i="11"/>
  <c r="H128" i="11" s="1"/>
  <c r="H148" i="11" s="1"/>
  <c r="G13" i="15" s="1"/>
  <c r="H117" i="11"/>
  <c r="H125" i="11" s="1"/>
  <c r="H145" i="11" s="1"/>
  <c r="G10" i="15" s="1"/>
  <c r="G145" i="11"/>
  <c r="F10" i="15" s="1"/>
  <c r="I55" i="11"/>
  <c r="I92" i="11" s="1"/>
  <c r="D12" i="4"/>
  <c r="J20" i="5"/>
  <c r="C44" i="5"/>
  <c r="D44" i="5" s="1"/>
  <c r="C63" i="5"/>
  <c r="C44" i="6"/>
  <c r="C46" i="6" s="1"/>
  <c r="C48" i="6" s="1"/>
  <c r="C63" i="6"/>
  <c r="J21" i="6"/>
  <c r="C28" i="6"/>
  <c r="J42" i="6"/>
  <c r="E24" i="6"/>
  <c r="E23" i="6"/>
  <c r="D25" i="6"/>
  <c r="E51" i="6" s="1"/>
  <c r="C27" i="6"/>
  <c r="C27" i="5"/>
  <c r="J42" i="5"/>
  <c r="E23" i="5"/>
  <c r="E22" i="5"/>
  <c r="D24" i="5"/>
  <c r="E51" i="5" s="1"/>
  <c r="C26" i="5"/>
  <c r="C66" i="1"/>
  <c r="I22" i="15" l="1"/>
  <c r="I6" i="15" s="1"/>
  <c r="L21" i="15"/>
  <c r="C46" i="5"/>
  <c r="C48" i="5" s="1"/>
  <c r="J120" i="11"/>
  <c r="J128" i="11" s="1"/>
  <c r="J148" i="11" s="1"/>
  <c r="I13" i="15" s="1"/>
  <c r="J117" i="11"/>
  <c r="J118" i="11"/>
  <c r="J126" i="11" s="1"/>
  <c r="J146" i="11" s="1"/>
  <c r="I11" i="15" s="1"/>
  <c r="J121" i="11"/>
  <c r="J129" i="11" s="1"/>
  <c r="J149" i="11" s="1"/>
  <c r="I14" i="15" s="1"/>
  <c r="J119" i="11"/>
  <c r="J127" i="11" s="1"/>
  <c r="J147" i="11" s="1"/>
  <c r="I12" i="15" s="1"/>
  <c r="H122" i="11"/>
  <c r="H129" i="11"/>
  <c r="I117" i="11"/>
  <c r="I125" i="11" s="1"/>
  <c r="I145" i="11" s="1"/>
  <c r="H10" i="15" s="1"/>
  <c r="I119" i="11"/>
  <c r="I121" i="11"/>
  <c r="I129" i="11" s="1"/>
  <c r="I149" i="11" s="1"/>
  <c r="H14" i="15" s="1"/>
  <c r="I118" i="11"/>
  <c r="I126" i="11" s="1"/>
  <c r="I146" i="11" s="1"/>
  <c r="H11" i="15" s="1"/>
  <c r="I120" i="11"/>
  <c r="I128" i="11" s="1"/>
  <c r="I148" i="11" s="1"/>
  <c r="H13" i="15" s="1"/>
  <c r="G130" i="11"/>
  <c r="D44" i="6"/>
  <c r="D46" i="6" s="1"/>
  <c r="D48" i="6" s="1"/>
  <c r="C29" i="6"/>
  <c r="D28" i="6"/>
  <c r="D66" i="1"/>
  <c r="E66" i="1"/>
  <c r="D27" i="5"/>
  <c r="D27" i="6"/>
  <c r="D29" i="6" s="1"/>
  <c r="D26" i="5"/>
  <c r="D28" i="5" s="1"/>
  <c r="C28" i="5"/>
  <c r="F24" i="6"/>
  <c r="F23" i="6"/>
  <c r="E25" i="6"/>
  <c r="F51" i="6" s="1"/>
  <c r="F22" i="5"/>
  <c r="E24" i="5"/>
  <c r="F51" i="5" s="1"/>
  <c r="F23" i="5"/>
  <c r="D46" i="5"/>
  <c r="D48" i="5" s="1"/>
  <c r="E44" i="5"/>
  <c r="D17" i="1"/>
  <c r="E17" i="1"/>
  <c r="F17" i="1"/>
  <c r="G17" i="1"/>
  <c r="H17" i="1"/>
  <c r="I17" i="1"/>
  <c r="D18" i="1"/>
  <c r="E18" i="1"/>
  <c r="F18" i="1"/>
  <c r="G18" i="1"/>
  <c r="H18" i="1"/>
  <c r="I18" i="1"/>
  <c r="C18" i="1"/>
  <c r="C17" i="1"/>
  <c r="J122" i="11" l="1"/>
  <c r="J125" i="11"/>
  <c r="E44" i="6"/>
  <c r="F44" i="6" s="1"/>
  <c r="I122" i="11"/>
  <c r="I127" i="11"/>
  <c r="I147" i="11" s="1"/>
  <c r="H12" i="15" s="1"/>
  <c r="H130" i="11"/>
  <c r="H149" i="11"/>
  <c r="G14" i="15" s="1"/>
  <c r="E27" i="6"/>
  <c r="E28" i="6"/>
  <c r="E27" i="5"/>
  <c r="E26" i="5"/>
  <c r="E46" i="6"/>
  <c r="E48" i="6" s="1"/>
  <c r="F25" i="6"/>
  <c r="G51" i="6" s="1"/>
  <c r="G23" i="6"/>
  <c r="G24" i="6"/>
  <c r="G23" i="5"/>
  <c r="E46" i="5"/>
  <c r="E48" i="5" s="1"/>
  <c r="F44" i="5"/>
  <c r="F24" i="5"/>
  <c r="G51" i="5" s="1"/>
  <c r="G22" i="5"/>
  <c r="I19" i="1"/>
  <c r="C21" i="1"/>
  <c r="I130" i="11" l="1"/>
  <c r="J145" i="11"/>
  <c r="I10" i="15" s="1"/>
  <c r="J130" i="11"/>
  <c r="E28" i="5"/>
  <c r="E29" i="6"/>
  <c r="F27" i="6"/>
  <c r="F26" i="5"/>
  <c r="G25" i="6"/>
  <c r="H51" i="6" s="1"/>
  <c r="H23" i="6"/>
  <c r="F46" i="6"/>
  <c r="F48" i="6" s="1"/>
  <c r="G44" i="6"/>
  <c r="F28" i="6"/>
  <c r="H24" i="6"/>
  <c r="G24" i="5"/>
  <c r="H51" i="5" s="1"/>
  <c r="H22" i="5"/>
  <c r="F27" i="5"/>
  <c r="G44" i="5"/>
  <c r="F46" i="5"/>
  <c r="F48" i="5" s="1"/>
  <c r="H23" i="5"/>
  <c r="H19" i="1"/>
  <c r="I55" i="1" s="1"/>
  <c r="I57" i="1" s="1"/>
  <c r="I59" i="1" s="1"/>
  <c r="F19" i="1"/>
  <c r="G55" i="1" s="1"/>
  <c r="G57" i="1" s="1"/>
  <c r="G59" i="1" s="1"/>
  <c r="G19" i="1"/>
  <c r="H55" i="1" s="1"/>
  <c r="H57" i="1" s="1"/>
  <c r="H59" i="1" s="1"/>
  <c r="C22" i="1"/>
  <c r="C23" i="1" s="1"/>
  <c r="D51" i="1" s="1"/>
  <c r="D53" i="1" s="1"/>
  <c r="E19" i="1"/>
  <c r="F55" i="1" s="1"/>
  <c r="F57" i="1" s="1"/>
  <c r="F59" i="1" s="1"/>
  <c r="G27" i="5" l="1"/>
  <c r="F29" i="6"/>
  <c r="G26" i="5"/>
  <c r="G27" i="6"/>
  <c r="F28" i="5"/>
  <c r="G28" i="6"/>
  <c r="G29" i="6" s="1"/>
  <c r="H44" i="6"/>
  <c r="G46" i="6"/>
  <c r="G48" i="6" s="1"/>
  <c r="H25" i="6"/>
  <c r="I51" i="6" s="1"/>
  <c r="I23" i="6"/>
  <c r="I24" i="6"/>
  <c r="I23" i="5"/>
  <c r="H24" i="5"/>
  <c r="I51" i="5" s="1"/>
  <c r="I22" i="5"/>
  <c r="G28" i="5"/>
  <c r="H44" i="5"/>
  <c r="G46" i="5"/>
  <c r="G48" i="5" s="1"/>
  <c r="C25" i="1"/>
  <c r="C19" i="1"/>
  <c r="D55" i="1" s="1"/>
  <c r="D57" i="1" s="1"/>
  <c r="D59" i="1" s="1"/>
  <c r="D60" i="1" s="1"/>
  <c r="D62" i="1" s="1"/>
  <c r="D64" i="1" s="1"/>
  <c r="D21" i="1"/>
  <c r="D19" i="1"/>
  <c r="E55" i="1" s="1"/>
  <c r="E57" i="1" s="1"/>
  <c r="E59" i="1" s="1"/>
  <c r="D22" i="1"/>
  <c r="C26" i="1"/>
  <c r="H26" i="5" l="1"/>
  <c r="D57" i="5"/>
  <c r="D59" i="5" s="1"/>
  <c r="D53" i="5"/>
  <c r="D53" i="6"/>
  <c r="D57" i="6"/>
  <c r="D59" i="6" s="1"/>
  <c r="C27" i="1"/>
  <c r="H28" i="6"/>
  <c r="I25" i="6"/>
  <c r="I28" i="6" s="1"/>
  <c r="H27" i="6"/>
  <c r="I44" i="6"/>
  <c r="I46" i="6" s="1"/>
  <c r="I48" i="6" s="1"/>
  <c r="H46" i="6"/>
  <c r="H48" i="6" s="1"/>
  <c r="I24" i="5"/>
  <c r="I26" i="5" s="1"/>
  <c r="I44" i="5"/>
  <c r="I46" i="5" s="1"/>
  <c r="I48" i="5" s="1"/>
  <c r="H46" i="5"/>
  <c r="H48" i="5" s="1"/>
  <c r="H27" i="5"/>
  <c r="H28" i="5" s="1"/>
  <c r="E22" i="1"/>
  <c r="E21" i="1"/>
  <c r="D23" i="1"/>
  <c r="E51" i="1" s="1"/>
  <c r="E53" i="1" s="1"/>
  <c r="E60" i="1" s="1"/>
  <c r="E62" i="1" s="1"/>
  <c r="E64" i="1" s="1"/>
  <c r="I27" i="5" l="1"/>
  <c r="I28" i="5" s="1"/>
  <c r="D60" i="5"/>
  <c r="D62" i="5" s="1"/>
  <c r="D60" i="6"/>
  <c r="D62" i="6" s="1"/>
  <c r="I27" i="6"/>
  <c r="I29" i="6" s="1"/>
  <c r="H29" i="6"/>
  <c r="D26" i="1"/>
  <c r="D25" i="1"/>
  <c r="F21" i="1"/>
  <c r="E23" i="1"/>
  <c r="F51" i="1" s="1"/>
  <c r="F53" i="1" s="1"/>
  <c r="F60" i="1" s="1"/>
  <c r="F62" i="1" s="1"/>
  <c r="F64" i="1" s="1"/>
  <c r="F22" i="1"/>
  <c r="E57" i="5" l="1"/>
  <c r="E59" i="5" s="1"/>
  <c r="E57" i="6"/>
  <c r="E59" i="6" s="1"/>
  <c r="E53" i="6"/>
  <c r="D27" i="1"/>
  <c r="E53" i="5"/>
  <c r="E25" i="1"/>
  <c r="E26" i="1"/>
  <c r="G21" i="1"/>
  <c r="F23" i="1"/>
  <c r="G51" i="1" s="1"/>
  <c r="G53" i="1" s="1"/>
  <c r="G60" i="1" s="1"/>
  <c r="G62" i="1" s="1"/>
  <c r="G64" i="1" s="1"/>
  <c r="G22" i="1"/>
  <c r="E31" i="1"/>
  <c r="F31" i="1"/>
  <c r="G31" i="1"/>
  <c r="H31" i="1"/>
  <c r="I31" i="1"/>
  <c r="E32" i="1"/>
  <c r="F32" i="1"/>
  <c r="G32" i="1"/>
  <c r="H32" i="1"/>
  <c r="I32" i="1"/>
  <c r="E33" i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E38" i="1"/>
  <c r="F38" i="1"/>
  <c r="G38" i="1"/>
  <c r="H38" i="1"/>
  <c r="I38" i="1"/>
  <c r="E39" i="1"/>
  <c r="F39" i="1"/>
  <c r="G39" i="1"/>
  <c r="H39" i="1"/>
  <c r="I39" i="1"/>
  <c r="E40" i="1"/>
  <c r="F40" i="1"/>
  <c r="G40" i="1"/>
  <c r="H40" i="1"/>
  <c r="I40" i="1"/>
  <c r="D31" i="1"/>
  <c r="D32" i="1"/>
  <c r="D33" i="1"/>
  <c r="D34" i="1"/>
  <c r="D35" i="1"/>
  <c r="D36" i="1"/>
  <c r="D37" i="1"/>
  <c r="D38" i="1"/>
  <c r="D39" i="1"/>
  <c r="D40" i="1"/>
  <c r="H30" i="1"/>
  <c r="I30" i="1"/>
  <c r="G30" i="1"/>
  <c r="F30" i="1"/>
  <c r="E30" i="1"/>
  <c r="D30" i="1"/>
  <c r="C31" i="1"/>
  <c r="C32" i="1"/>
  <c r="C33" i="1"/>
  <c r="C34" i="1"/>
  <c r="C35" i="1"/>
  <c r="C36" i="1"/>
  <c r="C37" i="1"/>
  <c r="C38" i="1"/>
  <c r="C39" i="1"/>
  <c r="C40" i="1"/>
  <c r="C30" i="1"/>
  <c r="F53" i="6" l="1"/>
  <c r="F57" i="5"/>
  <c r="F59" i="5" s="1"/>
  <c r="F53" i="5"/>
  <c r="E60" i="6"/>
  <c r="E62" i="6" s="1"/>
  <c r="F26" i="1"/>
  <c r="F25" i="1"/>
  <c r="F57" i="6"/>
  <c r="F59" i="6" s="1"/>
  <c r="E27" i="1"/>
  <c r="E60" i="5"/>
  <c r="E62" i="5" s="1"/>
  <c r="J34" i="1"/>
  <c r="I41" i="1"/>
  <c r="I65" i="1" s="1"/>
  <c r="H22" i="1"/>
  <c r="J39" i="1"/>
  <c r="H41" i="1"/>
  <c r="H65" i="1" s="1"/>
  <c r="E41" i="1"/>
  <c r="E65" i="1" s="1"/>
  <c r="G41" i="1"/>
  <c r="G65" i="1" s="1"/>
  <c r="J31" i="1"/>
  <c r="H21" i="1"/>
  <c r="G23" i="1"/>
  <c r="H51" i="1" s="1"/>
  <c r="H53" i="1" s="1"/>
  <c r="H60" i="1" s="1"/>
  <c r="H62" i="1" s="1"/>
  <c r="H64" i="1" s="1"/>
  <c r="J40" i="1"/>
  <c r="J33" i="1"/>
  <c r="J32" i="1"/>
  <c r="J36" i="1"/>
  <c r="J37" i="1"/>
  <c r="J35" i="1"/>
  <c r="J38" i="1"/>
  <c r="F41" i="1"/>
  <c r="F65" i="1" s="1"/>
  <c r="J30" i="1"/>
  <c r="D41" i="1"/>
  <c r="D65" i="1" s="1"/>
  <c r="G53" i="5" l="1"/>
  <c r="G57" i="5"/>
  <c r="G59" i="5" s="1"/>
  <c r="F27" i="1"/>
  <c r="G53" i="6"/>
  <c r="G57" i="6"/>
  <c r="G59" i="6" s="1"/>
  <c r="F60" i="6"/>
  <c r="F62" i="6" s="1"/>
  <c r="F65" i="6" s="1"/>
  <c r="F67" i="6" s="1"/>
  <c r="F69" i="6" s="1"/>
  <c r="F60" i="5"/>
  <c r="F62" i="5" s="1"/>
  <c r="F65" i="5" s="1"/>
  <c r="F67" i="5" s="1"/>
  <c r="F69" i="5" s="1"/>
  <c r="G26" i="1"/>
  <c r="G25" i="1"/>
  <c r="I21" i="1"/>
  <c r="H23" i="1"/>
  <c r="I51" i="1" s="1"/>
  <c r="I53" i="1" s="1"/>
  <c r="I60" i="1" s="1"/>
  <c r="I62" i="1" s="1"/>
  <c r="I64" i="1" s="1"/>
  <c r="I22" i="1"/>
  <c r="J41" i="1"/>
  <c r="C41" i="1"/>
  <c r="H67" i="1"/>
  <c r="H69" i="1" s="1"/>
  <c r="G67" i="1"/>
  <c r="G69" i="1" s="1"/>
  <c r="F67" i="1"/>
  <c r="F69" i="1" s="1"/>
  <c r="E67" i="1"/>
  <c r="E69" i="1" s="1"/>
  <c r="C65" i="1" l="1"/>
  <c r="G60" i="5"/>
  <c r="G62" i="5" s="1"/>
  <c r="G65" i="5" s="1"/>
  <c r="G67" i="5" s="1"/>
  <c r="G69" i="5" s="1"/>
  <c r="G70" i="5" s="1"/>
  <c r="G60" i="6"/>
  <c r="G62" i="6" s="1"/>
  <c r="G65" i="6" s="1"/>
  <c r="G67" i="6" s="1"/>
  <c r="G69" i="6" s="1"/>
  <c r="G72" i="6" s="1"/>
  <c r="G87" i="1" s="1"/>
  <c r="H26" i="1"/>
  <c r="H53" i="6"/>
  <c r="H57" i="6"/>
  <c r="H59" i="6" s="1"/>
  <c r="I57" i="5"/>
  <c r="I59" i="5" s="1"/>
  <c r="I53" i="5"/>
  <c r="H57" i="5"/>
  <c r="H59" i="5" s="1"/>
  <c r="H53" i="5"/>
  <c r="F72" i="6"/>
  <c r="F87" i="1" s="1"/>
  <c r="G27" i="1"/>
  <c r="G72" i="5"/>
  <c r="F72" i="5"/>
  <c r="H25" i="1"/>
  <c r="I67" i="1"/>
  <c r="I69" i="1" s="1"/>
  <c r="I23" i="1"/>
  <c r="I26" i="1" s="1"/>
  <c r="C64" i="5" s="1"/>
  <c r="D67" i="1"/>
  <c r="D69" i="1" s="1"/>
  <c r="J4" i="1"/>
  <c r="J5" i="1"/>
  <c r="J6" i="1"/>
  <c r="J7" i="1"/>
  <c r="J8" i="1"/>
  <c r="J9" i="1"/>
  <c r="J10" i="1"/>
  <c r="J11" i="1"/>
  <c r="J12" i="1"/>
  <c r="J13" i="1"/>
  <c r="J14" i="1"/>
  <c r="G70" i="6" l="1"/>
  <c r="D64" i="5"/>
  <c r="C65" i="5"/>
  <c r="C67" i="5" s="1"/>
  <c r="C69" i="5" s="1"/>
  <c r="G73" i="6"/>
  <c r="I57" i="6"/>
  <c r="I59" i="6" s="1"/>
  <c r="I53" i="6"/>
  <c r="H60" i="6"/>
  <c r="H62" i="6" s="1"/>
  <c r="H65" i="6" s="1"/>
  <c r="H67" i="6" s="1"/>
  <c r="H69" i="6" s="1"/>
  <c r="H72" i="6" s="1"/>
  <c r="H60" i="5"/>
  <c r="H62" i="5" s="1"/>
  <c r="H65" i="5" s="1"/>
  <c r="H67" i="5" s="1"/>
  <c r="H69" i="5" s="1"/>
  <c r="H70" i="5" s="1"/>
  <c r="I60" i="5"/>
  <c r="I62" i="5" s="1"/>
  <c r="I65" i="5" s="1"/>
  <c r="I67" i="5" s="1"/>
  <c r="I69" i="5" s="1"/>
  <c r="F88" i="1"/>
  <c r="G88" i="1"/>
  <c r="G73" i="5"/>
  <c r="H27" i="1"/>
  <c r="G108" i="1"/>
  <c r="G106" i="1"/>
  <c r="G107" i="1"/>
  <c r="G110" i="1"/>
  <c r="G109" i="1"/>
  <c r="F109" i="1"/>
  <c r="F108" i="1"/>
  <c r="F106" i="1"/>
  <c r="F110" i="1"/>
  <c r="F107" i="1"/>
  <c r="C67" i="1"/>
  <c r="C69" i="1" s="1"/>
  <c r="J17" i="1"/>
  <c r="J18" i="1"/>
  <c r="I25" i="1"/>
  <c r="C64" i="6" s="1"/>
  <c r="D64" i="6" l="1"/>
  <c r="D65" i="6" s="1"/>
  <c r="D67" i="6" s="1"/>
  <c r="D69" i="6" s="1"/>
  <c r="E64" i="6"/>
  <c r="E65" i="6" s="1"/>
  <c r="E67" i="6" s="1"/>
  <c r="E69" i="6" s="1"/>
  <c r="C65" i="6"/>
  <c r="C67" i="6" s="1"/>
  <c r="C69" i="6" s="1"/>
  <c r="C72" i="5"/>
  <c r="C70" i="5"/>
  <c r="E64" i="5"/>
  <c r="E65" i="5" s="1"/>
  <c r="E67" i="5" s="1"/>
  <c r="E69" i="5" s="1"/>
  <c r="D65" i="5"/>
  <c r="D67" i="5" s="1"/>
  <c r="D69" i="5" s="1"/>
  <c r="H70" i="6"/>
  <c r="H72" i="5"/>
  <c r="H88" i="1" s="1"/>
  <c r="I72" i="5"/>
  <c r="I70" i="5"/>
  <c r="H87" i="1"/>
  <c r="H73" i="6"/>
  <c r="F115" i="1"/>
  <c r="F123" i="1" s="1"/>
  <c r="F139" i="1" s="1"/>
  <c r="F117" i="1"/>
  <c r="F125" i="1" s="1"/>
  <c r="F141" i="1" s="1"/>
  <c r="F114" i="1"/>
  <c r="F122" i="1" s="1"/>
  <c r="F118" i="1"/>
  <c r="F126" i="1" s="1"/>
  <c r="F142" i="1" s="1"/>
  <c r="F116" i="1"/>
  <c r="F124" i="1" s="1"/>
  <c r="F140" i="1" s="1"/>
  <c r="H73" i="5"/>
  <c r="I60" i="6"/>
  <c r="I62" i="6" s="1"/>
  <c r="I65" i="6" s="1"/>
  <c r="I67" i="6" s="1"/>
  <c r="I69" i="6" s="1"/>
  <c r="G111" i="1"/>
  <c r="I27" i="1"/>
  <c r="F111" i="1"/>
  <c r="G115" i="1"/>
  <c r="G123" i="1" s="1"/>
  <c r="G139" i="1" s="1"/>
  <c r="G117" i="1"/>
  <c r="G125" i="1" s="1"/>
  <c r="G141" i="1" s="1"/>
  <c r="G114" i="1"/>
  <c r="G118" i="1"/>
  <c r="G126" i="1" s="1"/>
  <c r="G142" i="1" s="1"/>
  <c r="G116" i="1"/>
  <c r="G124" i="1" s="1"/>
  <c r="G140" i="1" s="1"/>
  <c r="J19" i="1"/>
  <c r="E72" i="5" l="1"/>
  <c r="F70" i="5"/>
  <c r="E70" i="5"/>
  <c r="C73" i="5"/>
  <c r="C88" i="1"/>
  <c r="C70" i="6"/>
  <c r="C72" i="6"/>
  <c r="E70" i="6"/>
  <c r="E72" i="6"/>
  <c r="F70" i="6"/>
  <c r="D70" i="5"/>
  <c r="D72" i="5"/>
  <c r="D72" i="6"/>
  <c r="D70" i="6"/>
  <c r="G119" i="1"/>
  <c r="G122" i="1"/>
  <c r="I72" i="6"/>
  <c r="I70" i="6"/>
  <c r="F138" i="1"/>
  <c r="F127" i="1"/>
  <c r="F143" i="1" s="1"/>
  <c r="F119" i="1"/>
  <c r="H106" i="1"/>
  <c r="H110" i="1"/>
  <c r="H108" i="1"/>
  <c r="H107" i="1"/>
  <c r="H109" i="1"/>
  <c r="H114" i="1"/>
  <c r="H118" i="1"/>
  <c r="H117" i="1"/>
  <c r="H116" i="1"/>
  <c r="H115" i="1"/>
  <c r="I88" i="1"/>
  <c r="I73" i="5"/>
  <c r="J15" i="1"/>
  <c r="D15" i="1"/>
  <c r="E15" i="1"/>
  <c r="F15" i="1"/>
  <c r="G15" i="1"/>
  <c r="H15" i="1"/>
  <c r="I15" i="1"/>
  <c r="C15" i="1"/>
  <c r="C44" i="1" s="1"/>
  <c r="H124" i="1" l="1"/>
  <c r="H140" i="1" s="1"/>
  <c r="F146" i="1"/>
  <c r="F148" i="1" s="1"/>
  <c r="F159" i="1"/>
  <c r="H123" i="1"/>
  <c r="H139" i="1" s="1"/>
  <c r="C117" i="1"/>
  <c r="C114" i="1"/>
  <c r="C118" i="1"/>
  <c r="C116" i="1"/>
  <c r="C115" i="1"/>
  <c r="D88" i="1"/>
  <c r="D73" i="5"/>
  <c r="C87" i="1"/>
  <c r="C73" i="6"/>
  <c r="H125" i="1"/>
  <c r="H141" i="1" s="1"/>
  <c r="D73" i="6"/>
  <c r="D87" i="1"/>
  <c r="E87" i="1"/>
  <c r="E73" i="6"/>
  <c r="F73" i="6"/>
  <c r="E88" i="1"/>
  <c r="E73" i="5"/>
  <c r="F73" i="5"/>
  <c r="H126" i="1"/>
  <c r="H142" i="1" s="1"/>
  <c r="I87" i="1"/>
  <c r="I73" i="6"/>
  <c r="I116" i="1"/>
  <c r="I117" i="1"/>
  <c r="I114" i="1"/>
  <c r="I115" i="1"/>
  <c r="I118" i="1"/>
  <c r="H122" i="1"/>
  <c r="H111" i="1"/>
  <c r="G138" i="1"/>
  <c r="G127" i="1"/>
  <c r="G143" i="1" s="1"/>
  <c r="H119" i="1"/>
  <c r="D44" i="1"/>
  <c r="C46" i="1"/>
  <c r="C48" i="1" s="1"/>
  <c r="C71" i="1" s="1"/>
  <c r="G146" i="1" l="1"/>
  <c r="G148" i="1" s="1"/>
  <c r="G149" i="1" s="1"/>
  <c r="G159" i="1"/>
  <c r="C74" i="1"/>
  <c r="C86" i="1" s="1"/>
  <c r="C160" i="1" s="1"/>
  <c r="C161" i="1" s="1"/>
  <c r="C164" i="1" s="1"/>
  <c r="D110" i="1"/>
  <c r="D108" i="1"/>
  <c r="D109" i="1"/>
  <c r="D106" i="1"/>
  <c r="D107" i="1"/>
  <c r="E114" i="1"/>
  <c r="E118" i="1"/>
  <c r="E117" i="1"/>
  <c r="E116" i="1"/>
  <c r="E115" i="1"/>
  <c r="C119" i="1"/>
  <c r="C109" i="1"/>
  <c r="C125" i="1" s="1"/>
  <c r="C141" i="1" s="1"/>
  <c r="C110" i="1"/>
  <c r="C126" i="1" s="1"/>
  <c r="C142" i="1" s="1"/>
  <c r="C107" i="1"/>
  <c r="C123" i="1" s="1"/>
  <c r="C139" i="1" s="1"/>
  <c r="C106" i="1"/>
  <c r="C108" i="1"/>
  <c r="C124" i="1" s="1"/>
  <c r="C140" i="1" s="1"/>
  <c r="D117" i="1"/>
  <c r="D114" i="1"/>
  <c r="D118" i="1"/>
  <c r="D126" i="1" s="1"/>
  <c r="D142" i="1" s="1"/>
  <c r="D116" i="1"/>
  <c r="D115" i="1"/>
  <c r="E109" i="1"/>
  <c r="E108" i="1"/>
  <c r="E106" i="1"/>
  <c r="E110" i="1"/>
  <c r="E107" i="1"/>
  <c r="I119" i="1"/>
  <c r="G150" i="1"/>
  <c r="H138" i="1"/>
  <c r="H127" i="1"/>
  <c r="H143" i="1" s="1"/>
  <c r="I109" i="1"/>
  <c r="I125" i="1" s="1"/>
  <c r="I141" i="1" s="1"/>
  <c r="I108" i="1"/>
  <c r="I124" i="1" s="1"/>
  <c r="I140" i="1" s="1"/>
  <c r="I107" i="1"/>
  <c r="I123" i="1" s="1"/>
  <c r="I139" i="1" s="1"/>
  <c r="I110" i="1"/>
  <c r="I126" i="1" s="1"/>
  <c r="I142" i="1" s="1"/>
  <c r="I106" i="1"/>
  <c r="C72" i="1"/>
  <c r="E44" i="1"/>
  <c r="D46" i="1"/>
  <c r="D48" i="1" s="1"/>
  <c r="D71" i="1" s="1"/>
  <c r="C89" i="1" l="1"/>
  <c r="D123" i="1"/>
  <c r="D139" i="1" s="1"/>
  <c r="C77" i="1"/>
  <c r="C78" i="1" s="1"/>
  <c r="C75" i="1"/>
  <c r="C80" i="1"/>
  <c r="C81" i="1" s="1"/>
  <c r="C82" i="1" s="1"/>
  <c r="E125" i="1"/>
  <c r="E141" i="1" s="1"/>
  <c r="H146" i="1"/>
  <c r="H148" i="1" s="1"/>
  <c r="H149" i="1" s="1"/>
  <c r="H150" i="1" s="1"/>
  <c r="H159" i="1"/>
  <c r="E126" i="1"/>
  <c r="E142" i="1" s="1"/>
  <c r="D124" i="1"/>
  <c r="D140" i="1" s="1"/>
  <c r="D74" i="1"/>
  <c r="D86" i="1" s="1"/>
  <c r="D111" i="1"/>
  <c r="D122" i="1"/>
  <c r="E119" i="1"/>
  <c r="D119" i="1"/>
  <c r="D125" i="1"/>
  <c r="D141" i="1" s="1"/>
  <c r="E123" i="1"/>
  <c r="E139" i="1" s="1"/>
  <c r="C111" i="1"/>
  <c r="C122" i="1"/>
  <c r="E111" i="1"/>
  <c r="E122" i="1"/>
  <c r="E124" i="1"/>
  <c r="E140" i="1" s="1"/>
  <c r="I111" i="1"/>
  <c r="I122" i="1"/>
  <c r="D72" i="1"/>
  <c r="F44" i="1"/>
  <c r="E46" i="1"/>
  <c r="E48" i="1" s="1"/>
  <c r="E71" i="1" s="1"/>
  <c r="D75" i="1" l="1"/>
  <c r="D80" i="1"/>
  <c r="D81" i="1" s="1"/>
  <c r="D82" i="1" s="1"/>
  <c r="D77" i="1"/>
  <c r="D78" i="1" s="1"/>
  <c r="D89" i="1"/>
  <c r="D160" i="1"/>
  <c r="D161" i="1" s="1"/>
  <c r="D164" i="1" s="1"/>
  <c r="E74" i="1"/>
  <c r="E86" i="1" s="1"/>
  <c r="C138" i="1"/>
  <c r="C127" i="1"/>
  <c r="C143" i="1" s="1"/>
  <c r="D138" i="1"/>
  <c r="D127" i="1"/>
  <c r="D143" i="1" s="1"/>
  <c r="E127" i="1"/>
  <c r="E143" i="1" s="1"/>
  <c r="E138" i="1"/>
  <c r="I138" i="1"/>
  <c r="I127" i="1"/>
  <c r="I143" i="1" s="1"/>
  <c r="E72" i="1"/>
  <c r="G44" i="1"/>
  <c r="F46" i="1"/>
  <c r="F48" i="1" s="1"/>
  <c r="F71" i="1" s="1"/>
  <c r="E77" i="1" l="1"/>
  <c r="E78" i="1" s="1"/>
  <c r="E80" i="1"/>
  <c r="E81" i="1" s="1"/>
  <c r="E82" i="1" s="1"/>
  <c r="E75" i="1"/>
  <c r="E146" i="1"/>
  <c r="E148" i="1" s="1"/>
  <c r="F149" i="1" s="1"/>
  <c r="F150" i="1" s="1"/>
  <c r="E159" i="1"/>
  <c r="D146" i="1"/>
  <c r="D148" i="1" s="1"/>
  <c r="D159" i="1"/>
  <c r="C146" i="1"/>
  <c r="C148" i="1" s="1"/>
  <c r="C149" i="1" s="1"/>
  <c r="C150" i="1" s="1"/>
  <c r="C159" i="1"/>
  <c r="I146" i="1"/>
  <c r="I148" i="1" s="1"/>
  <c r="I149" i="1" s="1"/>
  <c r="I159" i="1"/>
  <c r="E89" i="1"/>
  <c r="E160" i="1"/>
  <c r="E161" i="1" s="1"/>
  <c r="E164" i="1" s="1"/>
  <c r="F74" i="1"/>
  <c r="F86" i="1" s="1"/>
  <c r="F72" i="1"/>
  <c r="H44" i="1"/>
  <c r="G46" i="1"/>
  <c r="G48" i="1" s="1"/>
  <c r="G71" i="1" s="1"/>
  <c r="E149" i="1" l="1"/>
  <c r="E150" i="1" s="1"/>
  <c r="F77" i="1"/>
  <c r="F78" i="1" s="1"/>
  <c r="F80" i="1"/>
  <c r="F81" i="1" s="1"/>
  <c r="F82" i="1" s="1"/>
  <c r="D149" i="1"/>
  <c r="D150" i="1" s="1"/>
  <c r="F89" i="1"/>
  <c r="F160" i="1"/>
  <c r="F161" i="1" s="1"/>
  <c r="F164" i="1" s="1"/>
  <c r="F75" i="1"/>
  <c r="G74" i="1"/>
  <c r="G86" i="1" s="1"/>
  <c r="I150" i="1"/>
  <c r="G72" i="1"/>
  <c r="I44" i="1"/>
  <c r="I46" i="1" s="1"/>
  <c r="I48" i="1" s="1"/>
  <c r="I71" i="1" s="1"/>
  <c r="H46" i="1"/>
  <c r="H48" i="1" s="1"/>
  <c r="H71" i="1" s="1"/>
  <c r="G80" i="1" l="1"/>
  <c r="G81" i="1" s="1"/>
  <c r="G82" i="1" s="1"/>
  <c r="G89" i="1"/>
  <c r="G160" i="1"/>
  <c r="G161" i="1" s="1"/>
  <c r="G164" i="1" s="1"/>
  <c r="I74" i="1"/>
  <c r="I86" i="1" s="1"/>
  <c r="I77" i="1"/>
  <c r="G75" i="1"/>
  <c r="G77" i="1"/>
  <c r="G78" i="1" s="1"/>
  <c r="H74" i="1"/>
  <c r="H86" i="1" s="1"/>
  <c r="I72" i="1"/>
  <c r="H72" i="1"/>
  <c r="I80" i="1" l="1"/>
  <c r="H89" i="1"/>
  <c r="H160" i="1"/>
  <c r="H161" i="1" s="1"/>
  <c r="H164" i="1" s="1"/>
  <c r="H77" i="1"/>
  <c r="H78" i="1" s="1"/>
  <c r="I78" i="1" s="1"/>
  <c r="I89" i="1"/>
  <c r="I160" i="1"/>
  <c r="H75" i="1"/>
  <c r="H80" i="1"/>
  <c r="H81" i="1" s="1"/>
  <c r="H82" i="1" s="1"/>
  <c r="I75" i="1"/>
  <c r="I161" i="1" l="1"/>
  <c r="I164" i="1" s="1"/>
  <c r="J161" i="1"/>
  <c r="I81" i="1"/>
  <c r="I82" i="1" s="1"/>
</calcChain>
</file>

<file path=xl/sharedStrings.xml><?xml version="1.0" encoding="utf-8"?>
<sst xmlns="http://schemas.openxmlformats.org/spreadsheetml/2006/main" count="1367" uniqueCount="341">
  <si>
    <t>Year 1</t>
  </si>
  <si>
    <t>Year 2</t>
  </si>
  <si>
    <t>Year 3</t>
  </si>
  <si>
    <t>Year 4</t>
  </si>
  <si>
    <t>Year 5</t>
  </si>
  <si>
    <t>Year 6</t>
  </si>
  <si>
    <t>Year 7</t>
  </si>
  <si>
    <t>Total Plan</t>
  </si>
  <si>
    <t>Depreciation on Additions</t>
  </si>
  <si>
    <t>Rate Base</t>
  </si>
  <si>
    <t>WACC</t>
  </si>
  <si>
    <t>Revenue Conversion</t>
  </si>
  <si>
    <t>Adjusted For Revenue Conversion Factor  - Annual Revenue Requirement</t>
  </si>
  <si>
    <t>Allowed Return on TDSIC Utility Plant</t>
  </si>
  <si>
    <t>Depreciation Expense - Annualized</t>
  </si>
  <si>
    <t>Amortization Expense - Plan Development Costs</t>
  </si>
  <si>
    <t>Total Revenue Requirement</t>
  </si>
  <si>
    <t>Operating Revenues Estimate</t>
  </si>
  <si>
    <t>% Increase In Retail Operating Revenues</t>
  </si>
  <si>
    <t>$ Increase In Retail Operating Revenues</t>
  </si>
  <si>
    <t>Depreciation Rate</t>
  </si>
  <si>
    <t>FERC Account</t>
  </si>
  <si>
    <t>CapEx Additions (includes AFUDC)</t>
  </si>
  <si>
    <t>Property Tax Expense - Annualized</t>
  </si>
  <si>
    <t>Monthly Bill  Residential (Using 1,000 kWh)</t>
  </si>
  <si>
    <t>Increase in Monthly Bill Res (using 1,000 kWh)</t>
  </si>
  <si>
    <t>Distribution Additions</t>
  </si>
  <si>
    <t>Cumulative Distribution Additions</t>
  </si>
  <si>
    <t>80% of Total Revenue Requirement</t>
  </si>
  <si>
    <t>Total Revenue Requirement Rider</t>
  </si>
  <si>
    <t>Rider Revenue Requirement - Transmission</t>
  </si>
  <si>
    <t>Rider Revenue Requirement - Distribution</t>
  </si>
  <si>
    <t>From Fixed Assets Work</t>
  </si>
  <si>
    <t>From Tax Dept Work</t>
  </si>
  <si>
    <t>Changes for T vs D</t>
  </si>
  <si>
    <t>Break this calc out step-by-step in a section</t>
  </si>
  <si>
    <t>Input from Rate Case or WACC Calc</t>
  </si>
  <si>
    <t>Transmission Additions</t>
  </si>
  <si>
    <t>Cumulative Transmission Additions</t>
  </si>
  <si>
    <t>`</t>
  </si>
  <si>
    <t>Accumulated Additions</t>
  </si>
  <si>
    <t>Current Year Additions</t>
  </si>
  <si>
    <t>Property Tax Calculation - One Year in Arrears:</t>
  </si>
  <si>
    <t>Accumulated Additions Net of Tax Depr</t>
  </si>
  <si>
    <t>Current Year Additions Net of Tax Depr</t>
  </si>
  <si>
    <t>less Accumulated Tax Depreciation</t>
  </si>
  <si>
    <t>less Tax Depreciation on CY Spend</t>
  </si>
  <si>
    <t>60% Credit for Gross Additions</t>
  </si>
  <si>
    <t>Net Assessed Value</t>
  </si>
  <si>
    <t>Property Tax Rate</t>
  </si>
  <si>
    <t>TDSIC Rider Revenues</t>
  </si>
  <si>
    <t>Total Estimate Retail Operating Revenues</t>
  </si>
  <si>
    <t>Incremental Rider Revenue</t>
  </si>
  <si>
    <t>Annual % Increase</t>
  </si>
  <si>
    <t>Total Estimated Retail Operating Revenues</t>
  </si>
  <si>
    <t>$ in millions</t>
  </si>
  <si>
    <t>Allocation Factor - Transmission</t>
  </si>
  <si>
    <t>Allocation Factor - Distribution</t>
  </si>
  <si>
    <t>Residential</t>
  </si>
  <si>
    <t>Small C&amp;I</t>
  </si>
  <si>
    <t>Large C&amp;I - Secondary</t>
  </si>
  <si>
    <t>Large C&amp;I - Primary</t>
  </si>
  <si>
    <t>Lighting</t>
  </si>
  <si>
    <t>Transmission - Revenue Requirement</t>
  </si>
  <si>
    <t>Distribution - Revenue Requirement</t>
  </si>
  <si>
    <t>Total</t>
  </si>
  <si>
    <t>$ per kWh</t>
  </si>
  <si>
    <t>Overall</t>
  </si>
  <si>
    <t>SL, PH</t>
  </si>
  <si>
    <t>HL, PL</t>
  </si>
  <si>
    <t>APL, MU1</t>
  </si>
  <si>
    <t>RS, RC, RH</t>
  </si>
  <si>
    <t>SS, SH, SE, CB, UW</t>
  </si>
  <si>
    <t xml:space="preserve">Forecast 3/12/2019 IRP Vintage </t>
  </si>
  <si>
    <t>Forecasted Volume (MWh)</t>
  </si>
  <si>
    <t>20% Deferral</t>
  </si>
  <si>
    <t>Rate Base Revenue Requirement Calculation:</t>
  </si>
  <si>
    <t>INDIANAPOLIS POWER AND LIGHT COMPANY</t>
  </si>
  <si>
    <t>Revenue Percentages</t>
  </si>
  <si>
    <t>Test Year Ended June 30, 2017</t>
  </si>
  <si>
    <t>TDSIC Allocation Factors</t>
  </si>
  <si>
    <t>(A)</t>
  </si>
  <si>
    <t>(B)</t>
  </si>
  <si>
    <t>(C)</t>
  </si>
  <si>
    <t>(D)</t>
  </si>
  <si>
    <t>(E)</t>
  </si>
  <si>
    <t>(F)</t>
  </si>
  <si>
    <t>(G)</t>
  </si>
  <si>
    <t>(H)</t>
  </si>
  <si>
    <t>Rate Class</t>
  </si>
  <si>
    <t>Rate Code(s)</t>
  </si>
  <si>
    <t xml:space="preserve">Total Revenue Requirement </t>
  </si>
  <si>
    <t>Percent</t>
  </si>
  <si>
    <t>Class Revenue Allocation - Transmission</t>
  </si>
  <si>
    <t>Class Revenue Allocation - Distribution</t>
  </si>
  <si>
    <t>PL, HL</t>
  </si>
  <si>
    <t>TOTAL SYSTEM</t>
  </si>
  <si>
    <t>Large C&amp;I - Primary Transmission</t>
  </si>
  <si>
    <t xml:space="preserve">Large C&amp;I - Primary Distribution </t>
  </si>
  <si>
    <t>Overall $ per kWh</t>
  </si>
  <si>
    <t>Large C&amp;I $ per kWh</t>
  </si>
  <si>
    <t>Effective Allocation Factor Large C&amp;I</t>
  </si>
  <si>
    <t xml:space="preserve">Res - Primary Distribution </t>
  </si>
  <si>
    <t>Res - Primary Transmission</t>
  </si>
  <si>
    <t>Effective Allocation Factor Res</t>
  </si>
  <si>
    <t>Res $ per kWh</t>
  </si>
  <si>
    <t>Large CI/Res</t>
  </si>
  <si>
    <t>Large CI/Overall</t>
  </si>
  <si>
    <t>Year End Regulatory Asset Balance before Carrying Charges</t>
  </si>
  <si>
    <t>Monthly Bill TDSIC Component  Residential (1,000 kWh)</t>
  </si>
  <si>
    <t>For Rate Calculation Purposes:</t>
  </si>
  <si>
    <t>check</t>
  </si>
  <si>
    <t>CapEx Additions (includes AFUDC):</t>
  </si>
  <si>
    <t>Total TDSIC Revenue Requirement Calculation:</t>
  </si>
  <si>
    <t>Distribution Revenue Requirement Calculation:</t>
  </si>
  <si>
    <t>Transmission Revenue Requirement Calculation:</t>
  </si>
  <si>
    <t>Return on Rate Base Annual Revenue Requirement:</t>
  </si>
  <si>
    <t>Total Return on Rate Base Annual Revenue Requirement</t>
  </si>
  <si>
    <t>Incremental Expenses Annual Revenue Requirement:</t>
  </si>
  <si>
    <t>Total Incremental Expenses Annual Revenue Requirement</t>
  </si>
  <si>
    <t>Total Incremental Expenses before Revenue Conversion</t>
  </si>
  <si>
    <t>Reference</t>
  </si>
  <si>
    <t>Line</t>
  </si>
  <si>
    <t>Description</t>
  </si>
  <si>
    <t>Pre-Tax WACC</t>
  </si>
  <si>
    <t>Attachment CAR-2</t>
  </si>
  <si>
    <t>Attachment CAR-3</t>
  </si>
  <si>
    <t>Line 1  x Line 2</t>
  </si>
  <si>
    <t>Line 3 x Line 4</t>
  </si>
  <si>
    <t>Line 15 x Line 16</t>
  </si>
  <si>
    <t>Line 17 x Line 18</t>
  </si>
  <si>
    <t>Line 19 + Line 25</t>
  </si>
  <si>
    <t>Line 9 x Line 10</t>
  </si>
  <si>
    <t>INDIANAPOLIS POWER &amp; LIGHT COMPANY</t>
  </si>
  <si>
    <t>TRANSMISSION DISTRIBUTION STORAGE SYSTEM IMPROVEMENT CHARGE (TDSIC)</t>
  </si>
  <si>
    <t>Depreciation Expense:</t>
  </si>
  <si>
    <t>Transmission Assets</t>
  </si>
  <si>
    <t>Total End of Year Utility Plant Balance</t>
  </si>
  <si>
    <t>Distribution Assets</t>
  </si>
  <si>
    <t>Total TDSIC Assets</t>
  </si>
  <si>
    <t>Total Depr Exp - Annualized</t>
  </si>
  <si>
    <t>Credit Amount</t>
  </si>
  <si>
    <t>(I)</t>
  </si>
  <si>
    <t>(J)</t>
  </si>
  <si>
    <t>Line 1 - Line 2</t>
  </si>
  <si>
    <t>Line 4 - Line 5</t>
  </si>
  <si>
    <t>Line 6 x Line 7</t>
  </si>
  <si>
    <t>Line 3 - Line 8</t>
  </si>
  <si>
    <t>Line 21 x Line 22</t>
  </si>
  <si>
    <t>TDSIC Plan Estimated Annual Revenue Requirement</t>
  </si>
  <si>
    <t>Calendar</t>
  </si>
  <si>
    <t>TDSIC 1</t>
  </si>
  <si>
    <t>TDSIC 3</t>
  </si>
  <si>
    <t>TDSIC 5</t>
  </si>
  <si>
    <t>TDSIC 7</t>
  </si>
  <si>
    <t>TDSIC 9</t>
  </si>
  <si>
    <t>TDSIC 11</t>
  </si>
  <si>
    <t>TDSIC 13</t>
  </si>
  <si>
    <t>3/31 Utility Plant Balance:</t>
  </si>
  <si>
    <t>TDSIC Plan</t>
  </si>
  <si>
    <t>CWIP Balance 3/31</t>
  </si>
  <si>
    <t>Total 3/31 Utility Plant Balance</t>
  </si>
  <si>
    <t>Total 3/31 Accum Depr</t>
  </si>
  <si>
    <t>Plan Year</t>
  </si>
  <si>
    <t>Total CapEx Additions Placed in Service</t>
  </si>
  <si>
    <t>3/31 Accumulated Depreciation:</t>
  </si>
  <si>
    <t>3/31 Rate Base</t>
  </si>
  <si>
    <t>3/31 Year Rate Base</t>
  </si>
  <si>
    <t>TDSIC</t>
  </si>
  <si>
    <t>Rate Base Cutoff</t>
  </si>
  <si>
    <t>Rate Period</t>
  </si>
  <si>
    <t>Projected Retirments</t>
  </si>
  <si>
    <t>Projected Retirements</t>
  </si>
  <si>
    <t>Retired Assets</t>
  </si>
  <si>
    <t>Total Depr Exp - Annualized - Transmission</t>
  </si>
  <si>
    <t>Total Depr Exp - Annualized - Distribution</t>
  </si>
  <si>
    <t>3/31 Cumulative Retired Plant Balance:</t>
  </si>
  <si>
    <t>Assessment Date</t>
  </si>
  <si>
    <t>Depreciation Expense on Retirements - Credit</t>
  </si>
  <si>
    <t>TDSIC Rate Base and Depreciation Expense Estimate Calculation</t>
  </si>
  <si>
    <t>TDSIC Retirements Depreciation Expense Estimate Calculation</t>
  </si>
  <si>
    <t>Property Tax Expense Estimate Calculation</t>
  </si>
  <si>
    <t>Line 2 x Line 5</t>
  </si>
  <si>
    <t>Line 2 x Line 6</t>
  </si>
  <si>
    <t>Line 2 x Line 7</t>
  </si>
  <si>
    <t>Line 2 x Line 8</t>
  </si>
  <si>
    <t>Sum Lines 15-19</t>
  </si>
  <si>
    <t>Line 3 x Line 10</t>
  </si>
  <si>
    <t>Line 3 x Line 11</t>
  </si>
  <si>
    <t>Line 3 x Line 12</t>
  </si>
  <si>
    <t>Line 3 x Line 13</t>
  </si>
  <si>
    <t>Line 3 x Line 14</t>
  </si>
  <si>
    <t>Sum Lines 21-25</t>
  </si>
  <si>
    <t>Line 15 + Line 21</t>
  </si>
  <si>
    <t>Line 16 + Line 22</t>
  </si>
  <si>
    <t>Line 17 + Line 23</t>
  </si>
  <si>
    <t>Line 18 + Line 24</t>
  </si>
  <si>
    <t>Sum Lines 27-31</t>
  </si>
  <si>
    <t>Estimated Forecasted Firm Load Volume (MWh)</t>
  </si>
  <si>
    <t>TDSIC Plan Estimated Retail Rates</t>
  </si>
  <si>
    <t>Attachment CAR-4</t>
  </si>
  <si>
    <t>Line 20 + Line 21 + Line 22+ Line 23</t>
  </si>
  <si>
    <t>Line 6 + Line 7 + Line 8 + Line 9</t>
  </si>
  <si>
    <t>Line 10 x Line 11</t>
  </si>
  <si>
    <t>Line 5 + Line 12</t>
  </si>
  <si>
    <t>Line 13 x 80%</t>
  </si>
  <si>
    <t>Line 24 x Line 25</t>
  </si>
  <si>
    <t>Line 19 + Line 26</t>
  </si>
  <si>
    <t>Line 27 x 80%</t>
  </si>
  <si>
    <t>P. 1  Line 14</t>
  </si>
  <si>
    <t>P. 1  Line 41</t>
  </si>
  <si>
    <t>P. 1  Line 28</t>
  </si>
  <si>
    <t>Line 2 x Line 4</t>
  </si>
  <si>
    <t>IPL Load Forecast</t>
  </si>
  <si>
    <t>Sum Lines 1-11</t>
  </si>
  <si>
    <t>Sum Lines 13-24</t>
  </si>
  <si>
    <t>Line 13 Accumulated</t>
  </si>
  <si>
    <t>Line 14 Accumulated</t>
  </si>
  <si>
    <t>Line 15 Accumulated</t>
  </si>
  <si>
    <t>Line 16 Accumulated</t>
  </si>
  <si>
    <t>Sum Lines 25-36</t>
  </si>
  <si>
    <t>(Line 13 x Column A x 50%) + (Prior Line 25 x Column A)</t>
  </si>
  <si>
    <t>(Line 14 x Column A x 50%) + (Prior Line 26 x Column A)</t>
  </si>
  <si>
    <t>(Line 15 x Column A x 50%) + (Prior Line 27 x Column A)</t>
  </si>
  <si>
    <t>(Line 16 x Column A x 50%) + (Prior Line 28 x Column A)</t>
  </si>
  <si>
    <t>Line 37 Accumulated</t>
  </si>
  <si>
    <t>Line 38 Accumulated</t>
  </si>
  <si>
    <t>Line 39 Accumulated</t>
  </si>
  <si>
    <t>Line 40 Accumulated</t>
  </si>
  <si>
    <t>TDSIC 1: 3/31/2020 Actual Balance, 
Thereafter: 75% of Prior Calendar Year + 25% of Current Calendar Year - Change in CWIP</t>
  </si>
  <si>
    <t>Line 17 Accumulated</t>
  </si>
  <si>
    <t>Line 18 Accumulated</t>
  </si>
  <si>
    <t>Line 19 Accumulated</t>
  </si>
  <si>
    <t>Line 20 Accumulated</t>
  </si>
  <si>
    <t>Line 21 Accumulated</t>
  </si>
  <si>
    <t>Line 22 Accumulated</t>
  </si>
  <si>
    <t>Line 23 Accumulated</t>
  </si>
  <si>
    <t>(Line 17 x Column A x 50%) + (Prior Line 29 x Column A)</t>
  </si>
  <si>
    <t>(Line 18 x Column A x 50%) + (Prior Line 30 x Column A)</t>
  </si>
  <si>
    <t>(Line 19 x Column A x 50%) + (Prior Line 31 x Column A)</t>
  </si>
  <si>
    <t>(Line 20 x Column A x 50%) + (Prior Line 32 x Column A)</t>
  </si>
  <si>
    <t>(Line 21 x Column A x 50%) + (Prior Line 33 x Column A)</t>
  </si>
  <si>
    <t>(Line 22 x Column A x 50%) + (Prior Line 34 x Column A)</t>
  </si>
  <si>
    <t>(Line 23 x Column A x 50%) + (Prior Line 35 x Column A)</t>
  </si>
  <si>
    <t>Sum of Same Lines on p. 1  &amp;  p. 2</t>
  </si>
  <si>
    <t>Calendar Year</t>
  </si>
  <si>
    <t>Calendar Year + TDSIC 1 Amount</t>
  </si>
  <si>
    <t>Line 12 + Line 24</t>
  </si>
  <si>
    <t>Line 13 - Line 14</t>
  </si>
  <si>
    <t>Line 16 - Line 17</t>
  </si>
  <si>
    <t>Line 18 x Line 19</t>
  </si>
  <si>
    <t>Line 15 - Line 20</t>
  </si>
  <si>
    <t>Line 25 - Line 26</t>
  </si>
  <si>
    <t>Line 28 - Line 29</t>
  </si>
  <si>
    <t>Line 30 x Line 31</t>
  </si>
  <si>
    <t>Line 27 - Line 32</t>
  </si>
  <si>
    <t>Line 33 x Line 34</t>
  </si>
  <si>
    <t>Total Estimated Projected Retirments</t>
  </si>
  <si>
    <t>IPL Fixed Assets Accounting Estimate</t>
  </si>
  <si>
    <t>TDSIC 1: 3/31/2020 Actual Balance, 
Thereafter: 75% of Prior Calendar Year + 25% of Current Calendar Year</t>
  </si>
  <si>
    <t>Sum of Lines 37 - 40</t>
  </si>
  <si>
    <t>Sum of Lines 41 - 47</t>
  </si>
  <si>
    <t>Line 29  x Line 30</t>
  </si>
  <si>
    <t>Line 31 x Line 32</t>
  </si>
  <si>
    <t>Line 38 x Line 39</t>
  </si>
  <si>
    <t>Line 33 + Line 40</t>
  </si>
  <si>
    <t>Line 41 x 80%</t>
  </si>
  <si>
    <t>Nov 20-Oct 21</t>
  </si>
  <si>
    <t>Nov 21-Oct 22</t>
  </si>
  <si>
    <t>Nov 22-Oct 23</t>
  </si>
  <si>
    <t>Nov 23-Oct 24</t>
  </si>
  <si>
    <t>Nov 24-Oct 25</t>
  </si>
  <si>
    <t>Nov 25-Oct 26</t>
  </si>
  <si>
    <t>Nov 26-Oct 27</t>
  </si>
  <si>
    <t>Outside Print Range:</t>
  </si>
  <si>
    <t>TDSIC 14</t>
  </si>
  <si>
    <t>Nov 27-Oct 28</t>
  </si>
  <si>
    <t xml:space="preserve"> Thru 3/31/20</t>
  </si>
  <si>
    <t>4/1/21-3/31/22</t>
  </si>
  <si>
    <t>4/1/22-3/31/23</t>
  </si>
  <si>
    <t>4/1/23-3/31/24</t>
  </si>
  <si>
    <t>4/1/24-3/31/25</t>
  </si>
  <si>
    <t>4/1/25-3/31/26</t>
  </si>
  <si>
    <t>4/1/26-3/31/27</t>
  </si>
  <si>
    <t xml:space="preserve"> 3/31/2020</t>
  </si>
  <si>
    <t>4/1/20-3/31/21</t>
  </si>
  <si>
    <t xml:space="preserve"> 3/31/2027</t>
  </si>
  <si>
    <t>(K)</t>
  </si>
  <si>
    <t>Revenue Requirement Recoverable in TDSIC Rider (80%)</t>
  </si>
  <si>
    <t>Total Annual Revenue Requirement</t>
  </si>
  <si>
    <t>TDSIC Revenue Requirement ($M)</t>
  </si>
  <si>
    <t>Estimated Rates ($/kWh)</t>
  </si>
  <si>
    <r>
      <t>Total Retail Revenues ($ Millions)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</si>
  <si>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t>CN 45029 Settlement Agreement Att E</t>
  </si>
  <si>
    <t>CapEx Additions (incl AFUDC):</t>
  </si>
  <si>
    <t>Depr Rate</t>
  </si>
  <si>
    <t>Total CapEx Additions</t>
  </si>
  <si>
    <t>Total CapEx Additions Placed In Service</t>
  </si>
  <si>
    <t>TDSIC 1: 3/31/2020 Act Balance, Thereafter: Prior Calendar Yr</t>
  </si>
  <si>
    <t>11/1/21-10/31/22</t>
  </si>
  <si>
    <t>11/1/22-10/31/23</t>
  </si>
  <si>
    <t>11/1/23-10/31/24</t>
  </si>
  <si>
    <t>11/1/24-10/31/25</t>
  </si>
  <si>
    <t>11/1/25-10/31/26</t>
  </si>
  <si>
    <t>11/1/26-10/31/27</t>
  </si>
  <si>
    <t>11/1/27-10/31/28</t>
  </si>
  <si>
    <t>11/1/20-10/31/21</t>
  </si>
  <si>
    <t>(Line 13 x Col A x 50%) + (Prior Line 25 x Col A)</t>
  </si>
  <si>
    <t>(Line 14 x Col A x 50%) + (Prior Line 26 x Col A)</t>
  </si>
  <si>
    <t>(Line 15 x Col A x 50%) + (Prior Line 27 x Col A)</t>
  </si>
  <si>
    <t>(Line 16 x Col A x 50%) + (Prior Line 28 x Col A)</t>
  </si>
  <si>
    <t>(Line 17 x Col A x 50%) + (Prior Line 29 x Col A)</t>
  </si>
  <si>
    <t>(Line 18 x Col A x 50%) + (Prior Line 30 x Col A)</t>
  </si>
  <si>
    <t>(Line 19 x Col A x 50%) + (Prior Line 31 x Col A)</t>
  </si>
  <si>
    <t>(Line 20 x Col A x 50%) + (Prior Line 32 x Col A)</t>
  </si>
  <si>
    <t>(Line 21 x Col A x 50%) + (Prior Line 33 x Col A)</t>
  </si>
  <si>
    <t>(Line 22 x Col A x 50%) + (Prior Line 34 x Col A)</t>
  </si>
  <si>
    <t>(Line 23 x Col A x 50%) + (Prior Line 35 x Col A)</t>
  </si>
  <si>
    <t xml:space="preserve">Depr Rate </t>
  </si>
  <si>
    <t>Line 27/Line 33/1,000</t>
  </si>
  <si>
    <t xml:space="preserve"> Line 28/Line 34/1,000</t>
  </si>
  <si>
    <t xml:space="preserve"> Line 29/Line 35/1,000</t>
  </si>
  <si>
    <t xml:space="preserve"> Line 30/Line 36/1,000</t>
  </si>
  <si>
    <t xml:space="preserve"> Line 31/Line 37/1,000</t>
  </si>
  <si>
    <t>Line 1 + Line 13</t>
  </si>
  <si>
    <t>Line 2 + Line 14</t>
  </si>
  <si>
    <t>Line 4 + Line 16</t>
  </si>
  <si>
    <t>Line 5 + Line 17</t>
  </si>
  <si>
    <t>Property Tax WP</t>
  </si>
  <si>
    <t>TDSIC 1 IPL Attachment NHC-5 p. 3</t>
  </si>
  <si>
    <t>TDSIC 1 IPL Attachment NHC-6</t>
  </si>
  <si>
    <t>Accumulation of Line 12 CAR-2 p1</t>
  </si>
  <si>
    <t>Accumulation of Line 12 CAR-2 p2</t>
  </si>
  <si>
    <t>Average Revenue Change over Plan Period</t>
  </si>
  <si>
    <r>
      <rPr>
        <vertAlign val="superscript"/>
        <sz val="10"/>
        <color theme="1"/>
        <rFont val="Calibri"/>
        <family val="2"/>
        <scheme val="minor"/>
      </rPr>
      <t xml:space="preserve">1 </t>
    </r>
    <r>
      <rPr>
        <sz val="10"/>
        <color theme="1"/>
        <rFont val="Calibri"/>
        <family val="2"/>
        <scheme val="minor"/>
      </rPr>
      <t>Based on Total Retail  Revenues per IPL's FAC-130 IPL Attachment NHC-2 of $1,370 million</t>
    </r>
  </si>
  <si>
    <r>
      <t xml:space="preserve">Revenue Requirement Recoverable in TDSIC Rider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</si>
  <si>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TDSIC 15</t>
  </si>
  <si>
    <t>IPL Attachment JWS-2</t>
  </si>
  <si>
    <t>Indianapolis Power &amp; Light Company</t>
  </si>
  <si>
    <t>Cause No. 45264 TDSIC-2</t>
  </si>
  <si>
    <t>IPL Witness CAR Workpaper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</si>
</sst>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0000_);_(&quot;$&quot;* \(#,##0.00000\);_(&quot;$&quot;* &quot;-&quot;??_);_(@_)"/>
    <numFmt numFmtId="168" formatCode="_(&quot;$&quot;* #,##0.0_);_(&quot;$&quot;* \(#,##0.0\);_(&quot;$&quot;* &quot;-&quot;??_);_(@_)"/>
    <numFmt numFmtId="169" formatCode="&quot;$&quot;#,##0.0"/>
    <numFmt numFmtId="170" formatCode="0.000%"/>
    <numFmt numFmtId="171" formatCode="_(&quot;$&quot;* #,##0.000000_);_(&quot;$&quot;* \(#,##0.000000\);_(&quot;$&quot;* &quot;-&quot;??_);_(@_)"/>
    <numFmt numFmtId="172" formatCode="m/d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Verdana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9" fillId="0" borderId="0"/>
    <xf numFmtId="43" fontId="6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2" fontId="0" fillId="0" borderId="0" xfId="0" applyNumberFormat="1"/>
    <xf numFmtId="10" fontId="0" fillId="0" borderId="0" xfId="2" applyNumberFormat="1" applyFont="1"/>
    <xf numFmtId="164" fontId="0" fillId="0" borderId="1" xfId="1" applyNumberFormat="1" applyFont="1" applyBorder="1"/>
    <xf numFmtId="0" fontId="2" fillId="0" borderId="0" xfId="0" applyFont="1"/>
    <xf numFmtId="164" fontId="0" fillId="0" borderId="0" xfId="0" applyNumberFormat="1"/>
    <xf numFmtId="165" fontId="0" fillId="0" borderId="0" xfId="2" applyNumberFormat="1" applyFont="1"/>
    <xf numFmtId="44" fontId="0" fillId="0" borderId="0" xfId="0" applyNumberFormat="1"/>
    <xf numFmtId="0" fontId="2" fillId="0" borderId="0" xfId="0" applyFont="1" applyAlignment="1">
      <alignment horizontal="left" wrapText="1"/>
    </xf>
    <xf numFmtId="164" fontId="0" fillId="2" borderId="0" xfId="1" applyNumberFormat="1" applyFont="1" applyFill="1"/>
    <xf numFmtId="164" fontId="0" fillId="2" borderId="1" xfId="1" applyNumberFormat="1" applyFont="1" applyFill="1" applyBorder="1"/>
    <xf numFmtId="0" fontId="2" fillId="0" borderId="2" xfId="0" applyFont="1" applyBorder="1"/>
    <xf numFmtId="164" fontId="0" fillId="0" borderId="3" xfId="1" applyNumberFormat="1" applyFont="1" applyBorder="1"/>
    <xf numFmtId="164" fontId="0" fillId="0" borderId="3" xfId="0" applyNumberFormat="1" applyBorder="1"/>
    <xf numFmtId="164" fontId="0" fillId="0" borderId="4" xfId="0" applyNumberFormat="1" applyBorder="1"/>
    <xf numFmtId="0" fontId="2" fillId="0" borderId="5" xfId="0" applyFont="1" applyBorder="1"/>
    <xf numFmtId="0" fontId="0" fillId="0" borderId="0" xfId="0" applyBorder="1"/>
    <xf numFmtId="164" fontId="0" fillId="0" borderId="0" xfId="0" applyNumberFormat="1" applyBorder="1"/>
    <xf numFmtId="164" fontId="0" fillId="0" borderId="6" xfId="0" applyNumberFormat="1" applyBorder="1"/>
    <xf numFmtId="0" fontId="2" fillId="0" borderId="7" xfId="0" applyFont="1" applyBorder="1"/>
    <xf numFmtId="0" fontId="0" fillId="0" borderId="8" xfId="0" applyBorder="1"/>
    <xf numFmtId="165" fontId="0" fillId="0" borderId="8" xfId="2" applyNumberFormat="1" applyFont="1" applyBorder="1"/>
    <xf numFmtId="165" fontId="0" fillId="0" borderId="9" xfId="2" applyNumberFormat="1" applyFont="1" applyBorder="1"/>
    <xf numFmtId="165" fontId="0" fillId="0" borderId="1" xfId="2" applyNumberFormat="1" applyFont="1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10" fontId="0" fillId="5" borderId="1" xfId="2" applyNumberFormat="1" applyFont="1" applyFill="1" applyBorder="1"/>
    <xf numFmtId="0" fontId="0" fillId="5" borderId="1" xfId="0" applyFill="1" applyBorder="1"/>
    <xf numFmtId="0" fontId="0" fillId="5" borderId="0" xfId="0" applyFill="1"/>
    <xf numFmtId="164" fontId="0" fillId="4" borderId="0" xfId="1" applyNumberFormat="1" applyFont="1" applyFill="1"/>
    <xf numFmtId="44" fontId="0" fillId="4" borderId="0" xfId="1" applyFont="1" applyFill="1"/>
    <xf numFmtId="164" fontId="0" fillId="4" borderId="1" xfId="1" applyNumberFormat="1" applyFont="1" applyFill="1" applyBorder="1"/>
    <xf numFmtId="44" fontId="0" fillId="4" borderId="1" xfId="1" applyFont="1" applyFill="1" applyBorder="1"/>
    <xf numFmtId="164" fontId="0" fillId="0" borderId="1" xfId="0" applyNumberFormat="1" applyBorder="1"/>
    <xf numFmtId="0" fontId="0" fillId="6" borderId="0" xfId="0" applyFill="1"/>
    <xf numFmtId="165" fontId="0" fillId="6" borderId="0" xfId="2" applyNumberFormat="1" applyFont="1" applyFill="1"/>
    <xf numFmtId="0" fontId="4" fillId="0" borderId="0" xfId="0" applyFont="1"/>
    <xf numFmtId="168" fontId="2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9" fontId="0" fillId="0" borderId="0" xfId="1" applyNumberFormat="1" applyFont="1" applyAlignment="1">
      <alignment horizontal="center"/>
    </xf>
    <xf numFmtId="166" fontId="0" fillId="0" borderId="0" xfId="4" applyNumberFormat="1" applyFont="1"/>
    <xf numFmtId="44" fontId="0" fillId="0" borderId="3" xfId="1" applyFont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0" xfId="0" applyNumberFormat="1" applyBorder="1"/>
    <xf numFmtId="44" fontId="0" fillId="0" borderId="6" xfId="0" applyNumberFormat="1" applyBorder="1"/>
    <xf numFmtId="0" fontId="2" fillId="0" borderId="0" xfId="0" applyFont="1" applyAlignment="1">
      <alignment horizontal="left" indent="1"/>
    </xf>
    <xf numFmtId="164" fontId="0" fillId="0" borderId="0" xfId="1" applyNumberFormat="1" applyFont="1" applyBorder="1"/>
    <xf numFmtId="0" fontId="2" fillId="0" borderId="0" xfId="0" applyFont="1" applyAlignment="1">
      <alignment horizontal="left"/>
    </xf>
    <xf numFmtId="166" fontId="1" fillId="0" borderId="0" xfId="4" applyNumberFormat="1" applyFont="1"/>
    <xf numFmtId="0" fontId="1" fillId="0" borderId="0" xfId="0" applyFont="1"/>
    <xf numFmtId="167" fontId="1" fillId="0" borderId="0" xfId="1" applyNumberFormat="1" applyFont="1"/>
    <xf numFmtId="167" fontId="1" fillId="0" borderId="1" xfId="1" applyNumberFormat="1" applyFont="1" applyBorder="1"/>
    <xf numFmtId="44" fontId="1" fillId="0" borderId="0" xfId="1" applyFont="1"/>
    <xf numFmtId="44" fontId="1" fillId="0" borderId="0" xfId="0" applyNumberFormat="1" applyFont="1"/>
    <xf numFmtId="165" fontId="0" fillId="0" borderId="0" xfId="2" applyNumberFormat="1" applyFont="1" applyFill="1"/>
    <xf numFmtId="0" fontId="7" fillId="0" borderId="0" xfId="5" applyFont="1" applyFill="1" applyAlignment="1"/>
    <xf numFmtId="0" fontId="8" fillId="0" borderId="0" xfId="5" applyFont="1"/>
    <xf numFmtId="0" fontId="8" fillId="0" borderId="0" xfId="5" applyFont="1" applyFill="1"/>
    <xf numFmtId="0" fontId="10" fillId="0" borderId="0" xfId="6" applyFont="1" applyFill="1"/>
    <xf numFmtId="0" fontId="11" fillId="0" borderId="0" xfId="5" applyFont="1" applyAlignment="1"/>
    <xf numFmtId="0" fontId="10" fillId="0" borderId="0" xfId="6" applyFont="1" applyAlignment="1">
      <alignment horizontal="center"/>
    </xf>
    <xf numFmtId="0" fontId="12" fillId="0" borderId="0" xfId="5" applyFont="1" applyAlignment="1">
      <alignment horizontal="center"/>
    </xf>
    <xf numFmtId="166" fontId="12" fillId="0" borderId="0" xfId="7" applyNumberFormat="1" applyFont="1" applyFill="1" applyAlignment="1">
      <alignment horizontal="center"/>
    </xf>
    <xf numFmtId="0" fontId="10" fillId="0" borderId="0" xfId="6" applyFont="1" applyFill="1" applyAlignment="1">
      <alignment horizontal="center"/>
    </xf>
    <xf numFmtId="0" fontId="7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/>
    </xf>
    <xf numFmtId="164" fontId="8" fillId="0" borderId="0" xfId="5" applyNumberFormat="1" applyFont="1"/>
    <xf numFmtId="166" fontId="8" fillId="0" borderId="0" xfId="5" applyNumberFormat="1" applyFont="1"/>
    <xf numFmtId="0" fontId="8" fillId="0" borderId="10" xfId="5" applyFont="1" applyFill="1" applyBorder="1"/>
    <xf numFmtId="164" fontId="8" fillId="0" borderId="10" xfId="5" applyNumberFormat="1" applyFont="1" applyFill="1" applyBorder="1"/>
    <xf numFmtId="10" fontId="8" fillId="0" borderId="10" xfId="5" applyNumberFormat="1" applyFont="1" applyBorder="1"/>
    <xf numFmtId="170" fontId="8" fillId="0" borderId="0" xfId="2" applyNumberFormat="1" applyFont="1"/>
    <xf numFmtId="170" fontId="0" fillId="0" borderId="0" xfId="2" applyNumberFormat="1" applyFont="1" applyFill="1"/>
    <xf numFmtId="0" fontId="0" fillId="0" borderId="0" xfId="0" applyFill="1"/>
    <xf numFmtId="10" fontId="0" fillId="0" borderId="0" xfId="2" applyNumberFormat="1" applyFont="1" applyFill="1"/>
    <xf numFmtId="0" fontId="0" fillId="0" borderId="3" xfId="0" applyBorder="1"/>
    <xf numFmtId="0" fontId="0" fillId="0" borderId="4" xfId="0" applyBorder="1"/>
    <xf numFmtId="0" fontId="0" fillId="6" borderId="0" xfId="0" applyFill="1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left" wrapText="1"/>
    </xf>
    <xf numFmtId="165" fontId="0" fillId="0" borderId="11" xfId="2" applyNumberFormat="1" applyFont="1" applyBorder="1"/>
    <xf numFmtId="165" fontId="0" fillId="6" borderId="0" xfId="2" applyNumberFormat="1" applyFont="1" applyFill="1" applyBorder="1"/>
    <xf numFmtId="165" fontId="0" fillId="0" borderId="0" xfId="2" applyNumberFormat="1" applyFont="1" applyBorder="1"/>
    <xf numFmtId="165" fontId="0" fillId="0" borderId="6" xfId="2" applyNumberFormat="1" applyFont="1" applyBorder="1"/>
    <xf numFmtId="44" fontId="0" fillId="4" borderId="8" xfId="1" applyFont="1" applyFill="1" applyBorder="1"/>
    <xf numFmtId="164" fontId="0" fillId="4" borderId="8" xfId="1" applyNumberFormat="1" applyFont="1" applyFill="1" applyBorder="1"/>
    <xf numFmtId="164" fontId="0" fillId="4" borderId="9" xfId="1" applyNumberFormat="1" applyFont="1" applyFill="1" applyBorder="1"/>
    <xf numFmtId="2" fontId="0" fillId="0" borderId="5" xfId="0" applyNumberFormat="1" applyBorder="1"/>
    <xf numFmtId="10" fontId="0" fillId="0" borderId="0" xfId="2" applyNumberFormat="1" applyFont="1" applyBorder="1"/>
    <xf numFmtId="164" fontId="0" fillId="0" borderId="6" xfId="1" applyNumberFormat="1" applyFont="1" applyBorder="1"/>
    <xf numFmtId="164" fontId="0" fillId="0" borderId="11" xfId="1" applyNumberFormat="1" applyFont="1" applyBorder="1"/>
    <xf numFmtId="0" fontId="0" fillId="0" borderId="7" xfId="0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164" fontId="0" fillId="3" borderId="1" xfId="0" applyNumberFormat="1" applyFill="1" applyBorder="1"/>
    <xf numFmtId="164" fontId="0" fillId="3" borderId="11" xfId="0" applyNumberFormat="1" applyFill="1" applyBorder="1"/>
    <xf numFmtId="0" fontId="0" fillId="0" borderId="1" xfId="0" applyBorder="1" applyAlignment="1">
      <alignment horizontal="center"/>
    </xf>
    <xf numFmtId="9" fontId="0" fillId="0" borderId="0" xfId="2" applyFont="1"/>
    <xf numFmtId="9" fontId="0" fillId="0" borderId="0" xfId="2" applyNumberFormat="1" applyFont="1"/>
    <xf numFmtId="9" fontId="0" fillId="0" borderId="0" xfId="2" applyFont="1" applyAlignment="1">
      <alignment horizontal="center"/>
    </xf>
    <xf numFmtId="170" fontId="0" fillId="0" borderId="0" xfId="2" applyNumberFormat="1" applyFont="1"/>
    <xf numFmtId="167" fontId="0" fillId="0" borderId="0" xfId="1" applyNumberFormat="1" applyFont="1"/>
    <xf numFmtId="166" fontId="5" fillId="0" borderId="0" xfId="3" applyNumberFormat="1" applyFont="1" applyFill="1"/>
    <xf numFmtId="165" fontId="2" fillId="0" borderId="0" xfId="0" applyNumberFormat="1" applyFont="1"/>
    <xf numFmtId="165" fontId="0" fillId="0" borderId="3" xfId="2" applyNumberFormat="1" applyFont="1" applyFill="1" applyBorder="1"/>
    <xf numFmtId="165" fontId="0" fillId="0" borderId="3" xfId="2" applyNumberFormat="1" applyFont="1" applyBorder="1"/>
    <xf numFmtId="165" fontId="0" fillId="0" borderId="4" xfId="2" applyNumberFormat="1" applyFont="1" applyBorder="1"/>
    <xf numFmtId="10" fontId="0" fillId="5" borderId="11" xfId="2" applyNumberFormat="1" applyFont="1" applyFill="1" applyBorder="1"/>
    <xf numFmtId="0" fontId="0" fillId="5" borderId="11" xfId="0" applyFill="1" applyBorder="1"/>
    <xf numFmtId="0" fontId="2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Fill="1" applyBorder="1"/>
    <xf numFmtId="166" fontId="5" fillId="0" borderId="1" xfId="3" applyNumberFormat="1" applyFont="1" applyFill="1" applyBorder="1"/>
    <xf numFmtId="164" fontId="0" fillId="0" borderId="0" xfId="1" applyNumberFormat="1" applyFont="1" applyFill="1" applyBorder="1"/>
    <xf numFmtId="164" fontId="0" fillId="0" borderId="1" xfId="1" applyNumberFormat="1" applyFont="1" applyFill="1" applyBorder="1"/>
    <xf numFmtId="164" fontId="0" fillId="7" borderId="0" xfId="1" applyNumberFormat="1" applyFont="1" applyFill="1" applyBorder="1"/>
    <xf numFmtId="164" fontId="0" fillId="7" borderId="1" xfId="1" applyNumberFormat="1" applyFont="1" applyFill="1" applyBorder="1"/>
    <xf numFmtId="164" fontId="0" fillId="0" borderId="0" xfId="0" applyNumberFormat="1" applyFill="1" applyBorder="1"/>
    <xf numFmtId="44" fontId="0" fillId="0" borderId="1" xfId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0" fillId="0" borderId="0" xfId="2" applyNumberFormat="1" applyFont="1" applyFill="1" applyBorder="1"/>
    <xf numFmtId="10" fontId="0" fillId="0" borderId="1" xfId="2" applyNumberFormat="1" applyFont="1" applyFill="1" applyBorder="1"/>
    <xf numFmtId="0" fontId="0" fillId="0" borderId="0" xfId="0" applyFill="1" applyBorder="1"/>
    <xf numFmtId="166" fontId="0" fillId="0" borderId="0" xfId="4" applyNumberFormat="1" applyFont="1" applyFill="1" applyBorder="1"/>
    <xf numFmtId="0" fontId="0" fillId="0" borderId="0" xfId="0" applyFont="1" applyBorder="1"/>
    <xf numFmtId="164" fontId="2" fillId="0" borderId="0" xfId="0" applyNumberFormat="1" applyFont="1" applyFill="1" applyBorder="1"/>
    <xf numFmtId="0" fontId="2" fillId="0" borderId="1" xfId="0" applyFont="1" applyBorder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2" fontId="0" fillId="0" borderId="0" xfId="0" applyNumberFormat="1" applyBorder="1"/>
    <xf numFmtId="16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64" fontId="0" fillId="0" borderId="1" xfId="0" applyNumberFormat="1" applyFill="1" applyBorder="1"/>
    <xf numFmtId="0" fontId="2" fillId="0" borderId="0" xfId="0" applyFont="1" applyFill="1" applyBorder="1" applyAlignment="1">
      <alignment horizontal="left" wrapText="1"/>
    </xf>
    <xf numFmtId="165" fontId="0" fillId="0" borderId="1" xfId="2" applyNumberFormat="1" applyFont="1" applyFill="1" applyBorder="1"/>
    <xf numFmtId="0" fontId="0" fillId="0" borderId="0" xfId="0" applyFont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0" fillId="0" borderId="0" xfId="0" applyFont="1"/>
    <xf numFmtId="0" fontId="0" fillId="0" borderId="0" xfId="0" applyFont="1" applyBorder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 applyBorder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164" fontId="0" fillId="0" borderId="0" xfId="0" applyNumberFormat="1" applyFont="1" applyBorder="1"/>
    <xf numFmtId="164" fontId="0" fillId="0" borderId="0" xfId="0" applyNumberFormat="1" applyFont="1"/>
    <xf numFmtId="164" fontId="0" fillId="0" borderId="1" xfId="0" applyNumberFormat="1" applyFont="1" applyBorder="1"/>
    <xf numFmtId="44" fontId="0" fillId="0" borderId="0" xfId="0" applyNumberFormat="1" applyFont="1" applyBorder="1"/>
    <xf numFmtId="171" fontId="0" fillId="0" borderId="0" xfId="1" applyNumberFormat="1" applyFont="1" applyBorder="1"/>
    <xf numFmtId="171" fontId="0" fillId="0" borderId="1" xfId="1" applyNumberFormat="1" applyFont="1" applyBorder="1"/>
    <xf numFmtId="0" fontId="0" fillId="0" borderId="0" xfId="0" applyBorder="1" applyAlignment="1">
      <alignment horizontal="center" vertical="center"/>
    </xf>
    <xf numFmtId="164" fontId="0" fillId="0" borderId="0" xfId="1" applyNumberFormat="1" applyFont="1" applyFill="1"/>
    <xf numFmtId="0" fontId="15" fillId="8" borderId="1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right"/>
    </xf>
    <xf numFmtId="168" fontId="0" fillId="8" borderId="0" xfId="1" applyNumberFormat="1" applyFont="1" applyFill="1" applyBorder="1" applyAlignment="1">
      <alignment horizontal="right"/>
    </xf>
    <xf numFmtId="164" fontId="0" fillId="8" borderId="0" xfId="1" applyNumberFormat="1" applyFont="1" applyFill="1" applyBorder="1" applyAlignment="1">
      <alignment horizontal="right"/>
    </xf>
    <xf numFmtId="165" fontId="0" fillId="8" borderId="0" xfId="2" applyNumberFormat="1" applyFont="1" applyFill="1" applyBorder="1" applyAlignment="1">
      <alignment horizontal="right"/>
    </xf>
    <xf numFmtId="0" fontId="2" fillId="8" borderId="0" xfId="0" applyFont="1" applyFill="1" applyBorder="1" applyAlignment="1">
      <alignment horizontal="right"/>
    </xf>
    <xf numFmtId="44" fontId="0" fillId="8" borderId="0" xfId="0" applyNumberFormat="1" applyFont="1" applyFill="1" applyBorder="1" applyAlignment="1">
      <alignment horizontal="right"/>
    </xf>
    <xf numFmtId="171" fontId="0" fillId="8" borderId="0" xfId="1" applyNumberFormat="1" applyFont="1" applyFill="1" applyBorder="1" applyAlignment="1">
      <alignment horizontal="right"/>
    </xf>
    <xf numFmtId="0" fontId="2" fillId="8" borderId="0" xfId="0" applyFont="1" applyFill="1" applyBorder="1"/>
    <xf numFmtId="171" fontId="0" fillId="8" borderId="0" xfId="1" applyNumberFormat="1" applyFont="1" applyFill="1" applyBorder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172" fontId="15" fillId="8" borderId="0" xfId="0" applyNumberFormat="1" applyFont="1" applyFill="1" applyBorder="1" applyAlignment="1">
      <alignment horizontal="center"/>
    </xf>
    <xf numFmtId="0" fontId="2" fillId="8" borderId="13" xfId="0" applyFont="1" applyFill="1" applyBorder="1" applyAlignment="1">
      <alignment horizontal="left"/>
    </xf>
    <xf numFmtId="0" fontId="2" fillId="8" borderId="13" xfId="0" applyFont="1" applyFill="1" applyBorder="1" applyAlignment="1">
      <alignment horizontal="center"/>
    </xf>
    <xf numFmtId="172" fontId="2" fillId="0" borderId="0" xfId="0" applyNumberFormat="1" applyFont="1" applyFill="1" applyBorder="1" applyAlignment="1">
      <alignment horizontal="center"/>
    </xf>
    <xf numFmtId="0" fontId="15" fillId="8" borderId="3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172" fontId="15" fillId="8" borderId="6" xfId="0" applyNumberFormat="1" applyFont="1" applyFill="1" applyBorder="1" applyAlignment="1">
      <alignment horizontal="center"/>
    </xf>
    <xf numFmtId="0" fontId="15" fillId="8" borderId="11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168" fontId="0" fillId="8" borderId="6" xfId="1" applyNumberFormat="1" applyFont="1" applyFill="1" applyBorder="1" applyAlignment="1">
      <alignment horizontal="right"/>
    </xf>
    <xf numFmtId="165" fontId="0" fillId="8" borderId="6" xfId="2" applyNumberFormat="1" applyFont="1" applyFill="1" applyBorder="1" applyAlignment="1">
      <alignment horizontal="right"/>
    </xf>
    <xf numFmtId="0" fontId="0" fillId="8" borderId="6" xfId="0" applyFont="1" applyFill="1" applyBorder="1" applyAlignment="1">
      <alignment horizontal="right"/>
    </xf>
    <xf numFmtId="44" fontId="0" fillId="8" borderId="6" xfId="0" applyNumberFormat="1" applyFont="1" applyFill="1" applyBorder="1" applyAlignment="1">
      <alignment horizontal="right"/>
    </xf>
    <xf numFmtId="171" fontId="0" fillId="8" borderId="6" xfId="1" applyNumberFormat="1" applyFont="1" applyFill="1" applyBorder="1" applyAlignment="1">
      <alignment horizontal="right"/>
    </xf>
    <xf numFmtId="171" fontId="0" fillId="8" borderId="6" xfId="1" applyNumberFormat="1" applyFont="1" applyFill="1" applyBorder="1"/>
    <xf numFmtId="0" fontId="0" fillId="8" borderId="8" xfId="0" applyFont="1" applyFill="1" applyBorder="1"/>
    <xf numFmtId="0" fontId="0" fillId="8" borderId="9" xfId="0" applyFont="1" applyFill="1" applyBorder="1"/>
    <xf numFmtId="0" fontId="15" fillId="8" borderId="5" xfId="0" applyFont="1" applyFill="1" applyBorder="1"/>
    <xf numFmtId="0" fontId="17" fillId="8" borderId="7" xfId="0" applyFont="1" applyFill="1" applyBorder="1" applyAlignment="1">
      <alignment horizontal="left" indent="1"/>
    </xf>
    <xf numFmtId="0" fontId="17" fillId="0" borderId="0" xfId="0" applyFont="1"/>
    <xf numFmtId="0" fontId="15" fillId="8" borderId="14" xfId="0" applyFont="1" applyFill="1" applyBorder="1"/>
    <xf numFmtId="172" fontId="2" fillId="0" borderId="0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wrapText="1"/>
    </xf>
    <xf numFmtId="166" fontId="5" fillId="0" borderId="0" xfId="4" applyNumberFormat="1" applyFont="1" applyFill="1"/>
    <xf numFmtId="166" fontId="0" fillId="0" borderId="0" xfId="4" applyNumberFormat="1" applyFont="1" applyFill="1"/>
    <xf numFmtId="166" fontId="0" fillId="0" borderId="1" xfId="4" applyNumberFormat="1" applyFont="1" applyFill="1" applyBorder="1"/>
    <xf numFmtId="0" fontId="2" fillId="8" borderId="2" xfId="0" applyFont="1" applyFill="1" applyBorder="1"/>
    <xf numFmtId="0" fontId="2" fillId="8" borderId="5" xfId="0" applyFont="1" applyFill="1" applyBorder="1"/>
    <xf numFmtId="0" fontId="2" fillId="8" borderId="12" xfId="0" applyFont="1" applyFill="1" applyBorder="1"/>
    <xf numFmtId="0" fontId="2" fillId="8" borderId="15" xfId="0" applyFont="1" applyFill="1" applyBorder="1" applyAlignment="1">
      <alignment horizontal="left"/>
    </xf>
    <xf numFmtId="0" fontId="0" fillId="8" borderId="5" xfId="0" applyFont="1" applyFill="1" applyBorder="1"/>
    <xf numFmtId="0" fontId="2" fillId="8" borderId="5" xfId="0" applyFont="1" applyFill="1" applyBorder="1" applyAlignment="1">
      <alignment horizontal="left"/>
    </xf>
    <xf numFmtId="0" fontId="2" fillId="8" borderId="5" xfId="0" applyFont="1" applyFill="1" applyBorder="1" applyAlignment="1">
      <alignment horizontal="left" indent="1"/>
    </xf>
    <xf numFmtId="0" fontId="2" fillId="8" borderId="5" xfId="0" applyFont="1" applyFill="1" applyBorder="1" applyAlignment="1">
      <alignment wrapText="1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8">
    <cellStyle name="Comma" xfId="4" builtinId="3"/>
    <cellStyle name="Comma 2" xfId="7" xr:uid="{00000000-0005-0000-0000-000001000000}"/>
    <cellStyle name="Comma 2 2" xfId="3" xr:uid="{00000000-0005-0000-0000-000002000000}"/>
    <cellStyle name="Currency" xfId="1" builtinId="4"/>
    <cellStyle name="Normal" xfId="0" builtinId="0"/>
    <cellStyle name="Normal 2" xfId="5" xr:uid="{00000000-0005-0000-0000-000005000000}"/>
    <cellStyle name="Normal 5" xfId="6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4</xdr:col>
      <xdr:colOff>533730</xdr:colOff>
      <xdr:row>12</xdr:row>
      <xdr:rowOff>181133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05E3F4-E93B-438C-AB1E-22BB1AE16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333500"/>
          <a:ext cx="2362530" cy="11336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opLeftCell="D64" zoomScaleNormal="100" workbookViewId="0">
      <selection activeCell="I86" sqref="I86"/>
    </sheetView>
  </sheetViews>
  <sheetFormatPr defaultRowHeight="15" x14ac:dyDescent="0.25"/>
  <cols>
    <col min="1" max="1" width="35.140625" customWidth="1"/>
    <col min="2" max="2" width="17" bestFit="1" customWidth="1"/>
    <col min="3" max="9" width="16.28515625" bestFit="1" customWidth="1"/>
    <col min="10" max="10" width="18" bestFit="1" customWidth="1"/>
    <col min="12" max="12" width="15.28515625" bestFit="1" customWidth="1"/>
    <col min="13" max="13" width="16.140625" bestFit="1" customWidth="1"/>
  </cols>
  <sheetData>
    <row r="1" spans="1:10" x14ac:dyDescent="0.25">
      <c r="A1" s="14" t="s">
        <v>112</v>
      </c>
      <c r="B1" s="84"/>
      <c r="C1" s="119" t="s">
        <v>0</v>
      </c>
      <c r="D1" s="119" t="s">
        <v>1</v>
      </c>
      <c r="E1" s="119" t="s">
        <v>2</v>
      </c>
      <c r="F1" s="119" t="s">
        <v>3</v>
      </c>
      <c r="G1" s="119" t="s">
        <v>4</v>
      </c>
      <c r="H1" s="119" t="s">
        <v>5</v>
      </c>
      <c r="I1" s="119" t="s">
        <v>6</v>
      </c>
      <c r="J1" s="85"/>
    </row>
    <row r="2" spans="1:10" x14ac:dyDescent="0.25">
      <c r="A2" s="120" t="s">
        <v>21</v>
      </c>
      <c r="B2" s="2" t="s">
        <v>20</v>
      </c>
      <c r="C2" s="2">
        <v>2020</v>
      </c>
      <c r="D2" s="2">
        <v>2021</v>
      </c>
      <c r="E2" s="2">
        <v>2022</v>
      </c>
      <c r="F2" s="2">
        <v>2023</v>
      </c>
      <c r="G2" s="2">
        <v>2024</v>
      </c>
      <c r="H2" s="2">
        <v>2025</v>
      </c>
      <c r="I2" s="2">
        <v>2026</v>
      </c>
      <c r="J2" s="121" t="s">
        <v>7</v>
      </c>
    </row>
    <row r="3" spans="1:10" x14ac:dyDescent="0.25">
      <c r="A3" s="87"/>
      <c r="B3" s="19"/>
      <c r="C3" s="19"/>
      <c r="D3" s="19"/>
      <c r="E3" s="19"/>
      <c r="F3" s="19"/>
      <c r="G3" s="19"/>
      <c r="H3" s="19"/>
      <c r="I3" s="19"/>
      <c r="J3" s="88"/>
    </row>
    <row r="4" spans="1:10" x14ac:dyDescent="0.25">
      <c r="A4" s="97">
        <v>352</v>
      </c>
      <c r="B4" s="98">
        <v>2.4E-2</v>
      </c>
      <c r="C4" s="124">
        <v>0</v>
      </c>
      <c r="D4" s="124">
        <v>0</v>
      </c>
      <c r="E4" s="124">
        <v>0</v>
      </c>
      <c r="F4" s="124">
        <v>2300385</v>
      </c>
      <c r="G4" s="124">
        <v>2844940</v>
      </c>
      <c r="H4" s="124">
        <v>0</v>
      </c>
      <c r="I4" s="124">
        <v>2632615</v>
      </c>
      <c r="J4" s="99">
        <f t="shared" ref="J4:J14" si="0">SUM(C4:I4)</f>
        <v>7777940</v>
      </c>
    </row>
    <row r="5" spans="1:10" x14ac:dyDescent="0.25">
      <c r="A5" s="97">
        <v>353</v>
      </c>
      <c r="B5" s="98">
        <v>2.53E-2</v>
      </c>
      <c r="C5" s="124">
        <v>13086185</v>
      </c>
      <c r="D5" s="124">
        <v>23282721</v>
      </c>
      <c r="E5" s="124">
        <v>23096878</v>
      </c>
      <c r="F5" s="124">
        <v>22073157</v>
      </c>
      <c r="G5" s="124">
        <v>19302400</v>
      </c>
      <c r="H5" s="124">
        <v>18910703</v>
      </c>
      <c r="I5" s="124">
        <v>20407195</v>
      </c>
      <c r="J5" s="99">
        <f t="shared" si="0"/>
        <v>140159239</v>
      </c>
    </row>
    <row r="6" spans="1:10" x14ac:dyDescent="0.25">
      <c r="A6" s="97">
        <v>354</v>
      </c>
      <c r="B6" s="98">
        <v>1.37E-2</v>
      </c>
      <c r="C6" s="124">
        <v>1138320</v>
      </c>
      <c r="D6" s="124">
        <v>1111147</v>
      </c>
      <c r="E6" s="124">
        <v>1082432</v>
      </c>
      <c r="F6" s="124">
        <v>850792</v>
      </c>
      <c r="G6" s="124">
        <v>0</v>
      </c>
      <c r="H6" s="124">
        <v>0</v>
      </c>
      <c r="I6" s="124">
        <v>0</v>
      </c>
      <c r="J6" s="99">
        <f t="shared" si="0"/>
        <v>4182691</v>
      </c>
    </row>
    <row r="7" spans="1:10" x14ac:dyDescent="0.25">
      <c r="A7" s="97">
        <v>356</v>
      </c>
      <c r="B7" s="98">
        <v>1.2E-2</v>
      </c>
      <c r="C7" s="124">
        <v>4765917</v>
      </c>
      <c r="D7" s="124">
        <v>6881909</v>
      </c>
      <c r="E7" s="124">
        <v>9502181</v>
      </c>
      <c r="F7" s="124">
        <v>11200958</v>
      </c>
      <c r="G7" s="124">
        <v>11497320</v>
      </c>
      <c r="H7" s="124">
        <v>10679473</v>
      </c>
      <c r="I7" s="124">
        <v>7601921</v>
      </c>
      <c r="J7" s="99">
        <f t="shared" si="0"/>
        <v>62129679</v>
      </c>
    </row>
    <row r="8" spans="1:10" x14ac:dyDescent="0.25">
      <c r="A8" s="97">
        <v>362</v>
      </c>
      <c r="B8" s="98">
        <v>1.61E-2</v>
      </c>
      <c r="C8" s="124">
        <v>14464491</v>
      </c>
      <c r="D8" s="124">
        <v>18238306</v>
      </c>
      <c r="E8" s="124">
        <v>38188065</v>
      </c>
      <c r="F8" s="124">
        <v>49360077</v>
      </c>
      <c r="G8" s="124">
        <v>24862471</v>
      </c>
      <c r="H8" s="124">
        <v>46056450</v>
      </c>
      <c r="I8" s="124">
        <v>32554912</v>
      </c>
      <c r="J8" s="99">
        <f t="shared" si="0"/>
        <v>223724772</v>
      </c>
    </row>
    <row r="9" spans="1:10" x14ac:dyDescent="0.25">
      <c r="A9" s="97">
        <v>364</v>
      </c>
      <c r="B9" s="98">
        <v>2.06E-2</v>
      </c>
      <c r="C9" s="124">
        <v>38840307</v>
      </c>
      <c r="D9" s="124">
        <v>34045377</v>
      </c>
      <c r="E9" s="124">
        <v>48575575</v>
      </c>
      <c r="F9" s="124">
        <v>51532990</v>
      </c>
      <c r="G9" s="124">
        <v>45186799</v>
      </c>
      <c r="H9" s="124">
        <v>50911206</v>
      </c>
      <c r="I9" s="124">
        <v>46089921</v>
      </c>
      <c r="J9" s="99">
        <f t="shared" si="0"/>
        <v>315182175</v>
      </c>
    </row>
    <row r="10" spans="1:10" x14ac:dyDescent="0.25">
      <c r="A10" s="97">
        <v>365</v>
      </c>
      <c r="B10" s="98">
        <v>2.35E-2</v>
      </c>
      <c r="C10" s="124">
        <v>28751270</v>
      </c>
      <c r="D10" s="124">
        <v>27770545</v>
      </c>
      <c r="E10" s="124">
        <v>26261619</v>
      </c>
      <c r="F10" s="124">
        <v>27341367</v>
      </c>
      <c r="G10" s="124">
        <v>25828401</v>
      </c>
      <c r="H10" s="124">
        <v>27691011</v>
      </c>
      <c r="I10" s="124">
        <v>26614313</v>
      </c>
      <c r="J10" s="99">
        <f t="shared" si="0"/>
        <v>190258526</v>
      </c>
    </row>
    <row r="11" spans="1:10" x14ac:dyDescent="0.25">
      <c r="A11" s="97">
        <v>366</v>
      </c>
      <c r="B11" s="98">
        <v>2.6200000000000001E-2</v>
      </c>
      <c r="C11" s="124">
        <v>2250626</v>
      </c>
      <c r="D11" s="124">
        <v>2346455</v>
      </c>
      <c r="E11" s="124">
        <v>2405220</v>
      </c>
      <c r="F11" s="124">
        <v>2690012</v>
      </c>
      <c r="G11" s="124">
        <v>1809774</v>
      </c>
      <c r="H11" s="124">
        <v>2715591</v>
      </c>
      <c r="I11" s="124">
        <v>2769903</v>
      </c>
      <c r="J11" s="99">
        <f t="shared" si="0"/>
        <v>16987581</v>
      </c>
    </row>
    <row r="12" spans="1:10" x14ac:dyDescent="0.25">
      <c r="A12" s="97">
        <v>367</v>
      </c>
      <c r="B12" s="98">
        <v>2.5499999999999998E-2</v>
      </c>
      <c r="C12" s="124">
        <v>13966103</v>
      </c>
      <c r="D12" s="124">
        <v>13412619</v>
      </c>
      <c r="E12" s="124">
        <v>14443018</v>
      </c>
      <c r="F12" s="124">
        <v>14226294</v>
      </c>
      <c r="G12" s="124">
        <v>14093313</v>
      </c>
      <c r="H12" s="124">
        <v>14938612</v>
      </c>
      <c r="I12" s="124">
        <v>14497783</v>
      </c>
      <c r="J12" s="99">
        <f t="shared" si="0"/>
        <v>99577742</v>
      </c>
    </row>
    <row r="13" spans="1:10" x14ac:dyDescent="0.25">
      <c r="A13" s="97">
        <v>368</v>
      </c>
      <c r="B13" s="98">
        <v>6.4999999999999997E-3</v>
      </c>
      <c r="C13" s="124">
        <v>12444690</v>
      </c>
      <c r="D13" s="124">
        <v>12199537</v>
      </c>
      <c r="E13" s="124">
        <v>16064537</v>
      </c>
      <c r="F13" s="124">
        <v>17391656</v>
      </c>
      <c r="G13" s="124">
        <v>15317570</v>
      </c>
      <c r="H13" s="124">
        <v>16878734</v>
      </c>
      <c r="I13" s="124">
        <v>15583312</v>
      </c>
      <c r="J13" s="99">
        <f t="shared" si="0"/>
        <v>105880036</v>
      </c>
    </row>
    <row r="14" spans="1:10" x14ac:dyDescent="0.25">
      <c r="A14" s="97">
        <v>370.01</v>
      </c>
      <c r="B14" s="98">
        <v>0.19350000000000001</v>
      </c>
      <c r="C14" s="125">
        <v>10735674</v>
      </c>
      <c r="D14" s="125">
        <v>10950388</v>
      </c>
      <c r="E14" s="125">
        <v>11169395</v>
      </c>
      <c r="F14" s="125">
        <v>11392783</v>
      </c>
      <c r="G14" s="125">
        <v>11620639</v>
      </c>
      <c r="H14" s="125">
        <v>0</v>
      </c>
      <c r="I14" s="125">
        <v>0</v>
      </c>
      <c r="J14" s="100">
        <f t="shared" si="0"/>
        <v>55868879</v>
      </c>
    </row>
    <row r="15" spans="1:10" ht="15.75" thickBot="1" x14ac:dyDescent="0.3">
      <c r="A15" s="101"/>
      <c r="B15" s="23"/>
      <c r="C15" s="102">
        <f t="shared" ref="C15:J15" si="1">SUM(C4:C14)</f>
        <v>140443583</v>
      </c>
      <c r="D15" s="102">
        <f t="shared" si="1"/>
        <v>150239004</v>
      </c>
      <c r="E15" s="102">
        <f t="shared" si="1"/>
        <v>190788920</v>
      </c>
      <c r="F15" s="102">
        <f t="shared" si="1"/>
        <v>210360471</v>
      </c>
      <c r="G15" s="102">
        <f t="shared" si="1"/>
        <v>172363627</v>
      </c>
      <c r="H15" s="102">
        <f t="shared" si="1"/>
        <v>188781780</v>
      </c>
      <c r="I15" s="102">
        <f t="shared" si="1"/>
        <v>168751875</v>
      </c>
      <c r="J15" s="103">
        <f t="shared" si="1"/>
        <v>1221729260</v>
      </c>
    </row>
    <row r="16" spans="1:10" hidden="1" x14ac:dyDescent="0.25">
      <c r="A16" s="87"/>
      <c r="B16" s="19"/>
      <c r="C16" s="19"/>
      <c r="D16" s="19"/>
      <c r="E16" s="19"/>
      <c r="F16" s="19"/>
      <c r="G16" s="19"/>
      <c r="H16" s="19"/>
      <c r="I16" s="19"/>
      <c r="J16" s="88"/>
    </row>
    <row r="17" spans="1:13" hidden="1" x14ac:dyDescent="0.25">
      <c r="A17" s="18" t="s">
        <v>37</v>
      </c>
      <c r="B17" s="19"/>
      <c r="C17" s="53">
        <f t="shared" ref="C17:J17" si="2">SUM(C4:C7)</f>
        <v>18990422</v>
      </c>
      <c r="D17" s="53">
        <f t="shared" si="2"/>
        <v>31275777</v>
      </c>
      <c r="E17" s="53">
        <f t="shared" si="2"/>
        <v>33681491</v>
      </c>
      <c r="F17" s="53">
        <f t="shared" si="2"/>
        <v>36425292</v>
      </c>
      <c r="G17" s="53">
        <f t="shared" si="2"/>
        <v>33644660</v>
      </c>
      <c r="H17" s="53">
        <f t="shared" si="2"/>
        <v>29590176</v>
      </c>
      <c r="I17" s="53">
        <f t="shared" si="2"/>
        <v>30641731</v>
      </c>
      <c r="J17" s="99">
        <f t="shared" si="2"/>
        <v>214249549</v>
      </c>
      <c r="L17" s="8"/>
      <c r="M17" s="8"/>
    </row>
    <row r="18" spans="1:13" hidden="1" x14ac:dyDescent="0.25">
      <c r="A18" s="18" t="s">
        <v>26</v>
      </c>
      <c r="B18" s="19"/>
      <c r="C18" s="6">
        <f t="shared" ref="C18:J18" si="3">SUM(C8:C14)</f>
        <v>121453161</v>
      </c>
      <c r="D18" s="6">
        <f t="shared" si="3"/>
        <v>118963227</v>
      </c>
      <c r="E18" s="6">
        <f t="shared" si="3"/>
        <v>157107429</v>
      </c>
      <c r="F18" s="6">
        <f t="shared" si="3"/>
        <v>173935179</v>
      </c>
      <c r="G18" s="6">
        <f t="shared" si="3"/>
        <v>138718967</v>
      </c>
      <c r="H18" s="6">
        <f t="shared" si="3"/>
        <v>159191604</v>
      </c>
      <c r="I18" s="6">
        <f t="shared" si="3"/>
        <v>138110144</v>
      </c>
      <c r="J18" s="100">
        <f t="shared" si="3"/>
        <v>1007479711</v>
      </c>
      <c r="L18" s="8"/>
      <c r="M18" s="8"/>
    </row>
    <row r="19" spans="1:13" hidden="1" x14ac:dyDescent="0.25">
      <c r="A19" s="18"/>
      <c r="B19" s="19"/>
      <c r="C19" s="53">
        <f>SUM(C17:C18)</f>
        <v>140443583</v>
      </c>
      <c r="D19" s="53">
        <f t="shared" ref="D19:J19" si="4">SUM(D17:D18)</f>
        <v>150239004</v>
      </c>
      <c r="E19" s="53">
        <f t="shared" si="4"/>
        <v>190788920</v>
      </c>
      <c r="F19" s="53">
        <f t="shared" si="4"/>
        <v>210360471</v>
      </c>
      <c r="G19" s="53">
        <f t="shared" si="4"/>
        <v>172363627</v>
      </c>
      <c r="H19" s="53">
        <f t="shared" si="4"/>
        <v>188781780</v>
      </c>
      <c r="I19" s="53">
        <f t="shared" si="4"/>
        <v>168751875</v>
      </c>
      <c r="J19" s="99">
        <f t="shared" si="4"/>
        <v>1221729260</v>
      </c>
      <c r="L19" s="8"/>
      <c r="M19" s="8"/>
    </row>
    <row r="20" spans="1:13" hidden="1" x14ac:dyDescent="0.25">
      <c r="A20" s="18"/>
      <c r="B20" s="19"/>
      <c r="C20" s="53"/>
      <c r="D20" s="53"/>
      <c r="E20" s="53"/>
      <c r="F20" s="53"/>
      <c r="G20" s="53"/>
      <c r="H20" s="53"/>
      <c r="I20" s="53"/>
      <c r="J20" s="99"/>
      <c r="L20" s="8"/>
      <c r="M20" s="8"/>
    </row>
    <row r="21" spans="1:13" hidden="1" x14ac:dyDescent="0.25">
      <c r="A21" s="18" t="s">
        <v>38</v>
      </c>
      <c r="B21" s="19"/>
      <c r="C21" s="53">
        <f>+C17</f>
        <v>18990422</v>
      </c>
      <c r="D21" s="53">
        <f>+C21+D17</f>
        <v>50266199</v>
      </c>
      <c r="E21" s="53">
        <f t="shared" ref="E21:I21" si="5">+D21+E17</f>
        <v>83947690</v>
      </c>
      <c r="F21" s="53">
        <f t="shared" si="5"/>
        <v>120372982</v>
      </c>
      <c r="G21" s="53">
        <f t="shared" si="5"/>
        <v>154017642</v>
      </c>
      <c r="H21" s="53">
        <f t="shared" si="5"/>
        <v>183607818</v>
      </c>
      <c r="I21" s="53">
        <f t="shared" si="5"/>
        <v>214249549</v>
      </c>
      <c r="J21" s="99"/>
      <c r="L21" s="8"/>
      <c r="M21" s="8"/>
    </row>
    <row r="22" spans="1:13" hidden="1" x14ac:dyDescent="0.25">
      <c r="A22" s="18" t="s">
        <v>27</v>
      </c>
      <c r="B22" s="19"/>
      <c r="C22" s="6">
        <f>+C18</f>
        <v>121453161</v>
      </c>
      <c r="D22" s="6">
        <f>+C22+D18</f>
        <v>240416388</v>
      </c>
      <c r="E22" s="6">
        <f t="shared" ref="E22:I22" si="6">+D22+E18</f>
        <v>397523817</v>
      </c>
      <c r="F22" s="6">
        <f t="shared" si="6"/>
        <v>571458996</v>
      </c>
      <c r="G22" s="6">
        <f t="shared" si="6"/>
        <v>710177963</v>
      </c>
      <c r="H22" s="6">
        <f t="shared" si="6"/>
        <v>869369567</v>
      </c>
      <c r="I22" s="6">
        <f t="shared" si="6"/>
        <v>1007479711</v>
      </c>
      <c r="J22" s="99"/>
      <c r="L22" s="8"/>
      <c r="M22" s="8"/>
    </row>
    <row r="23" spans="1:13" hidden="1" x14ac:dyDescent="0.25">
      <c r="A23" s="18"/>
      <c r="B23" s="19"/>
      <c r="C23" s="53">
        <f>SUM(C21:C22)</f>
        <v>140443583</v>
      </c>
      <c r="D23" s="53">
        <f t="shared" ref="D23" si="7">SUM(D21:D22)</f>
        <v>290682587</v>
      </c>
      <c r="E23" s="53">
        <f t="shared" ref="E23" si="8">SUM(E21:E22)</f>
        <v>481471507</v>
      </c>
      <c r="F23" s="53">
        <f t="shared" ref="F23" si="9">SUM(F21:F22)</f>
        <v>691831978</v>
      </c>
      <c r="G23" s="53">
        <f t="shared" ref="G23" si="10">SUM(G21:G22)</f>
        <v>864195605</v>
      </c>
      <c r="H23" s="53">
        <f t="shared" ref="H23" si="11">SUM(H21:H22)</f>
        <v>1052977385</v>
      </c>
      <c r="I23" s="53">
        <f t="shared" ref="I23" si="12">SUM(I21:I22)</f>
        <v>1221729260</v>
      </c>
      <c r="J23" s="99"/>
      <c r="L23" s="8"/>
      <c r="M23" s="8"/>
    </row>
    <row r="24" spans="1:13" hidden="1" x14ac:dyDescent="0.25">
      <c r="A24" s="18"/>
      <c r="B24" s="19"/>
      <c r="C24" s="53"/>
      <c r="D24" s="53"/>
      <c r="E24" s="53"/>
      <c r="F24" s="53"/>
      <c r="G24" s="53"/>
      <c r="H24" s="53"/>
      <c r="I24" s="53"/>
      <c r="J24" s="99"/>
      <c r="L24" s="8"/>
      <c r="M24" s="8"/>
    </row>
    <row r="25" spans="1:13" hidden="1" x14ac:dyDescent="0.25">
      <c r="A25" s="18" t="s">
        <v>38</v>
      </c>
      <c r="B25" s="19"/>
      <c r="C25" s="92">
        <f>+C21/C23</f>
        <v>0.13521744172533678</v>
      </c>
      <c r="D25" s="92">
        <f t="shared" ref="D25:I25" si="13">+D21/D23</f>
        <v>0.17292469947640862</v>
      </c>
      <c r="E25" s="92">
        <f t="shared" si="13"/>
        <v>0.17435650662501198</v>
      </c>
      <c r="F25" s="92">
        <f t="shared" si="13"/>
        <v>0.17399164223079611</v>
      </c>
      <c r="G25" s="92">
        <f t="shared" si="13"/>
        <v>0.17822081147936408</v>
      </c>
      <c r="H25" s="92">
        <f t="shared" si="13"/>
        <v>0.17437014376144461</v>
      </c>
      <c r="I25" s="92">
        <f t="shared" si="13"/>
        <v>0.17536581631842066</v>
      </c>
      <c r="J25" s="99"/>
      <c r="L25" s="8"/>
      <c r="M25" s="8"/>
    </row>
    <row r="26" spans="1:13" hidden="1" x14ac:dyDescent="0.25">
      <c r="A26" s="18" t="s">
        <v>27</v>
      </c>
      <c r="B26" s="19"/>
      <c r="C26" s="26">
        <f>+C22/C23</f>
        <v>0.86478255827466322</v>
      </c>
      <c r="D26" s="26">
        <f t="shared" ref="D26:I26" si="14">+D22/D23</f>
        <v>0.82707530052359135</v>
      </c>
      <c r="E26" s="26">
        <f t="shared" si="14"/>
        <v>0.82564349337498799</v>
      </c>
      <c r="F26" s="26">
        <f t="shared" si="14"/>
        <v>0.82600835776920389</v>
      </c>
      <c r="G26" s="26">
        <f t="shared" si="14"/>
        <v>0.82177918852063592</v>
      </c>
      <c r="H26" s="26">
        <f t="shared" si="14"/>
        <v>0.82562985623855545</v>
      </c>
      <c r="I26" s="26">
        <f t="shared" si="14"/>
        <v>0.82463418368157937</v>
      </c>
      <c r="J26" s="99"/>
      <c r="L26" s="8"/>
      <c r="M26" s="8"/>
    </row>
    <row r="27" spans="1:13" ht="15.75" hidden="1" thickBot="1" x14ac:dyDescent="0.3">
      <c r="A27" s="22"/>
      <c r="B27" s="23"/>
      <c r="C27" s="24">
        <f>SUM(C25:C26)</f>
        <v>1</v>
      </c>
      <c r="D27" s="24">
        <f t="shared" ref="D27:I27" si="15">SUM(D25:D26)</f>
        <v>1</v>
      </c>
      <c r="E27" s="24">
        <f t="shared" si="15"/>
        <v>1</v>
      </c>
      <c r="F27" s="24">
        <f t="shared" si="15"/>
        <v>1</v>
      </c>
      <c r="G27" s="24">
        <f t="shared" si="15"/>
        <v>1</v>
      </c>
      <c r="H27" s="24">
        <f t="shared" si="15"/>
        <v>1</v>
      </c>
      <c r="I27" s="24">
        <f t="shared" si="15"/>
        <v>1</v>
      </c>
      <c r="J27" s="103"/>
      <c r="L27" s="8"/>
      <c r="M27" s="8"/>
    </row>
    <row r="28" spans="1:13" ht="15.75" thickBot="1" x14ac:dyDescent="0.3"/>
    <row r="29" spans="1:13" x14ac:dyDescent="0.25">
      <c r="A29" s="14" t="s">
        <v>8</v>
      </c>
      <c r="B29" s="84"/>
      <c r="C29" s="84"/>
      <c r="D29" s="84"/>
      <c r="E29" s="84"/>
      <c r="F29" s="84"/>
      <c r="G29" s="84"/>
      <c r="H29" s="84"/>
      <c r="I29" s="84"/>
      <c r="J29" s="85"/>
    </row>
    <row r="30" spans="1:13" x14ac:dyDescent="0.25">
      <c r="A30" s="97">
        <v>352</v>
      </c>
      <c r="B30" s="98">
        <v>2.4E-2</v>
      </c>
      <c r="C30" s="53">
        <f t="shared" ref="C30:C40" si="16">+C4*$B4*0.5</f>
        <v>0</v>
      </c>
      <c r="D30" s="53">
        <f>+D4*$B4*0.5+SUM($C4:C4)*$B4</f>
        <v>0</v>
      </c>
      <c r="E30" s="53">
        <f>+E4*$B4*0.5+SUM($C4:D4)*$B4</f>
        <v>0</v>
      </c>
      <c r="F30" s="53">
        <f>+F4*$B4*0.5+SUM($C4:E4)*$B4</f>
        <v>27604.62</v>
      </c>
      <c r="G30" s="53">
        <f>+G4*$B4*0.5+SUM($C4:F4)*$B4</f>
        <v>89348.51999999999</v>
      </c>
      <c r="H30" s="53">
        <f>+H4*$B4*0.5+SUM($C4:G4)*$B4</f>
        <v>123487.8</v>
      </c>
      <c r="I30" s="53">
        <f>+I4*$B4*0.5+SUM($C4:H4)*$B4</f>
        <v>155079.18</v>
      </c>
      <c r="J30" s="99">
        <f t="shared" ref="J30:J40" si="17">SUM(C30:I30)</f>
        <v>395520.12</v>
      </c>
    </row>
    <row r="31" spans="1:13" x14ac:dyDescent="0.25">
      <c r="A31" s="97">
        <v>353</v>
      </c>
      <c r="B31" s="98">
        <v>2.53E-2</v>
      </c>
      <c r="C31" s="53">
        <f t="shared" si="16"/>
        <v>165540.24025</v>
      </c>
      <c r="D31" s="53">
        <f>+D5*$B5*0.5+SUM($C5:C5)*$B5</f>
        <v>625606.90115000005</v>
      </c>
      <c r="E31" s="53">
        <f>+E5*$B5*0.5+SUM($C5:D5)*$B5</f>
        <v>1212308.8285000001</v>
      </c>
      <c r="F31" s="53">
        <f>+F5*$B5*0.5+SUM($C5:E5)*$B5</f>
        <v>1783709.7712500002</v>
      </c>
      <c r="G31" s="53">
        <f>+G5*$B5*0.5+SUM($C5:F5)*$B5</f>
        <v>2307110.5672999998</v>
      </c>
      <c r="H31" s="53">
        <f>+H5*$B5*0.5+SUM($C5:G5)*$B5</f>
        <v>2790506.3202499999</v>
      </c>
      <c r="I31" s="53">
        <f>+I5*$B5*0.5+SUM($C5:H5)*$B5</f>
        <v>3287877.7299500001</v>
      </c>
      <c r="J31" s="99">
        <f t="shared" si="17"/>
        <v>12172660.358649999</v>
      </c>
    </row>
    <row r="32" spans="1:13" x14ac:dyDescent="0.25">
      <c r="A32" s="97">
        <v>354</v>
      </c>
      <c r="B32" s="98">
        <v>1.37E-2</v>
      </c>
      <c r="C32" s="53">
        <f t="shared" si="16"/>
        <v>7797.4920000000002</v>
      </c>
      <c r="D32" s="53">
        <f>+D6*$B6*0.5+SUM($C6:C6)*$B6</f>
        <v>23206.340950000002</v>
      </c>
      <c r="E32" s="53">
        <f>+E6*$B6*0.5+SUM($C6:D6)*$B6</f>
        <v>38232.357100000001</v>
      </c>
      <c r="F32" s="53">
        <f>+F6*$B6*0.5+SUM($C6:E6)*$B6</f>
        <v>51474.941500000001</v>
      </c>
      <c r="G32" s="53">
        <f>+G6*$B6*0.5+SUM($C6:F6)*$B6</f>
        <v>57302.866699999999</v>
      </c>
      <c r="H32" s="53">
        <f>+H6*$B6*0.5+SUM($C6:G6)*$B6</f>
        <v>57302.866699999999</v>
      </c>
      <c r="I32" s="53">
        <f>+I6*$B6*0.5+SUM($C6:H6)*$B6</f>
        <v>57302.866699999999</v>
      </c>
      <c r="J32" s="99">
        <f t="shared" si="17"/>
        <v>292619.73165000003</v>
      </c>
    </row>
    <row r="33" spans="1:13" x14ac:dyDescent="0.25">
      <c r="A33" s="97">
        <v>356</v>
      </c>
      <c r="B33" s="98">
        <v>1.2E-2</v>
      </c>
      <c r="C33" s="53">
        <f t="shared" si="16"/>
        <v>28595.502</v>
      </c>
      <c r="D33" s="53">
        <f>+D7*$B7*0.5+SUM($C7:C7)*$B7</f>
        <v>98482.457999999999</v>
      </c>
      <c r="E33" s="53">
        <f>+E7*$B7*0.5+SUM($C7:D7)*$B7</f>
        <v>196786.99800000002</v>
      </c>
      <c r="F33" s="53">
        <f>+F7*$B7*0.5+SUM($C7:E7)*$B7</f>
        <v>321005.83199999999</v>
      </c>
      <c r="G33" s="53">
        <f>+G7*$B7*0.5+SUM($C7:F7)*$B7</f>
        <v>457195.5</v>
      </c>
      <c r="H33" s="53">
        <f>+H7*$B7*0.5+SUM($C7:G7)*$B7</f>
        <v>590256.25800000003</v>
      </c>
      <c r="I33" s="53">
        <f>+I7*$B7*0.5+SUM($C7:H7)*$B7</f>
        <v>699944.62199999997</v>
      </c>
      <c r="J33" s="99">
        <f t="shared" si="17"/>
        <v>2392267.17</v>
      </c>
    </row>
    <row r="34" spans="1:13" x14ac:dyDescent="0.25">
      <c r="A34" s="97">
        <v>362</v>
      </c>
      <c r="B34" s="98">
        <v>1.61E-2</v>
      </c>
      <c r="C34" s="53">
        <f t="shared" si="16"/>
        <v>116439.15255</v>
      </c>
      <c r="D34" s="53">
        <f>+D8*$B8*0.5+SUM($C8:C8)*$B8</f>
        <v>379696.66839999997</v>
      </c>
      <c r="E34" s="53">
        <f>+E8*$B8*0.5+SUM($C8:D8)*$B8</f>
        <v>833928.95494999993</v>
      </c>
      <c r="F34" s="53">
        <f>+F8*$B8*0.5+SUM($C8:E8)*$B8</f>
        <v>1538691.4980500001</v>
      </c>
      <c r="G34" s="53">
        <f>+G8*$B8*0.5+SUM($C8:F8)*$B8</f>
        <v>2136183.0094499998</v>
      </c>
      <c r="H34" s="53">
        <f>+H8*$B8*0.5+SUM($C8:G8)*$B8</f>
        <v>2707080.3234999999</v>
      </c>
      <c r="I34" s="53">
        <f>+I8*$B8*0.5+SUM($C8:H8)*$B8</f>
        <v>3339901.7875999999</v>
      </c>
      <c r="J34" s="99">
        <f t="shared" si="17"/>
        <v>11051921.394499999</v>
      </c>
    </row>
    <row r="35" spans="1:13" x14ac:dyDescent="0.25">
      <c r="A35" s="97">
        <v>364</v>
      </c>
      <c r="B35" s="98">
        <v>2.06E-2</v>
      </c>
      <c r="C35" s="53">
        <f t="shared" si="16"/>
        <v>400055.16210000002</v>
      </c>
      <c r="D35" s="53">
        <f>+D9*$B9*0.5+SUM($C9:C9)*$B9</f>
        <v>1150777.7072999999</v>
      </c>
      <c r="E35" s="53">
        <f>+E9*$B9*0.5+SUM($C9:D9)*$B9</f>
        <v>2001773.5129</v>
      </c>
      <c r="F35" s="53">
        <f>+F9*$B9*0.5+SUM($C9:E9)*$B9</f>
        <v>3032891.7324000001</v>
      </c>
      <c r="G35" s="53">
        <f>+G9*$B9*0.5+SUM($C9:F9)*$B9</f>
        <v>4029105.5590999997</v>
      </c>
      <c r="H35" s="53">
        <f>+H9*$B9*0.5+SUM($C9:G9)*$B9</f>
        <v>5018915.0105999997</v>
      </c>
      <c r="I35" s="53">
        <f>+I9*$B9*0.5+SUM($C9:H9)*$B9</f>
        <v>6018026.6187000005</v>
      </c>
      <c r="J35" s="99">
        <f t="shared" si="17"/>
        <v>21651545.303100001</v>
      </c>
    </row>
    <row r="36" spans="1:13" x14ac:dyDescent="0.25">
      <c r="A36" s="97">
        <v>365</v>
      </c>
      <c r="B36" s="98">
        <v>2.35E-2</v>
      </c>
      <c r="C36" s="53">
        <f t="shared" si="16"/>
        <v>337827.42249999999</v>
      </c>
      <c r="D36" s="53">
        <f>+D10*$B10*0.5+SUM($C10:C10)*$B10</f>
        <v>1001958.74875</v>
      </c>
      <c r="E36" s="53">
        <f>+E10*$B10*0.5+SUM($C10:D10)*$B10</f>
        <v>1636836.6757500002</v>
      </c>
      <c r="F36" s="53">
        <f>+F10*$B10*0.5+SUM($C10:E10)*$B10</f>
        <v>2266671.76125</v>
      </c>
      <c r="G36" s="53">
        <f>+G10*$B10*0.5+SUM($C10:F10)*$B10</f>
        <v>2891416.5352499997</v>
      </c>
      <c r="H36" s="53">
        <f>+H10*$B10*0.5+SUM($C10:G10)*$B10</f>
        <v>3520269.6262499997</v>
      </c>
      <c r="I36" s="53">
        <f>+I10*$B10*0.5+SUM($C10:H10)*$B10</f>
        <v>4158357.1832499998</v>
      </c>
      <c r="J36" s="99">
        <f t="shared" si="17"/>
        <v>15813337.952999998</v>
      </c>
    </row>
    <row r="37" spans="1:13" x14ac:dyDescent="0.25">
      <c r="A37" s="97">
        <v>366</v>
      </c>
      <c r="B37" s="98">
        <v>2.6200000000000001E-2</v>
      </c>
      <c r="C37" s="53">
        <f t="shared" si="16"/>
        <v>29483.2006</v>
      </c>
      <c r="D37" s="53">
        <f>+D11*$B11*0.5+SUM($C11:C11)*$B11</f>
        <v>89704.9617</v>
      </c>
      <c r="E37" s="53">
        <f>+E11*$B11*0.5+SUM($C11:D11)*$B11</f>
        <v>151951.90420000002</v>
      </c>
      <c r="F37" s="53">
        <f>+F11*$B11*0.5+SUM($C11:E11)*$B11</f>
        <v>218699.44339999999</v>
      </c>
      <c r="G37" s="53">
        <f>+G11*$B11*0.5+SUM($C11:F11)*$B11</f>
        <v>277646.64</v>
      </c>
      <c r="H37" s="53">
        <f>+H11*$B11*0.5+SUM($C11:G11)*$B11</f>
        <v>336928.92150000005</v>
      </c>
      <c r="I37" s="53">
        <f>+I11*$B11*0.5+SUM($C11:H11)*$B11</f>
        <v>408788.89290000004</v>
      </c>
      <c r="J37" s="99">
        <f t="shared" si="17"/>
        <v>1513203.9643000003</v>
      </c>
    </row>
    <row r="38" spans="1:13" x14ac:dyDescent="0.25">
      <c r="A38" s="97">
        <v>367</v>
      </c>
      <c r="B38" s="98">
        <v>2.5499999999999998E-2</v>
      </c>
      <c r="C38" s="53">
        <f t="shared" si="16"/>
        <v>178067.81324999998</v>
      </c>
      <c r="D38" s="53">
        <f>+D12*$B12*0.5+SUM($C12:C12)*$B12</f>
        <v>527146.51874999993</v>
      </c>
      <c r="E38" s="53">
        <f>+E12*$B12*0.5+SUM($C12:D12)*$B12</f>
        <v>882305.89049999998</v>
      </c>
      <c r="F38" s="53">
        <f>+F12*$B12*0.5+SUM($C12:E12)*$B12</f>
        <v>1247839.6184999999</v>
      </c>
      <c r="G38" s="53">
        <f>+G12*$B12*0.5+SUM($C12:F12)*$B12</f>
        <v>1608914.60775</v>
      </c>
      <c r="H38" s="53">
        <f>+H12*$B12*0.5+SUM($C12:G12)*$B12</f>
        <v>1979071.6514999999</v>
      </c>
      <c r="I38" s="53">
        <f>+I12*$B12*0.5+SUM($C12:H12)*$B12</f>
        <v>2354385.68775</v>
      </c>
      <c r="J38" s="99">
        <f t="shared" si="17"/>
        <v>8777731.7880000006</v>
      </c>
    </row>
    <row r="39" spans="1:13" x14ac:dyDescent="0.25">
      <c r="A39" s="97">
        <v>368</v>
      </c>
      <c r="B39" s="98">
        <v>6.4999999999999997E-3</v>
      </c>
      <c r="C39" s="53">
        <f t="shared" si="16"/>
        <v>40445.2425</v>
      </c>
      <c r="D39" s="53">
        <f>+D13*$B13*0.5+SUM($C13:C13)*$B13</f>
        <v>120538.98024999999</v>
      </c>
      <c r="E39" s="53">
        <f>+E13*$B13*0.5+SUM($C13:D13)*$B13</f>
        <v>212397.22075000001</v>
      </c>
      <c r="F39" s="53">
        <f>+F13*$B13*0.5+SUM($C13:E13)*$B13</f>
        <v>321129.848</v>
      </c>
      <c r="G39" s="53">
        <f>+G13*$B13*0.5+SUM($C13:F13)*$B13</f>
        <v>427434.83249999996</v>
      </c>
      <c r="H39" s="53">
        <f>+H13*$B13*0.5+SUM($C13:G13)*$B13</f>
        <v>532072.82050000003</v>
      </c>
      <c r="I39" s="53">
        <f>+I13*$B13*0.5+SUM($C13:H13)*$B13</f>
        <v>637574.47</v>
      </c>
      <c r="J39" s="99">
        <f t="shared" si="17"/>
        <v>2291593.4145</v>
      </c>
    </row>
    <row r="40" spans="1:13" x14ac:dyDescent="0.25">
      <c r="A40" s="97">
        <v>370.01</v>
      </c>
      <c r="B40" s="98">
        <v>0.19350000000000001</v>
      </c>
      <c r="C40" s="6">
        <f t="shared" si="16"/>
        <v>1038676.4595</v>
      </c>
      <c r="D40" s="6">
        <f>+D14*$B14*0.5+SUM($C14:C14)*$B14</f>
        <v>3136802.9580000001</v>
      </c>
      <c r="E40" s="6">
        <f>+E14*$B14*0.5+SUM($C14:D14)*$B14</f>
        <v>5276891.96325</v>
      </c>
      <c r="F40" s="6">
        <f>+F14*$B14*0.5+SUM($C14:E14)*$B14</f>
        <v>7459782.68475</v>
      </c>
      <c r="G40" s="6">
        <f>+G14*$B14*0.5+SUM($C14:F14)*$B14</f>
        <v>9686331.2632499989</v>
      </c>
      <c r="H40" s="6">
        <f>+H14*$B14*0.5+SUM($C14:G14)*$B14</f>
        <v>10810628.0865</v>
      </c>
      <c r="I40" s="6">
        <f>+I14*$B14*0.5+SUM($C14:H14)*$B14</f>
        <v>10810628.0865</v>
      </c>
      <c r="J40" s="100">
        <f t="shared" si="17"/>
        <v>48219741.501750007</v>
      </c>
    </row>
    <row r="41" spans="1:13" ht="15.75" thickBot="1" x14ac:dyDescent="0.3">
      <c r="A41" s="101"/>
      <c r="B41" s="23"/>
      <c r="C41" s="102">
        <f t="shared" ref="C41:J41" si="18">SUM(C30:C40)</f>
        <v>2342927.68725</v>
      </c>
      <c r="D41" s="102">
        <f t="shared" si="18"/>
        <v>7153922.2432499994</v>
      </c>
      <c r="E41" s="102">
        <f t="shared" si="18"/>
        <v>12443414.3059</v>
      </c>
      <c r="F41" s="102">
        <f t="shared" si="18"/>
        <v>18269501.7511</v>
      </c>
      <c r="G41" s="102">
        <f t="shared" si="18"/>
        <v>23967989.901299998</v>
      </c>
      <c r="H41" s="102">
        <f t="shared" si="18"/>
        <v>28466519.6853</v>
      </c>
      <c r="I41" s="102">
        <f t="shared" si="18"/>
        <v>31927867.125349998</v>
      </c>
      <c r="J41" s="103">
        <f t="shared" si="18"/>
        <v>124572142.69944999</v>
      </c>
      <c r="M41" s="8"/>
    </row>
    <row r="42" spans="1:13" ht="15.75" thickBot="1" x14ac:dyDescent="0.3"/>
    <row r="43" spans="1:13" x14ac:dyDescent="0.25">
      <c r="A43" s="14" t="s">
        <v>76</v>
      </c>
      <c r="B43" s="84"/>
      <c r="C43" s="114"/>
      <c r="D43" s="115"/>
      <c r="E43" s="115"/>
      <c r="F43" s="115"/>
      <c r="G43" s="115"/>
      <c r="H43" s="115"/>
      <c r="I43" s="116"/>
    </row>
    <row r="44" spans="1:13" x14ac:dyDescent="0.25">
      <c r="A44" s="18" t="s">
        <v>9</v>
      </c>
      <c r="B44" s="19"/>
      <c r="C44" s="20">
        <f>+C15-C41</f>
        <v>138100655.31275001</v>
      </c>
      <c r="D44" s="20">
        <f t="shared" ref="D44:I44" si="19">+C44+D15-D41</f>
        <v>281185737.06949997</v>
      </c>
      <c r="E44" s="20">
        <f t="shared" si="19"/>
        <v>459531242.76359999</v>
      </c>
      <c r="F44" s="20">
        <f t="shared" si="19"/>
        <v>651622212.01250005</v>
      </c>
      <c r="G44" s="20">
        <f t="shared" si="19"/>
        <v>800017849.11120009</v>
      </c>
      <c r="H44" s="20">
        <f t="shared" si="19"/>
        <v>960333109.4259001</v>
      </c>
      <c r="I44" s="21">
        <f t="shared" si="19"/>
        <v>1097157117.30055</v>
      </c>
      <c r="J44" s="8"/>
    </row>
    <row r="45" spans="1:13" x14ac:dyDescent="0.25">
      <c r="A45" s="18" t="s">
        <v>10</v>
      </c>
      <c r="B45" s="19"/>
      <c r="C45" s="30">
        <v>6.6500000000000004E-2</v>
      </c>
      <c r="D45" s="30">
        <v>6.6500000000000004E-2</v>
      </c>
      <c r="E45" s="30">
        <v>6.6500000000000004E-2</v>
      </c>
      <c r="F45" s="30">
        <v>6.6500000000000004E-2</v>
      </c>
      <c r="G45" s="30">
        <v>6.6500000000000004E-2</v>
      </c>
      <c r="H45" s="30">
        <v>6.6500000000000004E-2</v>
      </c>
      <c r="I45" s="117">
        <v>6.6500000000000004E-2</v>
      </c>
    </row>
    <row r="46" spans="1:13" x14ac:dyDescent="0.25">
      <c r="A46" s="18" t="s">
        <v>13</v>
      </c>
      <c r="B46" s="19"/>
      <c r="C46" s="53">
        <f>+C44*C45</f>
        <v>9183693.5782978758</v>
      </c>
      <c r="D46" s="53">
        <f t="shared" ref="D46:I46" si="20">+D44*D45</f>
        <v>18698851.515121751</v>
      </c>
      <c r="E46" s="53">
        <f t="shared" si="20"/>
        <v>30558827.643779401</v>
      </c>
      <c r="F46" s="53">
        <f t="shared" si="20"/>
        <v>43332877.098831259</v>
      </c>
      <c r="G46" s="53">
        <f t="shared" si="20"/>
        <v>53201186.965894811</v>
      </c>
      <c r="H46" s="53">
        <f t="shared" si="20"/>
        <v>63862151.776822358</v>
      </c>
      <c r="I46" s="99">
        <f t="shared" si="20"/>
        <v>72960948.30048658</v>
      </c>
    </row>
    <row r="47" spans="1:13" x14ac:dyDescent="0.25">
      <c r="A47" s="18" t="s">
        <v>11</v>
      </c>
      <c r="B47" s="19"/>
      <c r="C47" s="31">
        <v>1.2376799999999999</v>
      </c>
      <c r="D47" s="31">
        <v>1.2376799999999999</v>
      </c>
      <c r="E47" s="31">
        <v>1.2376799999999999</v>
      </c>
      <c r="F47" s="31">
        <v>1.2376799999999999</v>
      </c>
      <c r="G47" s="31">
        <v>1.2376799999999999</v>
      </c>
      <c r="H47" s="31">
        <v>1.2376799999999999</v>
      </c>
      <c r="I47" s="118">
        <v>1.2376799999999999</v>
      </c>
    </row>
    <row r="48" spans="1:13" ht="15.75" thickBot="1" x14ac:dyDescent="0.3">
      <c r="A48" s="22" t="s">
        <v>12</v>
      </c>
      <c r="B48" s="23"/>
      <c r="C48" s="102">
        <f>+C46*C47</f>
        <v>11366473.867987715</v>
      </c>
      <c r="D48" s="102">
        <f t="shared" ref="D48:I48" si="21">+D46*D47</f>
        <v>23143194.543235887</v>
      </c>
      <c r="E48" s="102">
        <f t="shared" si="21"/>
        <v>37822049.798152886</v>
      </c>
      <c r="F48" s="102">
        <f t="shared" si="21"/>
        <v>53632235.327681467</v>
      </c>
      <c r="G48" s="102">
        <f t="shared" si="21"/>
        <v>65846045.083948687</v>
      </c>
      <c r="H48" s="102">
        <f t="shared" si="21"/>
        <v>79040908.011137486</v>
      </c>
      <c r="I48" s="103">
        <f t="shared" si="21"/>
        <v>90302306.492546216</v>
      </c>
    </row>
    <row r="49" spans="1:9" ht="15.75" thickBot="1" x14ac:dyDescent="0.3"/>
    <row r="50" spans="1:9" x14ac:dyDescent="0.25">
      <c r="A50" s="14" t="s">
        <v>42</v>
      </c>
      <c r="B50" s="84"/>
      <c r="C50" s="84"/>
      <c r="D50" s="84"/>
      <c r="E50" s="84"/>
      <c r="F50" s="84"/>
      <c r="G50" s="84"/>
      <c r="H50" s="84"/>
      <c r="I50" s="85"/>
    </row>
    <row r="51" spans="1:9" x14ac:dyDescent="0.25">
      <c r="A51" s="18" t="s">
        <v>40</v>
      </c>
      <c r="B51" s="19"/>
      <c r="C51" s="86"/>
      <c r="D51" s="20">
        <f t="shared" ref="D51:I51" si="22">+C23</f>
        <v>140443583</v>
      </c>
      <c r="E51" s="20">
        <f t="shared" si="22"/>
        <v>290682587</v>
      </c>
      <c r="F51" s="20">
        <f t="shared" si="22"/>
        <v>481471507</v>
      </c>
      <c r="G51" s="20">
        <f t="shared" si="22"/>
        <v>691831978</v>
      </c>
      <c r="H51" s="20">
        <f t="shared" si="22"/>
        <v>864195605</v>
      </c>
      <c r="I51" s="21">
        <f t="shared" si="22"/>
        <v>1052977385</v>
      </c>
    </row>
    <row r="52" spans="1:9" x14ac:dyDescent="0.25">
      <c r="A52" s="18" t="s">
        <v>45</v>
      </c>
      <c r="B52" s="19"/>
      <c r="C52" s="86"/>
      <c r="D52" s="104">
        <v>6794122.1553742904</v>
      </c>
      <c r="E52" s="104">
        <v>26699858.742650628</v>
      </c>
      <c r="F52" s="104">
        <v>60125320.36816334</v>
      </c>
      <c r="G52" s="104">
        <v>107926832.32829306</v>
      </c>
      <c r="H52" s="104">
        <v>168021015.57877326</v>
      </c>
      <c r="I52" s="105">
        <v>237455705.3089186</v>
      </c>
    </row>
    <row r="53" spans="1:9" x14ac:dyDescent="0.25">
      <c r="A53" s="18" t="s">
        <v>43</v>
      </c>
      <c r="B53" s="19"/>
      <c r="C53" s="86"/>
      <c r="D53" s="20">
        <f>+D51-D52</f>
        <v>133649460.84462571</v>
      </c>
      <c r="E53" s="20">
        <f t="shared" ref="E53:I53" si="23">+E51-E52</f>
        <v>263982728.25734937</v>
      </c>
      <c r="F53" s="20">
        <f t="shared" si="23"/>
        <v>421346186.63183665</v>
      </c>
      <c r="G53" s="20">
        <f t="shared" si="23"/>
        <v>583905145.67170691</v>
      </c>
      <c r="H53" s="20">
        <f t="shared" si="23"/>
        <v>696174589.42122674</v>
      </c>
      <c r="I53" s="21">
        <f t="shared" si="23"/>
        <v>815521679.6910814</v>
      </c>
    </row>
    <row r="54" spans="1:9" x14ac:dyDescent="0.25">
      <c r="A54" s="87"/>
      <c r="B54" s="19"/>
      <c r="C54" s="86"/>
      <c r="D54" s="19"/>
      <c r="E54" s="19"/>
      <c r="F54" s="19"/>
      <c r="G54" s="19"/>
      <c r="H54" s="19"/>
      <c r="I54" s="88"/>
    </row>
    <row r="55" spans="1:9" x14ac:dyDescent="0.25">
      <c r="A55" s="18" t="s">
        <v>41</v>
      </c>
      <c r="B55" s="19"/>
      <c r="C55" s="86"/>
      <c r="D55" s="20">
        <f t="shared" ref="D55:I55" si="24">+C19</f>
        <v>140443583</v>
      </c>
      <c r="E55" s="20">
        <f t="shared" si="24"/>
        <v>150239004</v>
      </c>
      <c r="F55" s="20">
        <f t="shared" si="24"/>
        <v>190788920</v>
      </c>
      <c r="G55" s="20">
        <f t="shared" si="24"/>
        <v>210360471</v>
      </c>
      <c r="H55" s="20">
        <f t="shared" si="24"/>
        <v>172363627</v>
      </c>
      <c r="I55" s="21">
        <f t="shared" si="24"/>
        <v>188781780</v>
      </c>
    </row>
    <row r="56" spans="1:9" x14ac:dyDescent="0.25">
      <c r="A56" s="89" t="s">
        <v>46</v>
      </c>
      <c r="B56" s="19"/>
      <c r="C56" s="86"/>
      <c r="D56" s="104">
        <v>6794122.1553742904</v>
      </c>
      <c r="E56" s="104">
        <v>7190430.6159697771</v>
      </c>
      <c r="F56" s="104">
        <v>8822800.144542858</v>
      </c>
      <c r="G56" s="104">
        <v>9549795.5894209146</v>
      </c>
      <c r="H56" s="104">
        <v>8201829.2250231868</v>
      </c>
      <c r="I56" s="105">
        <v>7552826.4185131723</v>
      </c>
    </row>
    <row r="57" spans="1:9" ht="30" x14ac:dyDescent="0.25">
      <c r="A57" s="89" t="s">
        <v>44</v>
      </c>
      <c r="B57" s="19"/>
      <c r="C57" s="86"/>
      <c r="D57" s="20">
        <f>+D55-D56</f>
        <v>133649460.84462571</v>
      </c>
      <c r="E57" s="20">
        <f t="shared" ref="E57:I57" si="25">+E55-E56</f>
        <v>143048573.38403022</v>
      </c>
      <c r="F57" s="20">
        <f t="shared" si="25"/>
        <v>181966119.85545713</v>
      </c>
      <c r="G57" s="20">
        <f t="shared" si="25"/>
        <v>200810675.41057909</v>
      </c>
      <c r="H57" s="20">
        <f t="shared" si="25"/>
        <v>164161797.77497682</v>
      </c>
      <c r="I57" s="21">
        <f t="shared" si="25"/>
        <v>181228953.58148682</v>
      </c>
    </row>
    <row r="58" spans="1:9" x14ac:dyDescent="0.25">
      <c r="A58" s="89"/>
      <c r="B58" s="19"/>
      <c r="C58" s="86"/>
      <c r="D58" s="26">
        <v>0.6</v>
      </c>
      <c r="E58" s="26">
        <v>0.6</v>
      </c>
      <c r="F58" s="26">
        <v>0.6</v>
      </c>
      <c r="G58" s="26">
        <v>0.6</v>
      </c>
      <c r="H58" s="26">
        <v>0.6</v>
      </c>
      <c r="I58" s="90">
        <v>0.6</v>
      </c>
    </row>
    <row r="59" spans="1:9" x14ac:dyDescent="0.25">
      <c r="A59" s="89" t="s">
        <v>47</v>
      </c>
      <c r="B59" s="19"/>
      <c r="C59" s="86"/>
      <c r="D59" s="20">
        <f>+D57*D58</f>
        <v>80189676.506775424</v>
      </c>
      <c r="E59" s="20">
        <f t="shared" ref="E59:I59" si="26">+E57*E58</f>
        <v>85829144.030418128</v>
      </c>
      <c r="F59" s="20">
        <f t="shared" si="26"/>
        <v>109179671.91327427</v>
      </c>
      <c r="G59" s="20">
        <f t="shared" si="26"/>
        <v>120486405.24634744</v>
      </c>
      <c r="H59" s="20">
        <f t="shared" si="26"/>
        <v>98497078.664986089</v>
      </c>
      <c r="I59" s="21">
        <f t="shared" si="26"/>
        <v>108737372.14889209</v>
      </c>
    </row>
    <row r="60" spans="1:9" x14ac:dyDescent="0.25">
      <c r="A60" s="89" t="s">
        <v>48</v>
      </c>
      <c r="B60" s="19"/>
      <c r="C60" s="86"/>
      <c r="D60" s="20">
        <f>+D53-D59</f>
        <v>53459784.337850288</v>
      </c>
      <c r="E60" s="20">
        <f t="shared" ref="E60:I60" si="27">+E53-E59</f>
        <v>178153584.22693124</v>
      </c>
      <c r="F60" s="20">
        <f t="shared" si="27"/>
        <v>312166514.71856236</v>
      </c>
      <c r="G60" s="20">
        <f t="shared" si="27"/>
        <v>463418740.42535949</v>
      </c>
      <c r="H60" s="20">
        <f t="shared" si="27"/>
        <v>597677510.75624061</v>
      </c>
      <c r="I60" s="21">
        <f t="shared" si="27"/>
        <v>706784307.54218936</v>
      </c>
    </row>
    <row r="61" spans="1:9" x14ac:dyDescent="0.25">
      <c r="A61" s="89" t="s">
        <v>49</v>
      </c>
      <c r="B61" s="19"/>
      <c r="C61" s="91"/>
      <c r="D61" s="92">
        <v>0.03</v>
      </c>
      <c r="E61" s="92">
        <v>0.03</v>
      </c>
      <c r="F61" s="92">
        <v>0.03</v>
      </c>
      <c r="G61" s="92">
        <v>0.03</v>
      </c>
      <c r="H61" s="92">
        <v>0.03</v>
      </c>
      <c r="I61" s="93">
        <v>0.03</v>
      </c>
    </row>
    <row r="62" spans="1:9" ht="15.75" thickBot="1" x14ac:dyDescent="0.3">
      <c r="A62" s="22" t="s">
        <v>23</v>
      </c>
      <c r="B62" s="23"/>
      <c r="C62" s="94">
        <v>0</v>
      </c>
      <c r="D62" s="95">
        <f>+D60*D61</f>
        <v>1603793.5301355086</v>
      </c>
      <c r="E62" s="95">
        <f t="shared" ref="E62:I62" si="28">+E60*E61</f>
        <v>5344607.5268079368</v>
      </c>
      <c r="F62" s="95">
        <f t="shared" si="28"/>
        <v>9364995.4415568709</v>
      </c>
      <c r="G62" s="95">
        <f t="shared" si="28"/>
        <v>13902562.212760784</v>
      </c>
      <c r="H62" s="95">
        <f t="shared" si="28"/>
        <v>17930325.322687216</v>
      </c>
      <c r="I62" s="96">
        <f t="shared" si="28"/>
        <v>21203529.22626568</v>
      </c>
    </row>
    <row r="63" spans="1:9" x14ac:dyDescent="0.25">
      <c r="A63" s="11"/>
      <c r="C63" s="61"/>
      <c r="D63" s="9"/>
      <c r="E63" s="9"/>
      <c r="F63" s="9"/>
      <c r="G63" s="9"/>
      <c r="H63" s="9"/>
      <c r="I63" s="9"/>
    </row>
    <row r="64" spans="1:9" x14ac:dyDescent="0.25">
      <c r="A64" s="7" t="s">
        <v>23</v>
      </c>
      <c r="C64" s="33">
        <f t="shared" ref="C64:I64" si="29">+C62</f>
        <v>0</v>
      </c>
      <c r="D64" s="33">
        <f t="shared" si="29"/>
        <v>1603793.5301355086</v>
      </c>
      <c r="E64" s="33">
        <f t="shared" si="29"/>
        <v>5344607.5268079368</v>
      </c>
      <c r="F64" s="33">
        <f t="shared" si="29"/>
        <v>9364995.4415568709</v>
      </c>
      <c r="G64" s="33">
        <f t="shared" si="29"/>
        <v>13902562.212760784</v>
      </c>
      <c r="H64" s="33">
        <f t="shared" si="29"/>
        <v>17930325.322687216</v>
      </c>
      <c r="I64" s="33">
        <f t="shared" si="29"/>
        <v>21203529.22626568</v>
      </c>
    </row>
    <row r="65" spans="1:9" x14ac:dyDescent="0.25">
      <c r="A65" s="7" t="s">
        <v>14</v>
      </c>
      <c r="C65" s="8">
        <f t="shared" ref="C65:I65" si="30">+C41</f>
        <v>2342927.68725</v>
      </c>
      <c r="D65" s="8">
        <f t="shared" si="30"/>
        <v>7153922.2432499994</v>
      </c>
      <c r="E65" s="8">
        <f t="shared" si="30"/>
        <v>12443414.3059</v>
      </c>
      <c r="F65" s="8">
        <f t="shared" si="30"/>
        <v>18269501.7511</v>
      </c>
      <c r="G65" s="8">
        <f t="shared" si="30"/>
        <v>23967989.901299998</v>
      </c>
      <c r="H65" s="8">
        <f t="shared" si="30"/>
        <v>28466519.6853</v>
      </c>
      <c r="I65" s="8">
        <f t="shared" si="30"/>
        <v>31927867.125349998</v>
      </c>
    </row>
    <row r="66" spans="1:9" x14ac:dyDescent="0.25">
      <c r="A66" s="7" t="s">
        <v>15</v>
      </c>
      <c r="C66" s="35">
        <f>2100000/3</f>
        <v>700000</v>
      </c>
      <c r="D66" s="35">
        <f>+C66</f>
        <v>700000</v>
      </c>
      <c r="E66" s="35">
        <f>+C66</f>
        <v>700000</v>
      </c>
      <c r="F66" s="36">
        <v>0</v>
      </c>
      <c r="G66" s="36">
        <v>0</v>
      </c>
      <c r="H66" s="36">
        <v>0</v>
      </c>
      <c r="I66" s="36">
        <v>0</v>
      </c>
    </row>
    <row r="67" spans="1:9" x14ac:dyDescent="0.25">
      <c r="C67" s="8">
        <f>SUM(C64:C66)</f>
        <v>3042927.68725</v>
      </c>
      <c r="D67" s="8">
        <f>SUM(D64:D66)</f>
        <v>9457715.773385508</v>
      </c>
      <c r="E67" s="8">
        <f t="shared" ref="E67:I67" si="31">SUM(E64:E66)</f>
        <v>18488021.832707938</v>
      </c>
      <c r="F67" s="8">
        <f t="shared" si="31"/>
        <v>27634497.192656871</v>
      </c>
      <c r="G67" s="8">
        <f t="shared" si="31"/>
        <v>37870552.114060782</v>
      </c>
      <c r="H67" s="8">
        <f t="shared" si="31"/>
        <v>46396845.007987216</v>
      </c>
      <c r="I67" s="8">
        <f t="shared" si="31"/>
        <v>53131396.351615682</v>
      </c>
    </row>
    <row r="68" spans="1:9" x14ac:dyDescent="0.25">
      <c r="A68" s="7" t="s">
        <v>11</v>
      </c>
      <c r="C68" s="31">
        <v>1.0199400000000001</v>
      </c>
      <c r="D68" s="31">
        <v>1.0199400000000001</v>
      </c>
      <c r="E68" s="31">
        <v>1.0199400000000001</v>
      </c>
      <c r="F68" s="31">
        <v>1.0199400000000001</v>
      </c>
      <c r="G68" s="31">
        <v>1.0199400000000001</v>
      </c>
      <c r="H68" s="31">
        <v>1.0199400000000001</v>
      </c>
      <c r="I68" s="31">
        <v>1.0199400000000001</v>
      </c>
    </row>
    <row r="69" spans="1:9" x14ac:dyDescent="0.25">
      <c r="A69" s="7" t="s">
        <v>12</v>
      </c>
      <c r="C69" s="3">
        <f>+C67*C68</f>
        <v>3103603.6653337651</v>
      </c>
      <c r="D69" s="3">
        <f t="shared" ref="D69:I69" si="32">+D67*D68</f>
        <v>9646302.6259068158</v>
      </c>
      <c r="E69" s="3">
        <f t="shared" si="32"/>
        <v>18856672.988052137</v>
      </c>
      <c r="F69" s="3">
        <f t="shared" si="32"/>
        <v>28185529.06667845</v>
      </c>
      <c r="G69" s="3">
        <f t="shared" si="32"/>
        <v>38625690.923215158</v>
      </c>
      <c r="H69" s="3">
        <f t="shared" si="32"/>
        <v>47321998.097446486</v>
      </c>
      <c r="I69" s="3">
        <f t="shared" si="32"/>
        <v>54190836.394866906</v>
      </c>
    </row>
    <row r="71" spans="1:9" x14ac:dyDescent="0.25">
      <c r="A71" s="7" t="s">
        <v>16</v>
      </c>
      <c r="C71" s="8">
        <f t="shared" ref="C71:I71" si="33">+C48+C69</f>
        <v>14470077.533321479</v>
      </c>
      <c r="D71" s="8">
        <f t="shared" si="33"/>
        <v>32789497.169142701</v>
      </c>
      <c r="E71" s="8">
        <f t="shared" si="33"/>
        <v>56678722.786205024</v>
      </c>
      <c r="F71" s="8">
        <f t="shared" si="33"/>
        <v>81817764.394359916</v>
      </c>
      <c r="G71" s="8">
        <f t="shared" si="33"/>
        <v>104471736.00716385</v>
      </c>
      <c r="H71" s="8">
        <f t="shared" si="33"/>
        <v>126362906.10858397</v>
      </c>
      <c r="I71" s="8">
        <f t="shared" si="33"/>
        <v>144493142.88741311</v>
      </c>
    </row>
    <row r="72" spans="1:9" x14ac:dyDescent="0.25">
      <c r="A72" s="7" t="s">
        <v>19</v>
      </c>
      <c r="C72" s="8">
        <f>+C71-B71</f>
        <v>14470077.533321479</v>
      </c>
      <c r="D72" s="8">
        <f t="shared" ref="D72" si="34">+D71-C71</f>
        <v>18319419.635821223</v>
      </c>
      <c r="E72" s="8">
        <f t="shared" ref="E72" si="35">+E71-D71</f>
        <v>23889225.617062323</v>
      </c>
      <c r="F72" s="8">
        <f t="shared" ref="F72" si="36">+F71-E71</f>
        <v>25139041.608154893</v>
      </c>
      <c r="G72" s="8">
        <f t="shared" ref="G72" si="37">+G71-F71</f>
        <v>22653971.612803936</v>
      </c>
      <c r="H72" s="8">
        <f t="shared" ref="H72" si="38">+H71-G71</f>
        <v>21891170.101420119</v>
      </c>
      <c r="I72" s="8">
        <f t="shared" ref="I72" si="39">+I71-H71</f>
        <v>18130236.778829142</v>
      </c>
    </row>
    <row r="73" spans="1:9" x14ac:dyDescent="0.25">
      <c r="A73" s="7"/>
      <c r="C73" s="8"/>
      <c r="D73" s="8"/>
      <c r="E73" s="8"/>
      <c r="F73" s="8"/>
      <c r="G73" s="8"/>
      <c r="H73" s="8"/>
      <c r="I73" s="8"/>
    </row>
    <row r="74" spans="1:9" x14ac:dyDescent="0.25">
      <c r="A74" s="7" t="s">
        <v>28</v>
      </c>
      <c r="C74" s="8">
        <f>+C71*0.8</f>
        <v>11576062.026657185</v>
      </c>
      <c r="D74" s="8">
        <f t="shared" ref="D74:I74" si="40">+D71*0.8</f>
        <v>26231597.735314161</v>
      </c>
      <c r="E74" s="8">
        <f t="shared" si="40"/>
        <v>45342978.228964023</v>
      </c>
      <c r="F74" s="8">
        <f t="shared" si="40"/>
        <v>65454211.515487939</v>
      </c>
      <c r="G74" s="8">
        <f t="shared" si="40"/>
        <v>83577388.805731088</v>
      </c>
      <c r="H74" s="8">
        <f t="shared" si="40"/>
        <v>101090324.88686718</v>
      </c>
      <c r="I74" s="8">
        <f t="shared" si="40"/>
        <v>115594514.3099305</v>
      </c>
    </row>
    <row r="75" spans="1:9" x14ac:dyDescent="0.25">
      <c r="A75" s="7" t="s">
        <v>19</v>
      </c>
      <c r="C75" s="8">
        <f>+C74-B74</f>
        <v>11576062.026657185</v>
      </c>
      <c r="D75" s="8">
        <f t="shared" ref="D75:I75" si="41">+D74-C74</f>
        <v>14655535.708656976</v>
      </c>
      <c r="E75" s="8">
        <f t="shared" si="41"/>
        <v>19111380.493649863</v>
      </c>
      <c r="F75" s="8">
        <f t="shared" si="41"/>
        <v>20111233.286523916</v>
      </c>
      <c r="G75" s="8">
        <f t="shared" si="41"/>
        <v>18123177.290243149</v>
      </c>
      <c r="H75" s="8">
        <f t="shared" si="41"/>
        <v>17512936.081136093</v>
      </c>
      <c r="I75" s="8">
        <f t="shared" si="41"/>
        <v>14504189.423063323</v>
      </c>
    </row>
    <row r="76" spans="1:9" x14ac:dyDescent="0.25">
      <c r="A76" s="7"/>
      <c r="C76" s="8"/>
      <c r="D76" s="8"/>
      <c r="E76" s="8"/>
      <c r="F76" s="8"/>
      <c r="G76" s="8"/>
      <c r="H76" s="8"/>
      <c r="I76" s="8"/>
    </row>
    <row r="77" spans="1:9" x14ac:dyDescent="0.25">
      <c r="A77" s="7" t="s">
        <v>75</v>
      </c>
      <c r="C77" s="8">
        <f>+C71-C74</f>
        <v>2894015.5066642947</v>
      </c>
      <c r="D77" s="8">
        <f t="shared" ref="D77:I77" si="42">+D71-D74</f>
        <v>6557899.4338285401</v>
      </c>
      <c r="E77" s="8">
        <f t="shared" si="42"/>
        <v>11335744.557241</v>
      </c>
      <c r="F77" s="8">
        <f t="shared" si="42"/>
        <v>16363552.878871977</v>
      </c>
      <c r="G77" s="8">
        <f t="shared" si="42"/>
        <v>20894347.201432765</v>
      </c>
      <c r="H77" s="8">
        <f t="shared" si="42"/>
        <v>25272581.221716791</v>
      </c>
      <c r="I77" s="8">
        <f t="shared" si="42"/>
        <v>28898628.577482611</v>
      </c>
    </row>
    <row r="78" spans="1:9" x14ac:dyDescent="0.25">
      <c r="A78" s="7" t="s">
        <v>108</v>
      </c>
      <c r="C78" s="8">
        <f>+C77</f>
        <v>2894015.5066642947</v>
      </c>
      <c r="D78" s="8">
        <f>+C78+D77</f>
        <v>9451914.9404928349</v>
      </c>
      <c r="E78" s="8">
        <f t="shared" ref="E78:I78" si="43">+D78+E77</f>
        <v>20787659.497733835</v>
      </c>
      <c r="F78" s="8">
        <f t="shared" si="43"/>
        <v>37151212.376605809</v>
      </c>
      <c r="G78" s="8">
        <f t="shared" si="43"/>
        <v>58045559.578038573</v>
      </c>
      <c r="H78" s="8">
        <f t="shared" si="43"/>
        <v>83318140.799755365</v>
      </c>
      <c r="I78" s="8">
        <f t="shared" si="43"/>
        <v>112216769.37723798</v>
      </c>
    </row>
    <row r="79" spans="1:9" ht="15.75" thickBot="1" x14ac:dyDescent="0.3">
      <c r="A79" s="7"/>
      <c r="C79" s="46"/>
      <c r="D79" s="46"/>
      <c r="E79" s="46"/>
      <c r="F79" s="46"/>
      <c r="G79" s="46"/>
      <c r="H79" s="46"/>
      <c r="I79" s="46"/>
    </row>
    <row r="80" spans="1:9" x14ac:dyDescent="0.25">
      <c r="A80" s="14" t="s">
        <v>17</v>
      </c>
      <c r="B80" s="15">
        <v>1454646000</v>
      </c>
      <c r="C80" s="16">
        <f>+$B$80+C74</f>
        <v>1466222062.0266571</v>
      </c>
      <c r="D80" s="16">
        <f t="shared" ref="D80:I80" si="44">+$B$80+D74</f>
        <v>1480877597.7353141</v>
      </c>
      <c r="E80" s="16">
        <f t="shared" si="44"/>
        <v>1499988978.2289641</v>
      </c>
      <c r="F80" s="16">
        <f t="shared" si="44"/>
        <v>1520100211.5154879</v>
      </c>
      <c r="G80" s="16">
        <f t="shared" si="44"/>
        <v>1538223388.8057311</v>
      </c>
      <c r="H80" s="16">
        <f t="shared" si="44"/>
        <v>1555736324.8868673</v>
      </c>
      <c r="I80" s="17">
        <f t="shared" si="44"/>
        <v>1570240514.3099306</v>
      </c>
    </row>
    <row r="81" spans="1:9" x14ac:dyDescent="0.25">
      <c r="A81" s="18" t="s">
        <v>19</v>
      </c>
      <c r="B81" s="19"/>
      <c r="C81" s="20">
        <f>+C80-B80</f>
        <v>11576062.026657104</v>
      </c>
      <c r="D81" s="20">
        <f t="shared" ref="D81:I81" si="45">+D80-C80</f>
        <v>14655535.708657026</v>
      </c>
      <c r="E81" s="20">
        <f t="shared" si="45"/>
        <v>19111380.49364996</v>
      </c>
      <c r="F81" s="20">
        <f t="shared" si="45"/>
        <v>20111233.286523819</v>
      </c>
      <c r="G81" s="20">
        <f t="shared" si="45"/>
        <v>18123177.290243149</v>
      </c>
      <c r="H81" s="20">
        <f t="shared" si="45"/>
        <v>17512936.081136227</v>
      </c>
      <c r="I81" s="21">
        <f t="shared" si="45"/>
        <v>14504189.423063278</v>
      </c>
    </row>
    <row r="82" spans="1:9" ht="15.75" thickBot="1" x14ac:dyDescent="0.3">
      <c r="A82" s="22" t="s">
        <v>18</v>
      </c>
      <c r="B82" s="23"/>
      <c r="C82" s="24">
        <f>+C81/B80</f>
        <v>7.9579925470919417E-3</v>
      </c>
      <c r="D82" s="24">
        <f t="shared" ref="D82:I82" si="46">+D81/C80</f>
        <v>9.9954407236238791E-3</v>
      </c>
      <c r="E82" s="24">
        <f t="shared" si="46"/>
        <v>1.2905442369360393E-2</v>
      </c>
      <c r="F82" s="24">
        <f t="shared" si="46"/>
        <v>1.3407587374588003E-2</v>
      </c>
      <c r="G82" s="24">
        <f t="shared" si="46"/>
        <v>1.192235692946517E-2</v>
      </c>
      <c r="H82" s="24">
        <f t="shared" si="46"/>
        <v>1.1385170846175458E-2</v>
      </c>
      <c r="I82" s="25">
        <f t="shared" si="46"/>
        <v>9.3230383523493412E-3</v>
      </c>
    </row>
    <row r="83" spans="1:9" x14ac:dyDescent="0.25">
      <c r="I83" s="8"/>
    </row>
    <row r="84" spans="1:9" x14ac:dyDescent="0.25">
      <c r="I84" s="8"/>
    </row>
    <row r="85" spans="1:9" x14ac:dyDescent="0.25">
      <c r="A85" s="122" t="s">
        <v>110</v>
      </c>
      <c r="I85" s="8"/>
    </row>
    <row r="86" spans="1:9" x14ac:dyDescent="0.25">
      <c r="A86" s="7" t="s">
        <v>29</v>
      </c>
      <c r="C86" s="8">
        <f>+C74</f>
        <v>11576062.026657185</v>
      </c>
      <c r="D86" s="8">
        <f t="shared" ref="D86:I86" si="47">+D74</f>
        <v>26231597.735314161</v>
      </c>
      <c r="E86" s="8">
        <f t="shared" si="47"/>
        <v>45342978.228964023</v>
      </c>
      <c r="F86" s="8">
        <f t="shared" si="47"/>
        <v>65454211.515487939</v>
      </c>
      <c r="G86" s="8">
        <f t="shared" si="47"/>
        <v>83577388.805731088</v>
      </c>
      <c r="H86" s="8">
        <f t="shared" si="47"/>
        <v>101090324.88686718</v>
      </c>
      <c r="I86" s="8">
        <f t="shared" si="47"/>
        <v>115594514.3099305</v>
      </c>
    </row>
    <row r="87" spans="1:9" x14ac:dyDescent="0.25">
      <c r="A87" s="7" t="s">
        <v>30</v>
      </c>
      <c r="B87" s="5"/>
      <c r="C87" s="33">
        <f>+'Transmission Rev Req'!C72</f>
        <v>1502050.9648039816</v>
      </c>
      <c r="D87" s="33">
        <f>+'Transmission Rev Req'!D72</f>
        <v>4135047.418197982</v>
      </c>
      <c r="E87" s="33">
        <f>+'Transmission Rev Req'!E72</f>
        <v>7350521.3639578931</v>
      </c>
      <c r="F87" s="33">
        <f>+'Transmission Rev Req'!F72</f>
        <v>10766088.438762678</v>
      </c>
      <c r="G87" s="33">
        <f>+'Transmission Rev Req'!G72</f>
        <v>14042091.811220087</v>
      </c>
      <c r="H87" s="33">
        <f>+'Transmission Rev Req'!H72</f>
        <v>16900526.448130663</v>
      </c>
      <c r="I87" s="33">
        <f>+'Transmission Rev Req'!I72</f>
        <v>19648653.726388764</v>
      </c>
    </row>
    <row r="88" spans="1:9" x14ac:dyDescent="0.25">
      <c r="A88" s="7" t="s">
        <v>31</v>
      </c>
      <c r="C88" s="33">
        <f>+'Distribution Rev Req'!C72</f>
        <v>10074011.061853202</v>
      </c>
      <c r="D88" s="33">
        <f>+'Distribution Rev Req'!D72</f>
        <v>22096550.316903457</v>
      </c>
      <c r="E88" s="33">
        <f>+'Distribution Rev Req'!E72</f>
        <v>37992456.863653891</v>
      </c>
      <c r="F88" s="33">
        <f>+'Distribution Rev Req'!F72</f>
        <v>54688123.075578131</v>
      </c>
      <c r="G88" s="33">
        <f>+'Distribution Rev Req'!G72</f>
        <v>69535296.992426395</v>
      </c>
      <c r="H88" s="33">
        <f>+'Distribution Rev Req'!H72</f>
        <v>84189798.435235322</v>
      </c>
      <c r="I88" s="33">
        <f>+'Distribution Rev Req'!I72</f>
        <v>95945860.578823268</v>
      </c>
    </row>
    <row r="89" spans="1:9" x14ac:dyDescent="0.25">
      <c r="A89" s="7" t="s">
        <v>111</v>
      </c>
      <c r="C89" s="8">
        <f>+C86-C87-C88</f>
        <v>0</v>
      </c>
      <c r="D89" s="8">
        <f t="shared" ref="D89:I89" si="48">+D86-D87-D88</f>
        <v>2.1272152662277222E-4</v>
      </c>
      <c r="E89" s="8">
        <f t="shared" si="48"/>
        <v>1.3522431254386902E-3</v>
      </c>
      <c r="F89" s="8">
        <f t="shared" si="48"/>
        <v>1.1471286416053772E-3</v>
      </c>
      <c r="G89" s="8">
        <f t="shared" si="48"/>
        <v>2.0846128463745117E-3</v>
      </c>
      <c r="H89" s="8">
        <f t="shared" si="48"/>
        <v>3.5011917352676392E-3</v>
      </c>
      <c r="I89" s="8">
        <f t="shared" si="48"/>
        <v>4.7184675931930542E-3</v>
      </c>
    </row>
    <row r="90" spans="1:9" x14ac:dyDescent="0.25">
      <c r="A90" s="7"/>
      <c r="C90" s="8"/>
      <c r="D90" s="8"/>
      <c r="E90" s="8"/>
      <c r="F90" s="8"/>
      <c r="G90" s="8"/>
      <c r="H90" s="8"/>
      <c r="I90" s="8"/>
    </row>
    <row r="91" spans="1:9" x14ac:dyDescent="0.25">
      <c r="A91" s="7" t="s">
        <v>56</v>
      </c>
    </row>
    <row r="92" spans="1:9" x14ac:dyDescent="0.25">
      <c r="A92" s="52" t="s">
        <v>58</v>
      </c>
      <c r="C92" s="81">
        <v>0.40503841409696534</v>
      </c>
      <c r="D92" s="81">
        <v>0.40503841409696534</v>
      </c>
      <c r="E92" s="81">
        <v>0.40503841409696534</v>
      </c>
      <c r="F92" s="81">
        <v>0.40503841409696534</v>
      </c>
      <c r="G92" s="81">
        <v>0.40503841409696534</v>
      </c>
      <c r="H92" s="81">
        <v>0.40503841409696534</v>
      </c>
      <c r="I92" s="81">
        <v>0.40503841409696534</v>
      </c>
    </row>
    <row r="93" spans="1:9" x14ac:dyDescent="0.25">
      <c r="A93" s="52" t="s">
        <v>59</v>
      </c>
      <c r="C93" s="81">
        <v>0.15211848390798122</v>
      </c>
      <c r="D93" s="81">
        <v>0.15211848390798122</v>
      </c>
      <c r="E93" s="81">
        <v>0.15211848390798122</v>
      </c>
      <c r="F93" s="81">
        <v>0.15211848390798122</v>
      </c>
      <c r="G93" s="81">
        <v>0.15211848390798122</v>
      </c>
      <c r="H93" s="81">
        <v>0.15211848390798122</v>
      </c>
      <c r="I93" s="81">
        <v>0.15211848390798122</v>
      </c>
    </row>
    <row r="94" spans="1:9" x14ac:dyDescent="0.25">
      <c r="A94" s="52" t="s">
        <v>60</v>
      </c>
      <c r="C94" s="81">
        <v>0.25849894254118644</v>
      </c>
      <c r="D94" s="81">
        <v>0.25849894254118644</v>
      </c>
      <c r="E94" s="81">
        <v>0.25849894254118644</v>
      </c>
      <c r="F94" s="81">
        <v>0.25849894254118644</v>
      </c>
      <c r="G94" s="81">
        <v>0.25849894254118644</v>
      </c>
      <c r="H94" s="81">
        <v>0.25849894254118644</v>
      </c>
      <c r="I94" s="81">
        <v>0.25849894254118644</v>
      </c>
    </row>
    <row r="95" spans="1:9" x14ac:dyDescent="0.25">
      <c r="A95" s="52" t="s">
        <v>61</v>
      </c>
      <c r="C95" s="81">
        <v>0.18035889683746559</v>
      </c>
      <c r="D95" s="81">
        <v>0.18035889683746559</v>
      </c>
      <c r="E95" s="81">
        <v>0.18035889683746559</v>
      </c>
      <c r="F95" s="81">
        <v>0.18035889683746559</v>
      </c>
      <c r="G95" s="81">
        <v>0.18035889683746559</v>
      </c>
      <c r="H95" s="81">
        <v>0.18035889683746559</v>
      </c>
      <c r="I95" s="81">
        <v>0.18035889683746559</v>
      </c>
    </row>
    <row r="96" spans="1:9" x14ac:dyDescent="0.25">
      <c r="A96" s="52" t="s">
        <v>62</v>
      </c>
      <c r="C96" s="81">
        <v>3.985262616401376E-3</v>
      </c>
      <c r="D96" s="81">
        <v>3.985262616401376E-3</v>
      </c>
      <c r="E96" s="81">
        <v>3.985262616401376E-3</v>
      </c>
      <c r="F96" s="81">
        <v>3.985262616401376E-3</v>
      </c>
      <c r="G96" s="81">
        <v>3.985262616401376E-3</v>
      </c>
      <c r="H96" s="81">
        <v>3.985262616401376E-3</v>
      </c>
      <c r="I96" s="81">
        <v>3.985262616401376E-3</v>
      </c>
    </row>
    <row r="97" spans="1:9" x14ac:dyDescent="0.25">
      <c r="A97" s="52"/>
      <c r="C97" s="82"/>
      <c r="D97" s="83"/>
      <c r="E97" s="83"/>
      <c r="F97" s="83"/>
      <c r="G97" s="83"/>
      <c r="H97" s="83"/>
      <c r="I97" s="83"/>
    </row>
    <row r="98" spans="1:9" x14ac:dyDescent="0.25">
      <c r="A98" s="7" t="s">
        <v>57</v>
      </c>
      <c r="C98" s="83"/>
      <c r="D98" s="83"/>
      <c r="E98" s="83"/>
      <c r="F98" s="83"/>
      <c r="G98" s="83"/>
      <c r="H98" s="83"/>
      <c r="I98" s="83"/>
    </row>
    <row r="99" spans="1:9" x14ac:dyDescent="0.25">
      <c r="A99" s="52" t="s">
        <v>58</v>
      </c>
      <c r="C99" s="81">
        <v>0.57064108205754238</v>
      </c>
      <c r="D99" s="81">
        <v>0.57064108205754238</v>
      </c>
      <c r="E99" s="81">
        <v>0.57064108205754238</v>
      </c>
      <c r="F99" s="81">
        <v>0.57064108205754238</v>
      </c>
      <c r="G99" s="81">
        <v>0.57064108205754238</v>
      </c>
      <c r="H99" s="81">
        <v>0.57064108205754238</v>
      </c>
      <c r="I99" s="81">
        <v>0.57064108205754238</v>
      </c>
    </row>
    <row r="100" spans="1:9" x14ac:dyDescent="0.25">
      <c r="A100" s="52" t="s">
        <v>59</v>
      </c>
      <c r="C100" s="81">
        <v>0.15840165912817628</v>
      </c>
      <c r="D100" s="81">
        <v>0.15840165912817628</v>
      </c>
      <c r="E100" s="81">
        <v>0.15840165912817628</v>
      </c>
      <c r="F100" s="81">
        <v>0.15840165912817628</v>
      </c>
      <c r="G100" s="81">
        <v>0.15840165912817628</v>
      </c>
      <c r="H100" s="81">
        <v>0.15840165912817628</v>
      </c>
      <c r="I100" s="81">
        <v>0.15840165912817628</v>
      </c>
    </row>
    <row r="101" spans="1:9" x14ac:dyDescent="0.25">
      <c r="A101" s="52" t="s">
        <v>60</v>
      </c>
      <c r="C101" s="81">
        <v>0.17954760543857104</v>
      </c>
      <c r="D101" s="81">
        <v>0.17954760543857104</v>
      </c>
      <c r="E101" s="81">
        <v>0.17954760543857104</v>
      </c>
      <c r="F101" s="81">
        <v>0.17954760543857104</v>
      </c>
      <c r="G101" s="81">
        <v>0.17954760543857104</v>
      </c>
      <c r="H101" s="81">
        <v>0.17954760543857104</v>
      </c>
      <c r="I101" s="81">
        <v>0.17954760543857104</v>
      </c>
    </row>
    <row r="102" spans="1:9" x14ac:dyDescent="0.25">
      <c r="A102" s="52" t="s">
        <v>61</v>
      </c>
      <c r="C102" s="81">
        <v>8.2824349300342895E-2</v>
      </c>
      <c r="D102" s="81">
        <v>8.2824349300342895E-2</v>
      </c>
      <c r="E102" s="81">
        <v>8.2824349300342895E-2</v>
      </c>
      <c r="F102" s="81">
        <v>8.2824349300342895E-2</v>
      </c>
      <c r="G102" s="81">
        <v>8.2824349300342895E-2</v>
      </c>
      <c r="H102" s="81">
        <v>8.2824349300342895E-2</v>
      </c>
      <c r="I102" s="81">
        <v>8.2824349300342895E-2</v>
      </c>
    </row>
    <row r="103" spans="1:9" x14ac:dyDescent="0.25">
      <c r="A103" s="52" t="s">
        <v>62</v>
      </c>
      <c r="C103" s="81">
        <v>8.5853040753673098E-3</v>
      </c>
      <c r="D103" s="81">
        <v>8.5853040753673098E-3</v>
      </c>
      <c r="E103" s="81">
        <v>8.5853040753673098E-3</v>
      </c>
      <c r="F103" s="81">
        <v>8.5853040753673098E-3</v>
      </c>
      <c r="G103" s="81">
        <v>8.5853040753673098E-3</v>
      </c>
      <c r="H103" s="81">
        <v>8.5853040753673098E-3</v>
      </c>
      <c r="I103" s="81">
        <v>8.5853040753673098E-3</v>
      </c>
    </row>
    <row r="104" spans="1:9" x14ac:dyDescent="0.25">
      <c r="C104" s="5"/>
      <c r="D104" s="5"/>
      <c r="E104" s="5"/>
      <c r="F104" s="5"/>
      <c r="G104" s="5"/>
      <c r="H104" s="5"/>
      <c r="I104" s="5"/>
    </row>
    <row r="105" spans="1:9" x14ac:dyDescent="0.25">
      <c r="A105" s="7" t="s">
        <v>63</v>
      </c>
    </row>
    <row r="106" spans="1:9" x14ac:dyDescent="0.25">
      <c r="A106" s="52" t="s">
        <v>58</v>
      </c>
      <c r="C106" s="3">
        <f t="shared" ref="C106:I110" si="49">+C$87*C92</f>
        <v>608388.34067702142</v>
      </c>
      <c r="D106" s="3">
        <f t="shared" si="49"/>
        <v>1674853.0484826616</v>
      </c>
      <c r="E106" s="3">
        <f t="shared" si="49"/>
        <v>2977243.5160433678</v>
      </c>
      <c r="F106" s="3">
        <f t="shared" si="49"/>
        <v>4360679.3872641083</v>
      </c>
      <c r="G106" s="3">
        <f t="shared" si="49"/>
        <v>5687586.5978205679</v>
      </c>
      <c r="H106" s="3">
        <f t="shared" si="49"/>
        <v>6845362.4299546629</v>
      </c>
      <c r="I106" s="3">
        <f t="shared" si="49"/>
        <v>7958459.5444769328</v>
      </c>
    </row>
    <row r="107" spans="1:9" x14ac:dyDescent="0.25">
      <c r="A107" s="52" t="s">
        <v>59</v>
      </c>
      <c r="C107" s="3">
        <f t="shared" si="49"/>
        <v>228489.71551850214</v>
      </c>
      <c r="D107" s="3">
        <f t="shared" si="49"/>
        <v>629017.14414388896</v>
      </c>
      <c r="E107" s="3">
        <f t="shared" si="49"/>
        <v>1118150.1658185008</v>
      </c>
      <c r="F107" s="3">
        <f t="shared" si="49"/>
        <v>1637721.0509238229</v>
      </c>
      <c r="G107" s="3">
        <f t="shared" si="49"/>
        <v>2136061.7172194775</v>
      </c>
      <c r="H107" s="3">
        <f t="shared" si="49"/>
        <v>2570882.4605363752</v>
      </c>
      <c r="I107" s="3">
        <f t="shared" si="49"/>
        <v>2988923.4156911643</v>
      </c>
    </row>
    <row r="108" spans="1:9" x14ac:dyDescent="0.25">
      <c r="A108" s="52" t="s">
        <v>60</v>
      </c>
      <c r="C108" s="3">
        <f t="shared" si="49"/>
        <v>388278.58604479808</v>
      </c>
      <c r="D108" s="3">
        <f t="shared" si="49"/>
        <v>1068905.3849618414</v>
      </c>
      <c r="E108" s="3">
        <f t="shared" si="49"/>
        <v>1900101.9997095147</v>
      </c>
      <c r="F108" s="3">
        <f t="shared" si="49"/>
        <v>2783022.4767250451</v>
      </c>
      <c r="G108" s="3">
        <f t="shared" si="49"/>
        <v>3629865.8842666461</v>
      </c>
      <c r="H108" s="3">
        <f t="shared" si="49"/>
        <v>4368768.2152311299</v>
      </c>
      <c r="I108" s="3">
        <f t="shared" si="49"/>
        <v>5079156.2106294381</v>
      </c>
    </row>
    <row r="109" spans="1:9" x14ac:dyDescent="0.25">
      <c r="A109" s="52" t="s">
        <v>61</v>
      </c>
      <c r="C109" s="3">
        <f t="shared" si="49"/>
        <v>270908.25500569696</v>
      </c>
      <c r="D109" s="3">
        <f t="shared" si="49"/>
        <v>745792.59071679821</v>
      </c>
      <c r="E109" s="3">
        <f t="shared" si="49"/>
        <v>1325731.9243836685</v>
      </c>
      <c r="F109" s="3">
        <f t="shared" si="49"/>
        <v>1941759.8340698287</v>
      </c>
      <c r="G109" s="3">
        <f t="shared" si="49"/>
        <v>2532616.1883620638</v>
      </c>
      <c r="H109" s="3">
        <f t="shared" si="49"/>
        <v>3048160.3061572569</v>
      </c>
      <c r="I109" s="3">
        <f t="shared" si="49"/>
        <v>3543809.5104328347</v>
      </c>
    </row>
    <row r="110" spans="1:9" x14ac:dyDescent="0.25">
      <c r="A110" s="52" t="s">
        <v>62</v>
      </c>
      <c r="C110" s="6">
        <f t="shared" si="49"/>
        <v>5986.0675579629269</v>
      </c>
      <c r="D110" s="6">
        <f t="shared" si="49"/>
        <v>16479.249892791446</v>
      </c>
      <c r="E110" s="6">
        <f t="shared" si="49"/>
        <v>29293.758002841045</v>
      </c>
      <c r="F110" s="6">
        <f t="shared" si="49"/>
        <v>42905.689779871951</v>
      </c>
      <c r="G110" s="6">
        <f t="shared" si="49"/>
        <v>55961.423551331303</v>
      </c>
      <c r="H110" s="6">
        <f t="shared" si="49"/>
        <v>67353.036251237863</v>
      </c>
      <c r="I110" s="6">
        <f t="shared" si="49"/>
        <v>78305.045158392735</v>
      </c>
    </row>
    <row r="111" spans="1:9" x14ac:dyDescent="0.25">
      <c r="A111" s="54" t="s">
        <v>65</v>
      </c>
      <c r="C111" s="3">
        <f>SUM(C106:C110)</f>
        <v>1502050.9648039816</v>
      </c>
      <c r="D111" s="3">
        <f t="shared" ref="D111:I111" si="50">SUM(D106:D110)</f>
        <v>4135047.418197982</v>
      </c>
      <c r="E111" s="3">
        <f t="shared" si="50"/>
        <v>7350521.3639578922</v>
      </c>
      <c r="F111" s="3">
        <f t="shared" si="50"/>
        <v>10766088.438762678</v>
      </c>
      <c r="G111" s="3">
        <f t="shared" si="50"/>
        <v>14042091.811220087</v>
      </c>
      <c r="H111" s="3">
        <f t="shared" si="50"/>
        <v>16900526.448130663</v>
      </c>
      <c r="I111" s="3">
        <f t="shared" si="50"/>
        <v>19648653.726388764</v>
      </c>
    </row>
    <row r="112" spans="1:9" x14ac:dyDescent="0.25">
      <c r="A112" s="7"/>
      <c r="C112" s="3"/>
      <c r="D112" s="3"/>
      <c r="E112" s="3"/>
      <c r="F112" s="3"/>
      <c r="G112" s="3"/>
      <c r="H112" s="3"/>
      <c r="I112" s="3"/>
    </row>
    <row r="113" spans="1:9" x14ac:dyDescent="0.25">
      <c r="A113" s="7" t="s">
        <v>64</v>
      </c>
      <c r="C113" s="3"/>
      <c r="D113" s="3"/>
      <c r="E113" s="3"/>
      <c r="F113" s="3"/>
      <c r="G113" s="3"/>
      <c r="H113" s="3"/>
      <c r="I113" s="3"/>
    </row>
    <row r="114" spans="1:9" x14ac:dyDescent="0.25">
      <c r="A114" s="52" t="s">
        <v>58</v>
      </c>
      <c r="C114" s="53">
        <f t="shared" ref="C114:I118" si="51">+C$88*C99</f>
        <v>5748644.572995563</v>
      </c>
      <c r="D114" s="53">
        <f t="shared" si="51"/>
        <v>12609199.382576719</v>
      </c>
      <c r="E114" s="53">
        <f t="shared" si="51"/>
        <v>21680056.694699958</v>
      </c>
      <c r="F114" s="53">
        <f t="shared" si="51"/>
        <v>31207289.727543958</v>
      </c>
      <c r="G114" s="53">
        <f t="shared" si="51"/>
        <v>39679697.116950773</v>
      </c>
      <c r="H114" s="53">
        <f t="shared" si="51"/>
        <v>48042157.677289069</v>
      </c>
      <c r="I114" s="53">
        <f t="shared" si="51"/>
        <v>54750649.699641809</v>
      </c>
    </row>
    <row r="115" spans="1:9" x14ac:dyDescent="0.25">
      <c r="A115" s="52" t="s">
        <v>59</v>
      </c>
      <c r="C115" s="53">
        <f t="shared" si="51"/>
        <v>1595740.0662731479</v>
      </c>
      <c r="D115" s="53">
        <f t="shared" si="51"/>
        <v>3500130.231206737</v>
      </c>
      <c r="E115" s="53">
        <f t="shared" si="51"/>
        <v>6018068.2015584446</v>
      </c>
      <c r="F115" s="53">
        <f t="shared" si="51"/>
        <v>8662689.4297774788</v>
      </c>
      <c r="G115" s="53">
        <f t="shared" si="51"/>
        <v>11014506.411570827</v>
      </c>
      <c r="H115" s="53">
        <f t="shared" si="51"/>
        <v>13335803.753808014</v>
      </c>
      <c r="I115" s="53">
        <f t="shared" si="51"/>
        <v>15197983.50216629</v>
      </c>
    </row>
    <row r="116" spans="1:9" x14ac:dyDescent="0.25">
      <c r="A116" s="52" t="s">
        <v>60</v>
      </c>
      <c r="C116" s="53">
        <f t="shared" si="51"/>
        <v>1808764.5633174188</v>
      </c>
      <c r="D116" s="53">
        <f t="shared" si="51"/>
        <v>3967382.6978529138</v>
      </c>
      <c r="E116" s="53">
        <f t="shared" si="51"/>
        <v>6821454.6545972591</v>
      </c>
      <c r="F116" s="53">
        <f t="shared" si="51"/>
        <v>9819121.5441499148</v>
      </c>
      <c r="G116" s="53">
        <f t="shared" si="51"/>
        <v>12484896.06845003</v>
      </c>
      <c r="H116" s="53">
        <f t="shared" si="51"/>
        <v>15116076.711402457</v>
      </c>
      <c r="I116" s="53">
        <f t="shared" si="51"/>
        <v>17226849.518670708</v>
      </c>
    </row>
    <row r="117" spans="1:9" x14ac:dyDescent="0.25">
      <c r="A117" s="52" t="s">
        <v>61</v>
      </c>
      <c r="C117" s="53">
        <f t="shared" si="51"/>
        <v>834373.41104244778</v>
      </c>
      <c r="D117" s="53">
        <f t="shared" si="51"/>
        <v>1830132.4017798144</v>
      </c>
      <c r="E117" s="53">
        <f t="shared" si="51"/>
        <v>3146700.51805348</v>
      </c>
      <c r="F117" s="53">
        <f t="shared" si="51"/>
        <v>4529508.208191826</v>
      </c>
      <c r="G117" s="53">
        <f t="shared" si="51"/>
        <v>5759215.7268038066</v>
      </c>
      <c r="H117" s="53">
        <f t="shared" si="51"/>
        <v>6972965.2731253924</v>
      </c>
      <c r="I117" s="53">
        <f t="shared" si="51"/>
        <v>7946653.4705024576</v>
      </c>
    </row>
    <row r="118" spans="1:9" x14ac:dyDescent="0.25">
      <c r="A118" s="52" t="s">
        <v>62</v>
      </c>
      <c r="C118" s="6">
        <f t="shared" si="51"/>
        <v>86488.448224623658</v>
      </c>
      <c r="D118" s="6">
        <f t="shared" si="51"/>
        <v>189705.60348727007</v>
      </c>
      <c r="E118" s="6">
        <f t="shared" si="51"/>
        <v>326176.79474474449</v>
      </c>
      <c r="F118" s="6">
        <f t="shared" si="51"/>
        <v>469514.16591494996</v>
      </c>
      <c r="G118" s="6">
        <f t="shared" si="51"/>
        <v>596981.66865095461</v>
      </c>
      <c r="H118" s="6">
        <f t="shared" si="51"/>
        <v>722795.01961037819</v>
      </c>
      <c r="I118" s="6">
        <f t="shared" si="51"/>
        <v>823724.38784199511</v>
      </c>
    </row>
    <row r="119" spans="1:9" x14ac:dyDescent="0.25">
      <c r="A119" s="54" t="s">
        <v>65</v>
      </c>
      <c r="C119" s="53">
        <f>SUM(C114:C118)</f>
        <v>10074011.0618532</v>
      </c>
      <c r="D119" s="53">
        <f t="shared" ref="D119:I119" si="52">SUM(D114:D118)</f>
        <v>22096550.316903457</v>
      </c>
      <c r="E119" s="53">
        <f t="shared" si="52"/>
        <v>37992456.863653883</v>
      </c>
      <c r="F119" s="53">
        <f t="shared" si="52"/>
        <v>54688123.075578131</v>
      </c>
      <c r="G119" s="53">
        <f t="shared" si="52"/>
        <v>69535296.992426395</v>
      </c>
      <c r="H119" s="53">
        <f t="shared" si="52"/>
        <v>84189798.435235307</v>
      </c>
      <c r="I119" s="53">
        <f t="shared" si="52"/>
        <v>95945860.578823254</v>
      </c>
    </row>
    <row r="120" spans="1:9" x14ac:dyDescent="0.25">
      <c r="A120" s="54"/>
      <c r="C120" s="53"/>
      <c r="D120" s="53"/>
      <c r="E120" s="53"/>
      <c r="F120" s="53"/>
      <c r="G120" s="53"/>
      <c r="H120" s="53"/>
      <c r="I120" s="53"/>
    </row>
    <row r="121" spans="1:9" x14ac:dyDescent="0.25">
      <c r="A121" s="7" t="s">
        <v>16</v>
      </c>
      <c r="C121" s="53"/>
      <c r="D121" s="53"/>
      <c r="E121" s="53"/>
      <c r="F121" s="53"/>
      <c r="G121" s="53"/>
      <c r="H121" s="53"/>
      <c r="I121" s="53"/>
    </row>
    <row r="122" spans="1:9" x14ac:dyDescent="0.25">
      <c r="A122" s="52" t="s">
        <v>58</v>
      </c>
      <c r="C122" s="8">
        <f>+C106+C114</f>
        <v>6357032.9136725841</v>
      </c>
      <c r="D122" s="8">
        <f t="shared" ref="D122:I122" si="53">+D106+D114</f>
        <v>14284052.431059381</v>
      </c>
      <c r="E122" s="8">
        <f t="shared" si="53"/>
        <v>24657300.210743327</v>
      </c>
      <c r="F122" s="8">
        <f t="shared" si="53"/>
        <v>35567969.114808068</v>
      </c>
      <c r="G122" s="8">
        <f t="shared" si="53"/>
        <v>45367283.714771338</v>
      </c>
      <c r="H122" s="8">
        <f t="shared" si="53"/>
        <v>54887520.107243732</v>
      </c>
      <c r="I122" s="8">
        <f t="shared" si="53"/>
        <v>62709109.244118743</v>
      </c>
    </row>
    <row r="123" spans="1:9" x14ac:dyDescent="0.25">
      <c r="A123" s="52" t="s">
        <v>59</v>
      </c>
      <c r="C123" s="8">
        <f t="shared" ref="C123:I123" si="54">+C107+C115</f>
        <v>1824229.78179165</v>
      </c>
      <c r="D123" s="8">
        <f t="shared" si="54"/>
        <v>4129147.3753506262</v>
      </c>
      <c r="E123" s="8">
        <f t="shared" si="54"/>
        <v>7136218.3673769459</v>
      </c>
      <c r="F123" s="8">
        <f t="shared" si="54"/>
        <v>10300410.480701301</v>
      </c>
      <c r="G123" s="8">
        <f t="shared" si="54"/>
        <v>13150568.128790304</v>
      </c>
      <c r="H123" s="8">
        <f t="shared" si="54"/>
        <v>15906686.21434439</v>
      </c>
      <c r="I123" s="8">
        <f t="shared" si="54"/>
        <v>18186906.917857453</v>
      </c>
    </row>
    <row r="124" spans="1:9" x14ac:dyDescent="0.25">
      <c r="A124" s="52" t="s">
        <v>60</v>
      </c>
      <c r="C124" s="8">
        <f t="shared" ref="C124:I124" si="55">+C108+C116</f>
        <v>2197043.1493622167</v>
      </c>
      <c r="D124" s="8">
        <f t="shared" si="55"/>
        <v>5036288.0828147549</v>
      </c>
      <c r="E124" s="8">
        <f t="shared" si="55"/>
        <v>8721556.6543067731</v>
      </c>
      <c r="F124" s="8">
        <f t="shared" si="55"/>
        <v>12602144.02087496</v>
      </c>
      <c r="G124" s="8">
        <f t="shared" si="55"/>
        <v>16114761.952716677</v>
      </c>
      <c r="H124" s="8">
        <f t="shared" si="55"/>
        <v>19484844.926633589</v>
      </c>
      <c r="I124" s="8">
        <f t="shared" si="55"/>
        <v>22306005.729300145</v>
      </c>
    </row>
    <row r="125" spans="1:9" x14ac:dyDescent="0.25">
      <c r="A125" s="52" t="s">
        <v>61</v>
      </c>
      <c r="C125" s="8">
        <f t="shared" ref="C125:I125" si="56">+C109+C117</f>
        <v>1105281.6660481447</v>
      </c>
      <c r="D125" s="8">
        <f t="shared" si="56"/>
        <v>2575924.9924966125</v>
      </c>
      <c r="E125" s="8">
        <f t="shared" si="56"/>
        <v>4472432.4424371487</v>
      </c>
      <c r="F125" s="8">
        <f t="shared" si="56"/>
        <v>6471268.0422616545</v>
      </c>
      <c r="G125" s="8">
        <f t="shared" si="56"/>
        <v>8291831.9151658705</v>
      </c>
      <c r="H125" s="8">
        <f t="shared" si="56"/>
        <v>10021125.579282649</v>
      </c>
      <c r="I125" s="8">
        <f t="shared" si="56"/>
        <v>11490462.980935292</v>
      </c>
    </row>
    <row r="126" spans="1:9" x14ac:dyDescent="0.25">
      <c r="A126" s="52" t="s">
        <v>62</v>
      </c>
      <c r="C126" s="37">
        <f t="shared" ref="C126:I126" si="57">+C110+C118</f>
        <v>92474.51578258659</v>
      </c>
      <c r="D126" s="37">
        <f t="shared" si="57"/>
        <v>206184.85338006151</v>
      </c>
      <c r="E126" s="37">
        <f t="shared" si="57"/>
        <v>355470.55274758552</v>
      </c>
      <c r="F126" s="37">
        <f t="shared" si="57"/>
        <v>512419.85569482192</v>
      </c>
      <c r="G126" s="37">
        <f t="shared" si="57"/>
        <v>652943.09220228589</v>
      </c>
      <c r="H126" s="37">
        <f t="shared" si="57"/>
        <v>790148.05586161604</v>
      </c>
      <c r="I126" s="37">
        <f t="shared" si="57"/>
        <v>902029.43300038786</v>
      </c>
    </row>
    <row r="127" spans="1:9" x14ac:dyDescent="0.25">
      <c r="A127" s="54" t="s">
        <v>65</v>
      </c>
      <c r="C127" s="8">
        <f>SUM(C122:C126)</f>
        <v>11576062.026657183</v>
      </c>
      <c r="D127" s="8">
        <f t="shared" ref="D127:I127" si="58">SUM(D122:D126)</f>
        <v>26231597.735101435</v>
      </c>
      <c r="E127" s="8">
        <f t="shared" si="58"/>
        <v>45342978.22761178</v>
      </c>
      <c r="F127" s="8">
        <f t="shared" si="58"/>
        <v>65454211.514340803</v>
      </c>
      <c r="G127" s="8">
        <f t="shared" si="58"/>
        <v>83577388.803646475</v>
      </c>
      <c r="H127" s="8">
        <f t="shared" si="58"/>
        <v>101090324.88336599</v>
      </c>
      <c r="I127" s="8">
        <f t="shared" si="58"/>
        <v>115594514.30521201</v>
      </c>
    </row>
    <row r="129" spans="1:10" x14ac:dyDescent="0.25">
      <c r="A129" s="54" t="s">
        <v>74</v>
      </c>
    </row>
    <row r="130" spans="1:10" x14ac:dyDescent="0.25">
      <c r="A130" s="52" t="s">
        <v>58</v>
      </c>
      <c r="B130" t="s">
        <v>71</v>
      </c>
      <c r="C130" s="112">
        <v>5038613.7257958911</v>
      </c>
      <c r="D130" s="112">
        <v>5063528.3831243301</v>
      </c>
      <c r="E130" s="112">
        <v>5109103.5383068435</v>
      </c>
      <c r="F130" s="112">
        <v>5150280.7006656751</v>
      </c>
      <c r="G130" s="112">
        <v>5192586.4669607049</v>
      </c>
      <c r="H130" s="112">
        <v>5244806.8244945025</v>
      </c>
      <c r="I130" s="112">
        <v>5307346.1923010657</v>
      </c>
      <c r="J130" t="s">
        <v>73</v>
      </c>
    </row>
    <row r="131" spans="1:10" x14ac:dyDescent="0.25">
      <c r="A131" s="52" t="s">
        <v>59</v>
      </c>
      <c r="B131" t="s">
        <v>72</v>
      </c>
      <c r="C131" s="112">
        <v>1793660.1362686332</v>
      </c>
      <c r="D131" s="112">
        <v>1788486.8650466921</v>
      </c>
      <c r="E131" s="112">
        <v>1801708.6490034033</v>
      </c>
      <c r="F131" s="112">
        <v>1804012.2514399744</v>
      </c>
      <c r="G131" s="112">
        <v>1804897.0166841419</v>
      </c>
      <c r="H131" s="112">
        <v>1809198.7013151997</v>
      </c>
      <c r="I131" s="112">
        <v>1813435.4111164522</v>
      </c>
    </row>
    <row r="132" spans="1:10" x14ac:dyDescent="0.25">
      <c r="A132" s="52" t="s">
        <v>60</v>
      </c>
      <c r="B132" t="s">
        <v>68</v>
      </c>
      <c r="C132" s="112">
        <v>4605137.2882486898</v>
      </c>
      <c r="D132" s="112">
        <v>4614330.985070195</v>
      </c>
      <c r="E132" s="112">
        <v>4644463.0612473898</v>
      </c>
      <c r="F132" s="112">
        <v>4640942.7440871838</v>
      </c>
      <c r="G132" s="112">
        <v>4633100.831579552</v>
      </c>
      <c r="H132" s="112">
        <v>4643656.8336701076</v>
      </c>
      <c r="I132" s="112">
        <v>4656810.6193408603</v>
      </c>
    </row>
    <row r="133" spans="1:10" x14ac:dyDescent="0.25">
      <c r="A133" s="52" t="s">
        <v>61</v>
      </c>
      <c r="B133" t="s">
        <v>69</v>
      </c>
      <c r="C133" s="112">
        <v>1868786.0318928759</v>
      </c>
      <c r="D133" s="112">
        <v>1866427.3517245618</v>
      </c>
      <c r="E133" s="112">
        <v>1878464.5005894413</v>
      </c>
      <c r="F133" s="112">
        <v>1881695.5595289536</v>
      </c>
      <c r="G133" s="112">
        <v>1862422.7794618499</v>
      </c>
      <c r="H133" s="112">
        <v>1850340.3849774841</v>
      </c>
      <c r="I133" s="112">
        <v>1839443.2025124407</v>
      </c>
    </row>
    <row r="134" spans="1:10" x14ac:dyDescent="0.25">
      <c r="A134" s="52" t="s">
        <v>62</v>
      </c>
      <c r="B134" t="s">
        <v>70</v>
      </c>
      <c r="C134" s="123">
        <v>98203.526465122908</v>
      </c>
      <c r="D134" s="123">
        <v>97677.80962961218</v>
      </c>
      <c r="E134" s="123">
        <v>97151.869459468144</v>
      </c>
      <c r="F134" s="123">
        <v>96626.13199790295</v>
      </c>
      <c r="G134" s="123">
        <v>96100.525822391588</v>
      </c>
      <c r="H134" s="123">
        <v>95575.002807020704</v>
      </c>
      <c r="I134" s="123">
        <v>95049.532261011089</v>
      </c>
    </row>
    <row r="135" spans="1:10" x14ac:dyDescent="0.25">
      <c r="A135" s="54" t="s">
        <v>65</v>
      </c>
      <c r="C135" s="55">
        <f>SUM(C130:C134)</f>
        <v>13404400.708671212</v>
      </c>
      <c r="D135" s="55">
        <f t="shared" ref="D135" si="59">SUM(D130:D134)</f>
        <v>13430451.39459539</v>
      </c>
      <c r="E135" s="55">
        <f t="shared" ref="E135" si="60">SUM(E130:E134)</f>
        <v>13530891.618606547</v>
      </c>
      <c r="F135" s="55">
        <f t="shared" ref="F135" si="61">SUM(F130:F134)</f>
        <v>13573557.387719693</v>
      </c>
      <c r="G135" s="55">
        <f t="shared" ref="G135" si="62">SUM(G130:G134)</f>
        <v>13589107.620508639</v>
      </c>
      <c r="H135" s="55">
        <f t="shared" ref="H135" si="63">SUM(H130:H134)</f>
        <v>13643577.747264316</v>
      </c>
      <c r="I135" s="55">
        <f t="shared" ref="I135" si="64">SUM(I130:I134)</f>
        <v>13712084.95753183</v>
      </c>
    </row>
    <row r="136" spans="1:10" x14ac:dyDescent="0.25">
      <c r="C136" s="56"/>
      <c r="D136" s="56"/>
      <c r="E136" s="56"/>
      <c r="F136" s="56"/>
      <c r="G136" s="56"/>
      <c r="H136" s="56"/>
      <c r="I136" s="56"/>
    </row>
    <row r="137" spans="1:10" x14ac:dyDescent="0.25">
      <c r="A137" s="54" t="s">
        <v>66</v>
      </c>
      <c r="C137" s="60"/>
      <c r="D137" s="60"/>
      <c r="E137" s="60"/>
      <c r="F137" s="60"/>
      <c r="G137" s="60"/>
      <c r="H137" s="60"/>
      <c r="I137" s="60"/>
    </row>
    <row r="138" spans="1:10" x14ac:dyDescent="0.25">
      <c r="A138" s="52" t="s">
        <v>58</v>
      </c>
      <c r="B138" t="s">
        <v>71</v>
      </c>
      <c r="C138" s="57">
        <f t="shared" ref="C138:I138" si="65">+C122/C130/1000</f>
        <v>1.2616630802887035E-3</v>
      </c>
      <c r="D138" s="57">
        <f t="shared" si="65"/>
        <v>2.820968176788563E-3</v>
      </c>
      <c r="E138" s="57">
        <f t="shared" si="65"/>
        <v>4.8261500331454928E-3</v>
      </c>
      <c r="F138" s="57">
        <f t="shared" si="65"/>
        <v>6.9060253570666346E-3</v>
      </c>
      <c r="G138" s="57">
        <f t="shared" si="65"/>
        <v>8.7369337041248076E-3</v>
      </c>
      <c r="H138" s="57">
        <f t="shared" si="65"/>
        <v>1.046511758086225E-2</v>
      </c>
      <c r="I138" s="57">
        <f t="shared" si="65"/>
        <v>1.1815530205111875E-2</v>
      </c>
    </row>
    <row r="139" spans="1:10" x14ac:dyDescent="0.25">
      <c r="A139" s="52" t="s">
        <v>59</v>
      </c>
      <c r="B139" t="s">
        <v>72</v>
      </c>
      <c r="C139" s="57">
        <f t="shared" ref="C139:I139" si="66">+C123/C131/1000</f>
        <v>1.0170431649256647E-3</v>
      </c>
      <c r="D139" s="57">
        <f t="shared" si="66"/>
        <v>2.3087378811936796E-3</v>
      </c>
      <c r="E139" s="57">
        <f t="shared" si="66"/>
        <v>3.9608059667828495E-3</v>
      </c>
      <c r="F139" s="57">
        <f t="shared" si="66"/>
        <v>5.7097231310261039E-3</v>
      </c>
      <c r="G139" s="57">
        <f t="shared" si="66"/>
        <v>7.2860490140040281E-3</v>
      </c>
      <c r="H139" s="57">
        <f t="shared" si="66"/>
        <v>8.792116754661055E-3</v>
      </c>
      <c r="I139" s="57">
        <f t="shared" si="66"/>
        <v>1.0028979695869387E-2</v>
      </c>
    </row>
    <row r="140" spans="1:10" x14ac:dyDescent="0.25">
      <c r="A140" s="52" t="s">
        <v>60</v>
      </c>
      <c r="B140" t="s">
        <v>68</v>
      </c>
      <c r="C140" s="57">
        <f t="shared" ref="C140:I140" si="67">+C124/C132/1000</f>
        <v>4.7708526626743435E-4</v>
      </c>
      <c r="D140" s="57">
        <f t="shared" si="67"/>
        <v>1.0914449134901275E-3</v>
      </c>
      <c r="E140" s="57">
        <f t="shared" si="67"/>
        <v>1.8778395993883468E-3</v>
      </c>
      <c r="F140" s="57">
        <f t="shared" si="67"/>
        <v>2.7154276007672761E-3</v>
      </c>
      <c r="G140" s="57">
        <f t="shared" si="67"/>
        <v>3.4781807127695751E-3</v>
      </c>
      <c r="H140" s="57">
        <f t="shared" si="67"/>
        <v>4.1960131044467743E-3</v>
      </c>
      <c r="I140" s="57">
        <f t="shared" si="67"/>
        <v>4.789974846015406E-3</v>
      </c>
    </row>
    <row r="141" spans="1:10" x14ac:dyDescent="0.25">
      <c r="A141" s="52" t="s">
        <v>61</v>
      </c>
      <c r="B141" t="s">
        <v>69</v>
      </c>
      <c r="C141" s="57">
        <f t="shared" ref="C141:I141" si="68">+C125/C133/1000</f>
        <v>5.9144366834153574E-4</v>
      </c>
      <c r="D141" s="57">
        <f t="shared" si="68"/>
        <v>1.3801367570596742E-3</v>
      </c>
      <c r="E141" s="57">
        <f t="shared" si="68"/>
        <v>2.3808980372180305E-3</v>
      </c>
      <c r="F141" s="57">
        <f t="shared" si="68"/>
        <v>3.4390621848954207E-3</v>
      </c>
      <c r="G141" s="57">
        <f t="shared" si="68"/>
        <v>4.452174880271712E-3</v>
      </c>
      <c r="H141" s="57">
        <f t="shared" si="68"/>
        <v>5.4158281690450108E-3</v>
      </c>
      <c r="I141" s="57">
        <f t="shared" si="68"/>
        <v>6.2467071368340222E-3</v>
      </c>
    </row>
    <row r="142" spans="1:10" x14ac:dyDescent="0.25">
      <c r="A142" s="52" t="s">
        <v>62</v>
      </c>
      <c r="B142" t="s">
        <v>70</v>
      </c>
      <c r="C142" s="58">
        <f t="shared" ref="C142:I143" si="69">+C126/C134/1000</f>
        <v>9.4166186400066821E-4</v>
      </c>
      <c r="D142" s="58">
        <f t="shared" si="69"/>
        <v>2.1108668812486776E-3</v>
      </c>
      <c r="E142" s="58">
        <f t="shared" si="69"/>
        <v>3.6589162383116902E-3</v>
      </c>
      <c r="F142" s="58">
        <f t="shared" si="69"/>
        <v>5.3031187847397522E-3</v>
      </c>
      <c r="G142" s="58">
        <f t="shared" si="69"/>
        <v>6.794375853978408E-3</v>
      </c>
      <c r="H142" s="58">
        <f t="shared" si="69"/>
        <v>8.2673087382172054E-3</v>
      </c>
      <c r="I142" s="58">
        <f t="shared" si="69"/>
        <v>9.4900985995740299E-3</v>
      </c>
    </row>
    <row r="143" spans="1:10" x14ac:dyDescent="0.25">
      <c r="A143" s="7" t="s">
        <v>67</v>
      </c>
      <c r="C143" s="57">
        <f t="shared" si="69"/>
        <v>8.6360160951982803E-4</v>
      </c>
      <c r="D143" s="57">
        <f t="shared" si="69"/>
        <v>1.9531434174771974E-3</v>
      </c>
      <c r="E143" s="57">
        <f t="shared" si="69"/>
        <v>3.3510709793329449E-3</v>
      </c>
      <c r="F143" s="57">
        <f t="shared" si="69"/>
        <v>4.8221854923278049E-3</v>
      </c>
      <c r="G143" s="57">
        <f t="shared" si="69"/>
        <v>6.1503220916075269E-3</v>
      </c>
      <c r="H143" s="57">
        <f t="shared" si="69"/>
        <v>7.4093706765174325E-3</v>
      </c>
      <c r="I143" s="57">
        <f t="shared" si="69"/>
        <v>8.4301194649262848E-3</v>
      </c>
    </row>
    <row r="144" spans="1:10" x14ac:dyDescent="0.25">
      <c r="A144" s="7"/>
      <c r="C144" s="57"/>
      <c r="D144" s="57"/>
      <c r="E144" s="57"/>
      <c r="F144" s="57"/>
      <c r="G144" s="57"/>
      <c r="H144" s="57"/>
      <c r="I144" s="57"/>
    </row>
    <row r="145" spans="1:11" x14ac:dyDescent="0.25">
      <c r="C145" s="56"/>
      <c r="D145" s="56"/>
      <c r="E145" s="56"/>
      <c r="F145" s="56"/>
      <c r="G145" s="56"/>
      <c r="H145" s="56"/>
      <c r="I145" s="56"/>
    </row>
    <row r="146" spans="1:11" x14ac:dyDescent="0.25">
      <c r="A146" s="7" t="s">
        <v>109</v>
      </c>
      <c r="C146" s="59">
        <f>+C138*1000</f>
        <v>1.2616630802887034</v>
      </c>
      <c r="D146" s="59">
        <f t="shared" ref="D146:I146" si="70">+D138*1000</f>
        <v>2.820968176788563</v>
      </c>
      <c r="E146" s="59">
        <f t="shared" si="70"/>
        <v>4.8261500331454927</v>
      </c>
      <c r="F146" s="59">
        <f t="shared" si="70"/>
        <v>6.9060253570666346</v>
      </c>
      <c r="G146" s="59">
        <f t="shared" si="70"/>
        <v>8.736933704124807</v>
      </c>
      <c r="H146" s="59">
        <f t="shared" si="70"/>
        <v>10.46511758086225</v>
      </c>
      <c r="I146" s="59">
        <f t="shared" si="70"/>
        <v>11.815530205111875</v>
      </c>
    </row>
    <row r="147" spans="1:11" ht="15.75" thickBot="1" x14ac:dyDescent="0.3"/>
    <row r="148" spans="1:11" x14ac:dyDescent="0.25">
      <c r="A148" s="14" t="s">
        <v>24</v>
      </c>
      <c r="B148" s="47">
        <v>114.3</v>
      </c>
      <c r="C148" s="48">
        <f>+C146+$B$148</f>
        <v>115.5616630802887</v>
      </c>
      <c r="D148" s="48">
        <f t="shared" ref="D148:I148" si="71">+D146+$B$148</f>
        <v>117.12096817678857</v>
      </c>
      <c r="E148" s="48">
        <f t="shared" si="71"/>
        <v>119.12615003314549</v>
      </c>
      <c r="F148" s="48">
        <f t="shared" si="71"/>
        <v>121.20602535706664</v>
      </c>
      <c r="G148" s="48">
        <f t="shared" si="71"/>
        <v>123.03693370412481</v>
      </c>
      <c r="H148" s="48">
        <f t="shared" si="71"/>
        <v>124.76511758086225</v>
      </c>
      <c r="I148" s="49">
        <f t="shared" si="71"/>
        <v>126.11553020511187</v>
      </c>
      <c r="K148" s="10"/>
    </row>
    <row r="149" spans="1:11" x14ac:dyDescent="0.25">
      <c r="A149" s="18" t="s">
        <v>25</v>
      </c>
      <c r="B149" s="19"/>
      <c r="C149" s="50">
        <f>+C148-B148</f>
        <v>1.2616630802886988</v>
      </c>
      <c r="D149" s="50">
        <f t="shared" ref="D149:I149" si="72">+D148-C148</f>
        <v>1.5593050964998696</v>
      </c>
      <c r="E149" s="50">
        <f t="shared" si="72"/>
        <v>2.005181856356927</v>
      </c>
      <c r="F149" s="50">
        <f t="shared" si="72"/>
        <v>2.0798753239211436</v>
      </c>
      <c r="G149" s="50">
        <f t="shared" si="72"/>
        <v>1.8309083470581697</v>
      </c>
      <c r="H149" s="50">
        <f t="shared" si="72"/>
        <v>1.7281838767374467</v>
      </c>
      <c r="I149" s="51">
        <f t="shared" si="72"/>
        <v>1.3504126242496142</v>
      </c>
    </row>
    <row r="150" spans="1:11" ht="15.75" thickBot="1" x14ac:dyDescent="0.3">
      <c r="A150" s="22" t="s">
        <v>25</v>
      </c>
      <c r="B150" s="23"/>
      <c r="C150" s="24">
        <f>+C149/B148</f>
        <v>1.1038172181003489E-2</v>
      </c>
      <c r="D150" s="24">
        <f t="shared" ref="D150:I150" si="73">+D149/C148</f>
        <v>1.3493273244229033E-2</v>
      </c>
      <c r="E150" s="24">
        <f t="shared" si="73"/>
        <v>1.7120605196246329E-2</v>
      </c>
      <c r="F150" s="24">
        <f t="shared" si="73"/>
        <v>1.7459435424904121E-2</v>
      </c>
      <c r="G150" s="24">
        <f t="shared" si="73"/>
        <v>1.5105753543723665E-2</v>
      </c>
      <c r="H150" s="24">
        <f t="shared" si="73"/>
        <v>1.4046057754440847E-2</v>
      </c>
      <c r="I150" s="25">
        <f t="shared" si="73"/>
        <v>1.0823639254572821E-2</v>
      </c>
    </row>
    <row r="152" spans="1:11" x14ac:dyDescent="0.25">
      <c r="A152" s="27"/>
      <c r="B152" t="s">
        <v>32</v>
      </c>
    </row>
    <row r="153" spans="1:11" x14ac:dyDescent="0.25">
      <c r="A153" s="28"/>
      <c r="B153" t="s">
        <v>33</v>
      </c>
    </row>
    <row r="154" spans="1:11" x14ac:dyDescent="0.25">
      <c r="A154" s="32"/>
      <c r="B154" t="s">
        <v>36</v>
      </c>
    </row>
    <row r="159" spans="1:11" x14ac:dyDescent="0.25">
      <c r="C159">
        <f t="shared" ref="C159:I159" si="74">+C138*100</f>
        <v>0.12616630802887036</v>
      </c>
      <c r="D159">
        <f t="shared" si="74"/>
        <v>0.2820968176788563</v>
      </c>
      <c r="E159">
        <f t="shared" si="74"/>
        <v>0.48261500331454926</v>
      </c>
      <c r="F159">
        <f t="shared" si="74"/>
        <v>0.69060253570666341</v>
      </c>
      <c r="G159">
        <f t="shared" si="74"/>
        <v>0.87369337041248074</v>
      </c>
      <c r="H159">
        <f t="shared" si="74"/>
        <v>1.0465117580862251</v>
      </c>
      <c r="I159">
        <f t="shared" si="74"/>
        <v>1.1815530205111875</v>
      </c>
    </row>
    <row r="160" spans="1:11" x14ac:dyDescent="0.25">
      <c r="C160" s="3">
        <f t="shared" ref="C160:I160" si="75">+C86/1000</f>
        <v>11576.062026657184</v>
      </c>
      <c r="D160" s="3">
        <f t="shared" si="75"/>
        <v>26231.597735314161</v>
      </c>
      <c r="E160" s="3">
        <f t="shared" si="75"/>
        <v>45342.978228964021</v>
      </c>
      <c r="F160" s="3">
        <f t="shared" si="75"/>
        <v>65454.211515487936</v>
      </c>
      <c r="G160" s="3">
        <f t="shared" si="75"/>
        <v>83577.388805731083</v>
      </c>
      <c r="H160" s="3">
        <f t="shared" si="75"/>
        <v>101090.32488686718</v>
      </c>
      <c r="I160" s="3">
        <f t="shared" si="75"/>
        <v>115594.5143099305</v>
      </c>
      <c r="J160" s="3"/>
    </row>
    <row r="161" spans="3:10" x14ac:dyDescent="0.25">
      <c r="C161" s="3">
        <f>+C160*0.25+B160*0.75</f>
        <v>2894.015506664296</v>
      </c>
      <c r="D161" s="3">
        <f t="shared" ref="D161:I161" si="76">+D160*0.25+C160*0.75</f>
        <v>15239.945953821429</v>
      </c>
      <c r="E161" s="3">
        <f t="shared" si="76"/>
        <v>31009.442858726623</v>
      </c>
      <c r="F161" s="3">
        <f t="shared" si="76"/>
        <v>50370.786550594996</v>
      </c>
      <c r="G161" s="3">
        <f t="shared" si="76"/>
        <v>69985.005838048732</v>
      </c>
      <c r="H161" s="3">
        <f t="shared" si="76"/>
        <v>87955.622826015111</v>
      </c>
      <c r="I161" s="3">
        <f t="shared" si="76"/>
        <v>104716.37224263301</v>
      </c>
      <c r="J161" s="3">
        <f>+I160</f>
        <v>115594.5143099305</v>
      </c>
    </row>
    <row r="162" spans="3:10" x14ac:dyDescent="0.25">
      <c r="C162" s="3">
        <v>2647.7613317262494</v>
      </c>
      <c r="D162" s="3">
        <v>14554.542427869555</v>
      </c>
      <c r="E162" s="3">
        <v>28868.248026090107</v>
      </c>
      <c r="F162" s="3">
        <v>45883.765452069354</v>
      </c>
      <c r="G162" s="3">
        <v>63418.803747496655</v>
      </c>
      <c r="H162" s="3">
        <v>79921.937801496315</v>
      </c>
      <c r="I162" s="3">
        <v>94555.333408640596</v>
      </c>
    </row>
    <row r="164" spans="3:10" x14ac:dyDescent="0.25">
      <c r="C164" s="8">
        <f>+C161-C162</f>
        <v>246.25417493804662</v>
      </c>
      <c r="D164" s="8">
        <f t="shared" ref="D164:I164" si="77">+D161-D162</f>
        <v>685.40352595187323</v>
      </c>
      <c r="E164" s="8">
        <f t="shared" si="77"/>
        <v>2141.1948326365164</v>
      </c>
      <c r="F164" s="8">
        <f t="shared" si="77"/>
        <v>4487.0210985256417</v>
      </c>
      <c r="G164" s="8">
        <f t="shared" si="77"/>
        <v>6566.2020905520767</v>
      </c>
      <c r="H164" s="8">
        <f t="shared" si="77"/>
        <v>8033.6850245187961</v>
      </c>
      <c r="I164" s="8">
        <f t="shared" si="77"/>
        <v>10161.03883399241</v>
      </c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6"/>
  <sheetViews>
    <sheetView zoomScale="80" zoomScaleNormal="80" workbookViewId="0">
      <selection activeCell="F12" sqref="F12"/>
    </sheetView>
  </sheetViews>
  <sheetFormatPr defaultRowHeight="15" x14ac:dyDescent="0.25"/>
  <cols>
    <col min="1" max="1" width="43.140625" customWidth="1"/>
    <col min="2" max="2" width="19.85546875" customWidth="1"/>
    <col min="3" max="3" width="18.42578125" bestFit="1" customWidth="1"/>
    <col min="4" max="8" width="16.28515625" customWidth="1"/>
  </cols>
  <sheetData>
    <row r="1" spans="1:8" ht="16.5" x14ac:dyDescent="0.3">
      <c r="A1" s="62" t="s">
        <v>77</v>
      </c>
      <c r="B1" s="62"/>
      <c r="C1" s="62"/>
      <c r="D1" s="63"/>
      <c r="E1" s="63"/>
      <c r="F1" s="63"/>
      <c r="G1" s="63"/>
      <c r="H1" s="63"/>
    </row>
    <row r="2" spans="1:8" ht="16.5" x14ac:dyDescent="0.3">
      <c r="A2" s="64" t="s">
        <v>78</v>
      </c>
      <c r="B2" s="63"/>
      <c r="C2" s="63"/>
      <c r="D2" s="63"/>
      <c r="E2" s="63"/>
      <c r="F2" s="63"/>
      <c r="G2" s="63"/>
      <c r="H2" s="63"/>
    </row>
    <row r="3" spans="1:8" ht="16.5" x14ac:dyDescent="0.3">
      <c r="A3" s="65" t="s">
        <v>79</v>
      </c>
      <c r="B3" s="64"/>
      <c r="C3" s="64"/>
      <c r="D3" s="63"/>
      <c r="E3" s="63"/>
      <c r="F3" s="63"/>
      <c r="G3" s="63"/>
      <c r="H3" s="63"/>
    </row>
    <row r="4" spans="1:8" ht="16.5" x14ac:dyDescent="0.3">
      <c r="A4" s="63"/>
      <c r="B4" s="63"/>
      <c r="C4" s="63"/>
      <c r="D4" s="63"/>
      <c r="E4" s="63"/>
      <c r="F4" s="63"/>
      <c r="G4" s="63"/>
      <c r="H4" s="63"/>
    </row>
    <row r="5" spans="1:8" ht="18.75" x14ac:dyDescent="0.3">
      <c r="A5" s="66" t="s">
        <v>80</v>
      </c>
      <c r="B5" s="63"/>
      <c r="C5" s="63"/>
      <c r="D5" s="63"/>
      <c r="E5" s="63"/>
      <c r="F5" s="63"/>
      <c r="G5" s="63"/>
      <c r="H5" s="63"/>
    </row>
    <row r="6" spans="1:8" ht="16.5" x14ac:dyDescent="0.3">
      <c r="A6" s="63"/>
      <c r="B6" s="63"/>
      <c r="C6" s="63"/>
      <c r="D6" s="63"/>
      <c r="E6" s="63"/>
      <c r="F6" s="63"/>
      <c r="G6" s="63"/>
      <c r="H6" s="63"/>
    </row>
    <row r="7" spans="1:8" x14ac:dyDescent="0.25">
      <c r="A7" s="67" t="s">
        <v>81</v>
      </c>
      <c r="B7" s="68" t="s">
        <v>82</v>
      </c>
      <c r="C7" s="69" t="s">
        <v>83</v>
      </c>
      <c r="D7" s="69" t="s">
        <v>84</v>
      </c>
      <c r="E7" s="70" t="s">
        <v>85</v>
      </c>
      <c r="F7" s="70" t="s">
        <v>86</v>
      </c>
      <c r="G7" s="67" t="s">
        <v>87</v>
      </c>
      <c r="H7" s="67" t="s">
        <v>88</v>
      </c>
    </row>
    <row r="8" spans="1:8" ht="99.75" x14ac:dyDescent="0.25">
      <c r="A8" s="71" t="s">
        <v>89</v>
      </c>
      <c r="B8" s="71" t="s">
        <v>90</v>
      </c>
      <c r="C8" s="72" t="s">
        <v>91</v>
      </c>
      <c r="D8" s="73" t="s">
        <v>92</v>
      </c>
      <c r="E8" s="73" t="s">
        <v>93</v>
      </c>
      <c r="F8" s="73" t="s">
        <v>92</v>
      </c>
      <c r="G8" s="73" t="s">
        <v>94</v>
      </c>
      <c r="H8" s="73" t="s">
        <v>92</v>
      </c>
    </row>
    <row r="9" spans="1:8" ht="16.5" x14ac:dyDescent="0.3">
      <c r="A9" s="63" t="s">
        <v>58</v>
      </c>
      <c r="B9" s="74" t="s">
        <v>71</v>
      </c>
      <c r="C9" s="75">
        <v>563781735.53130591</v>
      </c>
      <c r="D9" s="80">
        <f>C9/C$15</f>
        <v>0.41311343925701394</v>
      </c>
      <c r="E9" s="75">
        <v>34616249.166877493</v>
      </c>
      <c r="F9" s="80">
        <f>E9/E$15</f>
        <v>0.40503841409696534</v>
      </c>
      <c r="G9" s="75">
        <v>66532568.332160667</v>
      </c>
      <c r="H9" s="80">
        <f>G9/G$15</f>
        <v>0.57064108205754238</v>
      </c>
    </row>
    <row r="10" spans="1:8" ht="16.5" x14ac:dyDescent="0.3">
      <c r="A10" s="63" t="s">
        <v>59</v>
      </c>
      <c r="B10" s="63" t="s">
        <v>72</v>
      </c>
      <c r="C10" s="76">
        <v>207533799.47275206</v>
      </c>
      <c r="D10" s="80">
        <f t="shared" ref="D10:D13" si="0">C10/C$15</f>
        <v>0.15207126492217365</v>
      </c>
      <c r="E10" s="76">
        <v>13000671.438995186</v>
      </c>
      <c r="F10" s="80">
        <f>E10/E$15</f>
        <v>0.15211848390798122</v>
      </c>
      <c r="G10" s="76">
        <v>18468472.637604963</v>
      </c>
      <c r="H10" s="80">
        <f>G10/G$15</f>
        <v>0.15840165912817628</v>
      </c>
    </row>
    <row r="11" spans="1:8" ht="16.5" x14ac:dyDescent="0.3">
      <c r="A11" s="63" t="s">
        <v>60</v>
      </c>
      <c r="B11" s="63" t="s">
        <v>68</v>
      </c>
      <c r="C11" s="76">
        <v>336518329.65126348</v>
      </c>
      <c r="D11" s="80">
        <f t="shared" si="0"/>
        <v>0.24658522221236351</v>
      </c>
      <c r="E11" s="76">
        <v>22092383.075146701</v>
      </c>
      <c r="F11" s="80">
        <f>E11/E$15</f>
        <v>0.25849894254118644</v>
      </c>
      <c r="G11" s="76">
        <v>20933935.013310105</v>
      </c>
      <c r="H11" s="80">
        <f>G11/G$15</f>
        <v>0.17954760543857104</v>
      </c>
    </row>
    <row r="12" spans="1:8" ht="16.5" x14ac:dyDescent="0.3">
      <c r="A12" s="63" t="s">
        <v>61</v>
      </c>
      <c r="B12" s="63" t="s">
        <v>95</v>
      </c>
      <c r="C12" s="76">
        <v>239099289.74383581</v>
      </c>
      <c r="D12" s="80">
        <f t="shared" si="0"/>
        <v>0.17520101075445438</v>
      </c>
      <c r="E12" s="76">
        <v>15414213.306924062</v>
      </c>
      <c r="F12" s="80">
        <f>E12/E$15</f>
        <v>0.18035889683746559</v>
      </c>
      <c r="G12" s="76">
        <v>9656712.1657675132</v>
      </c>
      <c r="H12" s="80">
        <f>G12/G$15</f>
        <v>8.2824349300342895E-2</v>
      </c>
    </row>
    <row r="13" spans="1:8" ht="16.5" x14ac:dyDescent="0.3">
      <c r="A13" s="63" t="s">
        <v>62</v>
      </c>
      <c r="B13" s="63" t="s">
        <v>70</v>
      </c>
      <c r="C13" s="75">
        <v>17780945.789084867</v>
      </c>
      <c r="D13" s="80">
        <f t="shared" si="0"/>
        <v>1.3029062853994286E-2</v>
      </c>
      <c r="E13" s="75">
        <v>340596.93827402266</v>
      </c>
      <c r="F13" s="80">
        <f>E13/E$15</f>
        <v>3.985262616401376E-3</v>
      </c>
      <c r="G13" s="75">
        <v>1000983.5394030639</v>
      </c>
      <c r="H13" s="80">
        <f>G13/G$15</f>
        <v>8.5853040753673098E-3</v>
      </c>
    </row>
    <row r="14" spans="1:8" ht="16.5" x14ac:dyDescent="0.3">
      <c r="A14" s="63"/>
      <c r="B14" s="63"/>
      <c r="C14" s="63"/>
      <c r="D14" s="63"/>
      <c r="E14" s="63"/>
      <c r="F14" s="63"/>
      <c r="G14" s="63"/>
      <c r="H14" s="63"/>
    </row>
    <row r="15" spans="1:8" ht="17.25" thickBot="1" x14ac:dyDescent="0.35">
      <c r="A15" s="77" t="s">
        <v>96</v>
      </c>
      <c r="B15" s="77"/>
      <c r="C15" s="78">
        <f t="shared" ref="C15:H15" si="1">SUM(C9:C13)</f>
        <v>1364714100.1882424</v>
      </c>
      <c r="D15" s="79">
        <f t="shared" si="1"/>
        <v>0.99999999999999967</v>
      </c>
      <c r="E15" s="78">
        <f t="shared" si="1"/>
        <v>85464113.926217467</v>
      </c>
      <c r="F15" s="79">
        <f t="shared" si="1"/>
        <v>1</v>
      </c>
      <c r="G15" s="78">
        <f t="shared" si="1"/>
        <v>116592671.68824632</v>
      </c>
      <c r="H15" s="79">
        <f t="shared" si="1"/>
        <v>0.99999999999999989</v>
      </c>
    </row>
    <row r="16" spans="1:8" ht="15.75" thickTop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9"/>
  <sheetViews>
    <sheetView topLeftCell="A8" workbookViewId="0">
      <selection activeCell="F70" sqref="F70"/>
    </sheetView>
  </sheetViews>
  <sheetFormatPr defaultRowHeight="15" x14ac:dyDescent="0.25"/>
  <cols>
    <col min="1" max="1" width="40.28515625" bestFit="1" customWidth="1"/>
    <col min="2" max="2" width="8.140625" bestFit="1" customWidth="1"/>
    <col min="3" max="7" width="12.5703125" bestFit="1" customWidth="1"/>
    <col min="8" max="9" width="13.7109375" bestFit="1" customWidth="1"/>
  </cols>
  <sheetData>
    <row r="1" spans="1:9" hidden="1" x14ac:dyDescent="0.25">
      <c r="C1" s="106">
        <v>2020</v>
      </c>
      <c r="D1" s="106">
        <v>2021</v>
      </c>
      <c r="E1" s="106">
        <v>2022</v>
      </c>
      <c r="F1" s="106">
        <v>2023</v>
      </c>
      <c r="G1" s="106">
        <v>2024</v>
      </c>
      <c r="H1" s="106">
        <v>2025</v>
      </c>
      <c r="I1" s="106">
        <v>2026</v>
      </c>
    </row>
    <row r="2" spans="1:9" hidden="1" x14ac:dyDescent="0.25">
      <c r="C2" s="8">
        <v>12238281.356332004</v>
      </c>
      <c r="D2" s="8">
        <v>29316324.288347561</v>
      </c>
      <c r="E2" s="8">
        <v>49436078.374845922</v>
      </c>
      <c r="F2" s="8">
        <v>69637299.597029909</v>
      </c>
      <c r="G2" s="8">
        <v>88038081.395861879</v>
      </c>
      <c r="H2" s="8">
        <v>104820306.59426486</v>
      </c>
      <c r="I2" s="8">
        <v>118055142.45395659</v>
      </c>
    </row>
    <row r="3" spans="1:9" hidden="1" x14ac:dyDescent="0.25">
      <c r="B3" s="5"/>
      <c r="C3" s="33">
        <v>1687549.3235029625</v>
      </c>
      <c r="D3" s="33">
        <v>5036267.9316412676</v>
      </c>
      <c r="E3" s="33">
        <v>8157167.9140866622</v>
      </c>
      <c r="F3" s="33">
        <v>11441593.324946402</v>
      </c>
      <c r="G3" s="33">
        <v>14504992.931113753</v>
      </c>
      <c r="H3" s="33">
        <v>17096530.81987495</v>
      </c>
      <c r="I3" s="33">
        <v>19437628.47512988</v>
      </c>
    </row>
    <row r="4" spans="1:9" hidden="1" x14ac:dyDescent="0.25">
      <c r="C4" s="33">
        <v>10550732.032829041</v>
      </c>
      <c r="D4" s="33">
        <v>24255557.839532614</v>
      </c>
      <c r="E4" s="33">
        <v>41261650.138107695</v>
      </c>
      <c r="F4" s="33">
        <v>58195706.272083521</v>
      </c>
      <c r="G4" s="33">
        <v>73533088.464748144</v>
      </c>
      <c r="H4" s="33">
        <v>87723775.774389938</v>
      </c>
      <c r="I4" s="33">
        <v>98617513.978826746</v>
      </c>
    </row>
    <row r="5" spans="1:9" hidden="1" x14ac:dyDescent="0.25"/>
    <row r="6" spans="1:9" hidden="1" x14ac:dyDescent="0.25">
      <c r="C6" s="108">
        <f>ROUND(+C3/C2,2)</f>
        <v>0.14000000000000001</v>
      </c>
      <c r="D6" s="108">
        <f t="shared" ref="D6:I6" si="0">ROUND(+D3/D2,2)</f>
        <v>0.17</v>
      </c>
      <c r="E6" s="108">
        <f t="shared" si="0"/>
        <v>0.17</v>
      </c>
      <c r="F6" s="108">
        <f t="shared" si="0"/>
        <v>0.16</v>
      </c>
      <c r="G6" s="108">
        <f t="shared" si="0"/>
        <v>0.16</v>
      </c>
      <c r="H6" s="108">
        <f t="shared" si="0"/>
        <v>0.16</v>
      </c>
      <c r="I6" s="108">
        <f t="shared" si="0"/>
        <v>0.16</v>
      </c>
    </row>
    <row r="7" spans="1:9" hidden="1" x14ac:dyDescent="0.25">
      <c r="C7" s="108">
        <f>ROUND(+C4/C2,2)</f>
        <v>0.86</v>
      </c>
      <c r="D7" s="108">
        <f t="shared" ref="D7:I7" si="1">ROUND(+D4/D2,2)</f>
        <v>0.83</v>
      </c>
      <c r="E7" s="108">
        <f t="shared" si="1"/>
        <v>0.83</v>
      </c>
      <c r="F7" s="108">
        <f t="shared" si="1"/>
        <v>0.84</v>
      </c>
      <c r="G7" s="108">
        <f t="shared" si="1"/>
        <v>0.84</v>
      </c>
      <c r="H7" s="108">
        <f t="shared" si="1"/>
        <v>0.84</v>
      </c>
      <c r="I7" s="108">
        <f t="shared" si="1"/>
        <v>0.84</v>
      </c>
    </row>
    <row r="8" spans="1:9" x14ac:dyDescent="0.25">
      <c r="C8" s="2">
        <v>2020</v>
      </c>
      <c r="D8" s="2">
        <v>2021</v>
      </c>
      <c r="E8" s="2">
        <v>2022</v>
      </c>
      <c r="F8" s="2">
        <v>2023</v>
      </c>
      <c r="G8" s="2">
        <v>2024</v>
      </c>
      <c r="H8" s="2">
        <v>2025</v>
      </c>
      <c r="I8" s="2">
        <v>2026</v>
      </c>
    </row>
    <row r="9" spans="1:9" x14ac:dyDescent="0.25">
      <c r="A9" s="7" t="s">
        <v>29</v>
      </c>
      <c r="C9" s="37">
        <v>12200000</v>
      </c>
      <c r="D9" s="37">
        <v>29300000</v>
      </c>
      <c r="E9" s="37">
        <v>49400000</v>
      </c>
      <c r="F9" s="37">
        <v>69600000</v>
      </c>
      <c r="G9" s="37">
        <v>88000000</v>
      </c>
      <c r="H9" s="37">
        <v>104800000</v>
      </c>
      <c r="I9" s="37">
        <v>118100000</v>
      </c>
    </row>
    <row r="10" spans="1:9" x14ac:dyDescent="0.25">
      <c r="A10" s="7" t="s">
        <v>30</v>
      </c>
      <c r="B10" s="109">
        <v>0.16</v>
      </c>
      <c r="C10" s="8">
        <f>+$B$10*C9</f>
        <v>1952000</v>
      </c>
      <c r="D10" s="8">
        <f t="shared" ref="D10:I10" si="2">+$B$10*D9</f>
        <v>4688000</v>
      </c>
      <c r="E10" s="8">
        <f t="shared" si="2"/>
        <v>7904000</v>
      </c>
      <c r="F10" s="8">
        <f t="shared" si="2"/>
        <v>11136000</v>
      </c>
      <c r="G10" s="8">
        <f t="shared" si="2"/>
        <v>14080000</v>
      </c>
      <c r="H10" s="8">
        <f t="shared" si="2"/>
        <v>16768000</v>
      </c>
      <c r="I10" s="8">
        <f t="shared" si="2"/>
        <v>18896000</v>
      </c>
    </row>
    <row r="11" spans="1:9" x14ac:dyDescent="0.25">
      <c r="A11" s="7" t="s">
        <v>31</v>
      </c>
      <c r="B11" s="109">
        <v>0.84</v>
      </c>
      <c r="C11" s="3">
        <f>+C9*$B$11</f>
        <v>10248000</v>
      </c>
      <c r="D11" s="3">
        <f t="shared" ref="D11:I11" si="3">+D9*$B$11</f>
        <v>24612000</v>
      </c>
      <c r="E11" s="3">
        <f t="shared" si="3"/>
        <v>41496000</v>
      </c>
      <c r="F11" s="3">
        <f t="shared" si="3"/>
        <v>58464000</v>
      </c>
      <c r="G11" s="3">
        <f t="shared" si="3"/>
        <v>73920000</v>
      </c>
      <c r="H11" s="3">
        <f t="shared" si="3"/>
        <v>88032000</v>
      </c>
      <c r="I11" s="3">
        <f t="shared" si="3"/>
        <v>99204000</v>
      </c>
    </row>
    <row r="13" spans="1:9" x14ac:dyDescent="0.25">
      <c r="A13" s="7" t="s">
        <v>97</v>
      </c>
      <c r="B13" s="110">
        <f>+'TDSIC Allocation Factors'!F12</f>
        <v>0.18035889683746559</v>
      </c>
      <c r="C13" s="3">
        <f>+C10*$B$13</f>
        <v>352060.56662673282</v>
      </c>
      <c r="D13" s="3">
        <f t="shared" ref="D13:I13" si="4">+D10*$B$13</f>
        <v>845522.50837403862</v>
      </c>
      <c r="E13" s="3">
        <f t="shared" si="4"/>
        <v>1425556.720603328</v>
      </c>
      <c r="F13" s="3">
        <f t="shared" si="4"/>
        <v>2008476.6751820168</v>
      </c>
      <c r="G13" s="3">
        <f t="shared" si="4"/>
        <v>2539453.2674715156</v>
      </c>
      <c r="H13" s="3">
        <f t="shared" si="4"/>
        <v>3024257.9821706228</v>
      </c>
      <c r="I13" s="3">
        <f t="shared" si="4"/>
        <v>3408061.7146407496</v>
      </c>
    </row>
    <row r="14" spans="1:9" x14ac:dyDescent="0.25">
      <c r="A14" s="7" t="s">
        <v>98</v>
      </c>
      <c r="B14" s="110">
        <f>+'TDSIC Allocation Factors'!H12</f>
        <v>8.2824349300342895E-2</v>
      </c>
      <c r="C14" s="6">
        <f>+C11*$B$14</f>
        <v>848783.93162991398</v>
      </c>
      <c r="D14" s="6">
        <f t="shared" ref="D14:I14" si="5">+D11*$B$14</f>
        <v>2038472.8849800394</v>
      </c>
      <c r="E14" s="6">
        <f t="shared" si="5"/>
        <v>3436879.1985670286</v>
      </c>
      <c r="F14" s="6">
        <f t="shared" si="5"/>
        <v>4842242.7574952468</v>
      </c>
      <c r="G14" s="6">
        <f t="shared" si="5"/>
        <v>6122375.9002813464</v>
      </c>
      <c r="H14" s="6">
        <f t="shared" si="5"/>
        <v>7291193.1176077854</v>
      </c>
      <c r="I14" s="6">
        <f t="shared" si="5"/>
        <v>8216506.7479912164</v>
      </c>
    </row>
    <row r="15" spans="1:9" x14ac:dyDescent="0.25">
      <c r="C15" s="8">
        <f>SUM(C13:C14)</f>
        <v>1200844.4982566468</v>
      </c>
      <c r="D15" s="8">
        <f t="shared" ref="D15:I15" si="6">SUM(D13:D14)</f>
        <v>2883995.3933540778</v>
      </c>
      <c r="E15" s="8">
        <f t="shared" si="6"/>
        <v>4862435.9191703564</v>
      </c>
      <c r="F15" s="8">
        <f t="shared" si="6"/>
        <v>6850719.4326772634</v>
      </c>
      <c r="G15" s="8">
        <f t="shared" si="6"/>
        <v>8661829.167752862</v>
      </c>
      <c r="H15" s="8">
        <f t="shared" si="6"/>
        <v>10315451.099778408</v>
      </c>
      <c r="I15" s="8">
        <f t="shared" si="6"/>
        <v>11624568.462631967</v>
      </c>
    </row>
    <row r="16" spans="1:9" x14ac:dyDescent="0.25">
      <c r="A16" s="7" t="s">
        <v>101</v>
      </c>
      <c r="B16" s="113">
        <f>+B10*B13+B11*B14</f>
        <v>9.8429876906282521E-2</v>
      </c>
      <c r="C16" s="9">
        <f>+C15/C9</f>
        <v>9.8429876906282521E-2</v>
      </c>
      <c r="D16" s="9">
        <f t="shared" ref="D16:I16" si="7">+D15/D9</f>
        <v>9.8429876906282521E-2</v>
      </c>
      <c r="E16" s="9">
        <f t="shared" si="7"/>
        <v>9.8429876906282521E-2</v>
      </c>
      <c r="F16" s="9">
        <f t="shared" si="7"/>
        <v>9.8429876906282521E-2</v>
      </c>
      <c r="G16" s="9">
        <f t="shared" si="7"/>
        <v>9.8429876906282521E-2</v>
      </c>
      <c r="H16" s="9">
        <f t="shared" si="7"/>
        <v>9.8429876906282521E-2</v>
      </c>
      <c r="I16" s="9">
        <f t="shared" si="7"/>
        <v>9.8429876906282535E-2</v>
      </c>
    </row>
    <row r="18" spans="1:9" x14ac:dyDescent="0.25">
      <c r="A18" s="54" t="s">
        <v>74</v>
      </c>
      <c r="C18" s="112">
        <v>1868786.0318928759</v>
      </c>
      <c r="D18" s="112">
        <v>1866427.3517245618</v>
      </c>
      <c r="E18" s="112">
        <v>1878464.5005894413</v>
      </c>
      <c r="F18" s="112">
        <v>1881695.5595289536</v>
      </c>
      <c r="G18" s="112">
        <v>1862422.7794618499</v>
      </c>
      <c r="H18" s="112">
        <v>1850340.3849774841</v>
      </c>
      <c r="I18" s="112">
        <v>1839443.2025124407</v>
      </c>
    </row>
    <row r="20" spans="1:9" x14ac:dyDescent="0.25">
      <c r="A20" s="54" t="s">
        <v>100</v>
      </c>
      <c r="C20" s="111">
        <f>+C15/C18/1000</f>
        <v>6.4257998388414896E-4</v>
      </c>
      <c r="D20" s="111">
        <f t="shared" ref="D20:I20" si="8">+D15/D18/1000</f>
        <v>1.5451956330844018E-3</v>
      </c>
      <c r="E20" s="111">
        <f t="shared" si="8"/>
        <v>2.5885162682843239E-3</v>
      </c>
      <c r="F20" s="111">
        <f t="shared" si="8"/>
        <v>3.6407161604782709E-3</v>
      </c>
      <c r="G20" s="111">
        <f t="shared" si="8"/>
        <v>4.6508393600381715E-3</v>
      </c>
      <c r="H20" s="111">
        <f t="shared" si="8"/>
        <v>5.5748937782082357E-3</v>
      </c>
      <c r="I20" s="111">
        <f t="shared" si="8"/>
        <v>6.3196126125309631E-3</v>
      </c>
    </row>
    <row r="21" spans="1:9" x14ac:dyDescent="0.25">
      <c r="A21" s="54" t="s">
        <v>105</v>
      </c>
      <c r="C21" s="57">
        <v>1.330565074097995E-3</v>
      </c>
      <c r="D21" s="57">
        <v>3.1363702434033798E-3</v>
      </c>
      <c r="E21" s="57">
        <v>5.2552387784710599E-3</v>
      </c>
      <c r="F21" s="57">
        <v>7.347783123430947E-3</v>
      </c>
      <c r="G21" s="57">
        <v>9.2123801512470575E-3</v>
      </c>
      <c r="H21" s="57">
        <v>1.0864755169587249E-2</v>
      </c>
      <c r="I21" s="57">
        <v>1.2086679250569651E-2</v>
      </c>
    </row>
    <row r="22" spans="1:9" x14ac:dyDescent="0.25">
      <c r="A22" s="7" t="s">
        <v>99</v>
      </c>
      <c r="C22" s="57">
        <v>9.1300473794513949E-4</v>
      </c>
      <c r="D22" s="57">
        <v>2.1810008398497564E-3</v>
      </c>
      <c r="E22" s="57">
        <v>3.6522957573791913E-3</v>
      </c>
      <c r="F22" s="57">
        <v>5.1303646942276434E-3</v>
      </c>
      <c r="G22" s="57">
        <v>6.4785770967767664E-3</v>
      </c>
      <c r="H22" s="57">
        <v>7.6827580372224938E-3</v>
      </c>
      <c r="I22" s="57">
        <v>8.6095690640474645E-3</v>
      </c>
    </row>
    <row r="24" spans="1:9" x14ac:dyDescent="0.25">
      <c r="A24" s="7" t="s">
        <v>106</v>
      </c>
      <c r="C24" s="107">
        <f>+C20/C21</f>
        <v>0.48293766039196628</v>
      </c>
      <c r="D24" s="107">
        <f t="shared" ref="D24:I24" si="9">+D20/D21</f>
        <v>0.49267003356327554</v>
      </c>
      <c r="E24" s="107">
        <f t="shared" si="9"/>
        <v>0.49255921136991943</v>
      </c>
      <c r="F24" s="107">
        <f t="shared" si="9"/>
        <v>0.49548497816553522</v>
      </c>
      <c r="G24" s="107">
        <f t="shared" si="9"/>
        <v>0.50484666108883913</v>
      </c>
      <c r="H24" s="107">
        <f t="shared" si="9"/>
        <v>0.51311729451700339</v>
      </c>
      <c r="I24" s="107">
        <f t="shared" si="9"/>
        <v>0.52285764199733487</v>
      </c>
    </row>
    <row r="25" spans="1:9" x14ac:dyDescent="0.25">
      <c r="A25" s="7" t="s">
        <v>107</v>
      </c>
      <c r="C25" s="107">
        <f>+C20/C22</f>
        <v>0.70380794006652814</v>
      </c>
      <c r="D25" s="107">
        <f t="shared" ref="D25:I25" si="10">+D20/D22</f>
        <v>0.70848007247482148</v>
      </c>
      <c r="E25" s="107">
        <f t="shared" si="10"/>
        <v>0.70873676181739109</v>
      </c>
      <c r="F25" s="107">
        <f t="shared" si="10"/>
        <v>0.70964081063760842</v>
      </c>
      <c r="G25" s="107">
        <f t="shared" si="10"/>
        <v>0.71787975825001227</v>
      </c>
      <c r="H25" s="107">
        <f t="shared" si="10"/>
        <v>0.72563703701173665</v>
      </c>
      <c r="I25" s="107">
        <f t="shared" si="10"/>
        <v>0.7340219429705156</v>
      </c>
    </row>
    <row r="27" spans="1:9" x14ac:dyDescent="0.25">
      <c r="A27" s="7" t="s">
        <v>103</v>
      </c>
      <c r="B27" s="110">
        <f>+'TDSIC Allocation Factors'!F9</f>
        <v>0.40503841409696534</v>
      </c>
    </row>
    <row r="28" spans="1:9" x14ac:dyDescent="0.25">
      <c r="A28" s="7" t="s">
        <v>102</v>
      </c>
      <c r="B28" s="110">
        <f>+'TDSIC Allocation Factors'!H9</f>
        <v>0.57064108205754238</v>
      </c>
    </row>
    <row r="29" spans="1:9" x14ac:dyDescent="0.25">
      <c r="A29" s="7" t="s">
        <v>104</v>
      </c>
      <c r="B29" s="113">
        <f>+B10*B27+B11*B28</f>
        <v>0.54414465518385002</v>
      </c>
    </row>
  </sheetData>
  <pageMargins left="0.25" right="0.25" top="0.75" bottom="0.75" header="0.3" footer="0.3"/>
  <pageSetup scale="97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I12"/>
  <sheetViews>
    <sheetView workbookViewId="0">
      <selection activeCell="D73" sqref="D73"/>
    </sheetView>
  </sheetViews>
  <sheetFormatPr defaultRowHeight="15" x14ac:dyDescent="0.25"/>
  <cols>
    <col min="1" max="1" width="38.5703125" bestFit="1" customWidth="1"/>
    <col min="2" max="9" width="15.28515625" style="42" bestFit="1" customWidth="1"/>
  </cols>
  <sheetData>
    <row r="3" spans="1:9" x14ac:dyDescent="0.25">
      <c r="A3" t="s">
        <v>50</v>
      </c>
      <c r="B3" s="43"/>
      <c r="C3" s="43">
        <v>12010610.255418144</v>
      </c>
      <c r="D3" s="43">
        <v>28599322.309594899</v>
      </c>
      <c r="E3" s="43">
        <v>48215580.495986655</v>
      </c>
      <c r="F3" s="43">
        <v>67953999.483436391</v>
      </c>
      <c r="G3" s="43">
        <v>85906742.556945056</v>
      </c>
      <c r="H3" s="43">
        <v>102310375.11903661</v>
      </c>
      <c r="I3" s="43">
        <v>115249592.16132081</v>
      </c>
    </row>
    <row r="4" spans="1:9" x14ac:dyDescent="0.25">
      <c r="A4" t="s">
        <v>52</v>
      </c>
      <c r="B4" s="43"/>
      <c r="C4" s="43">
        <v>12010610.255418144</v>
      </c>
      <c r="D4" s="43">
        <v>16588712.054176755</v>
      </c>
      <c r="E4" s="43">
        <v>19616258.186391756</v>
      </c>
      <c r="F4" s="43">
        <v>19738418.987449735</v>
      </c>
      <c r="G4" s="43">
        <v>17952743.073508665</v>
      </c>
      <c r="H4" s="43">
        <v>16403632.562091559</v>
      </c>
      <c r="I4" s="43">
        <v>12939217.042284191</v>
      </c>
    </row>
    <row r="5" spans="1:9" x14ac:dyDescent="0.25">
      <c r="A5" t="s">
        <v>51</v>
      </c>
      <c r="B5" s="43">
        <v>1454646000</v>
      </c>
      <c r="C5" s="43">
        <v>1466656610.2554181</v>
      </c>
      <c r="D5" s="43">
        <v>1483245322.3095949</v>
      </c>
      <c r="E5" s="43">
        <v>1502861580.4959867</v>
      </c>
      <c r="F5" s="43">
        <v>1522599999.4834363</v>
      </c>
      <c r="G5" s="43">
        <v>1540552742.5569451</v>
      </c>
      <c r="H5" s="43">
        <v>1556956375.1190367</v>
      </c>
      <c r="I5" s="43">
        <v>1569895592.1613207</v>
      </c>
    </row>
    <row r="6" spans="1:9" x14ac:dyDescent="0.25">
      <c r="A6" t="s">
        <v>53</v>
      </c>
      <c r="C6" s="44">
        <f>+C4/C5</f>
        <v>8.1891085966786029E-3</v>
      </c>
      <c r="D6" s="44">
        <f t="shared" ref="D6:I6" si="0">+D4/D5</f>
        <v>1.1184064972034495E-2</v>
      </c>
      <c r="E6" s="44">
        <f t="shared" si="0"/>
        <v>1.3052604738167462E-2</v>
      </c>
      <c r="F6" s="44">
        <f t="shared" si="0"/>
        <v>1.2963627344112882E-2</v>
      </c>
      <c r="G6" s="44">
        <f t="shared" si="0"/>
        <v>1.1653442675199455E-2</v>
      </c>
      <c r="H6" s="44">
        <f t="shared" si="0"/>
        <v>1.0535704676270987E-2</v>
      </c>
      <c r="I6" s="44">
        <f t="shared" si="0"/>
        <v>8.2420876311082546E-3</v>
      </c>
    </row>
    <row r="7" spans="1:9" x14ac:dyDescent="0.25">
      <c r="C7" s="44"/>
      <c r="D7" s="44"/>
      <c r="E7" s="44"/>
      <c r="F7" s="44"/>
      <c r="G7" s="44"/>
      <c r="H7" s="44"/>
      <c r="I7" s="44"/>
    </row>
    <row r="8" spans="1:9" x14ac:dyDescent="0.25">
      <c r="A8" s="40" t="s">
        <v>55</v>
      </c>
      <c r="B8" s="1"/>
      <c r="C8" s="41" t="s">
        <v>0</v>
      </c>
      <c r="D8" s="41" t="s">
        <v>1</v>
      </c>
      <c r="E8" s="41" t="s">
        <v>2</v>
      </c>
      <c r="F8" s="41" t="s">
        <v>3</v>
      </c>
      <c r="G8" s="41" t="s">
        <v>4</v>
      </c>
      <c r="H8" s="41" t="s">
        <v>5</v>
      </c>
      <c r="I8" s="41" t="s">
        <v>6</v>
      </c>
    </row>
    <row r="9" spans="1:9" x14ac:dyDescent="0.25">
      <c r="A9" s="7" t="s">
        <v>50</v>
      </c>
      <c r="B9" s="45"/>
      <c r="C9" s="45">
        <f t="shared" ref="C9:I9" si="1">+C3/1000000</f>
        <v>12.010610255418143</v>
      </c>
      <c r="D9" s="45">
        <f t="shared" si="1"/>
        <v>28.5993223095949</v>
      </c>
      <c r="E9" s="45">
        <f t="shared" si="1"/>
        <v>48.215580495986657</v>
      </c>
      <c r="F9" s="45">
        <f t="shared" si="1"/>
        <v>67.953999483436391</v>
      </c>
      <c r="G9" s="45">
        <f t="shared" si="1"/>
        <v>85.906742556945062</v>
      </c>
      <c r="H9" s="45">
        <f t="shared" si="1"/>
        <v>102.31037511903662</v>
      </c>
      <c r="I9" s="45">
        <f t="shared" si="1"/>
        <v>115.24959216132081</v>
      </c>
    </row>
    <row r="10" spans="1:9" x14ac:dyDescent="0.25">
      <c r="A10" s="7" t="s">
        <v>52</v>
      </c>
      <c r="B10" s="45"/>
      <c r="C10" s="45">
        <f t="shared" ref="C10:I11" si="2">+C4/1000000</f>
        <v>12.010610255418143</v>
      </c>
      <c r="D10" s="45">
        <f t="shared" si="2"/>
        <v>16.588712054176757</v>
      </c>
      <c r="E10" s="45">
        <f t="shared" si="2"/>
        <v>19.616258186391757</v>
      </c>
      <c r="F10" s="45">
        <f t="shared" si="2"/>
        <v>19.738418987449734</v>
      </c>
      <c r="G10" s="45">
        <f t="shared" si="2"/>
        <v>17.952743073508664</v>
      </c>
      <c r="H10" s="45">
        <f t="shared" si="2"/>
        <v>16.403632562091559</v>
      </c>
      <c r="I10" s="45">
        <f t="shared" si="2"/>
        <v>12.939217042284191</v>
      </c>
    </row>
    <row r="11" spans="1:9" x14ac:dyDescent="0.25">
      <c r="A11" s="7" t="s">
        <v>54</v>
      </c>
      <c r="B11" s="45">
        <f>+B5/1000000</f>
        <v>1454.646</v>
      </c>
      <c r="C11" s="45">
        <f t="shared" si="2"/>
        <v>1466.6566102554182</v>
      </c>
      <c r="D11" s="45">
        <f t="shared" si="2"/>
        <v>1483.2453223095949</v>
      </c>
      <c r="E11" s="45">
        <f t="shared" si="2"/>
        <v>1502.8615804959868</v>
      </c>
      <c r="F11" s="45">
        <f t="shared" si="2"/>
        <v>1522.5999994834362</v>
      </c>
      <c r="G11" s="45">
        <f t="shared" si="2"/>
        <v>1540.5527425569451</v>
      </c>
      <c r="H11" s="45">
        <f t="shared" si="2"/>
        <v>1556.9563751190367</v>
      </c>
      <c r="I11" s="45">
        <f t="shared" si="2"/>
        <v>1569.8955921613208</v>
      </c>
    </row>
    <row r="12" spans="1:9" x14ac:dyDescent="0.25">
      <c r="A12" s="7" t="s">
        <v>53</v>
      </c>
      <c r="C12" s="44">
        <f>+C10/C11</f>
        <v>8.1891085966786029E-3</v>
      </c>
      <c r="D12" s="44">
        <f t="shared" ref="D12" si="3">+D10/D11</f>
        <v>1.1184064972034495E-2</v>
      </c>
      <c r="E12" s="44">
        <f t="shared" ref="E12" si="4">+E10/E11</f>
        <v>1.3052604738167462E-2</v>
      </c>
      <c r="F12" s="44">
        <f t="shared" ref="F12" si="5">+F10/F11</f>
        <v>1.2963627344112882E-2</v>
      </c>
      <c r="G12" s="44">
        <f t="shared" ref="G12" si="6">+G10/G11</f>
        <v>1.1653442675199455E-2</v>
      </c>
      <c r="H12" s="44">
        <f t="shared" ref="H12" si="7">+H10/H11</f>
        <v>1.0535704676270987E-2</v>
      </c>
      <c r="I12" s="44">
        <f t="shared" ref="I12" si="8">+I10/I11</f>
        <v>8.2420876311082546E-3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6"/>
  <sheetViews>
    <sheetView tabSelected="1" workbookViewId="0">
      <selection activeCell="B8" sqref="B8"/>
    </sheetView>
  </sheetViews>
  <sheetFormatPr defaultRowHeight="15" x14ac:dyDescent="0.25"/>
  <sheetData>
    <row r="4" spans="2:2" x14ac:dyDescent="0.25">
      <c r="B4" t="s">
        <v>338</v>
      </c>
    </row>
    <row r="5" spans="2:2" x14ac:dyDescent="0.25">
      <c r="B5" t="s">
        <v>339</v>
      </c>
    </row>
    <row r="6" spans="2:2" x14ac:dyDescent="0.25">
      <c r="B6" t="s">
        <v>340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2"/>
  <sheetViews>
    <sheetView zoomScaleNormal="100" zoomScaleSheetLayoutView="100" workbookViewId="0">
      <selection activeCell="G26" sqref="G26"/>
    </sheetView>
  </sheetViews>
  <sheetFormatPr defaultRowHeight="15" x14ac:dyDescent="0.25"/>
  <cols>
    <col min="1" max="1" width="33.5703125" style="214" customWidth="1"/>
    <col min="2" max="9" width="12.28515625" style="166" bestFit="1" customWidth="1"/>
    <col min="10" max="16384" width="9.140625" style="166"/>
  </cols>
  <sheetData>
    <row r="1" spans="1:9" x14ac:dyDescent="0.25">
      <c r="A1" s="221"/>
      <c r="B1" s="199" t="s">
        <v>151</v>
      </c>
      <c r="C1" s="199" t="s">
        <v>152</v>
      </c>
      <c r="D1" s="199" t="s">
        <v>153</v>
      </c>
      <c r="E1" s="199" t="s">
        <v>154</v>
      </c>
      <c r="F1" s="199" t="s">
        <v>155</v>
      </c>
      <c r="G1" s="199" t="s">
        <v>156</v>
      </c>
      <c r="H1" s="199" t="s">
        <v>157</v>
      </c>
      <c r="I1" s="200" t="s">
        <v>336</v>
      </c>
    </row>
    <row r="2" spans="1:9" x14ac:dyDescent="0.25">
      <c r="A2" s="222" t="s">
        <v>169</v>
      </c>
      <c r="B2" s="195">
        <v>43921</v>
      </c>
      <c r="C2" s="195">
        <v>44286</v>
      </c>
      <c r="D2" s="195">
        <v>44651</v>
      </c>
      <c r="E2" s="195">
        <v>45016</v>
      </c>
      <c r="F2" s="195">
        <v>45382</v>
      </c>
      <c r="G2" s="195">
        <v>45747</v>
      </c>
      <c r="H2" s="195">
        <v>46112</v>
      </c>
      <c r="I2" s="201">
        <v>46477</v>
      </c>
    </row>
    <row r="3" spans="1:9" x14ac:dyDescent="0.25">
      <c r="A3" s="223" t="s">
        <v>170</v>
      </c>
      <c r="B3" s="183" t="s">
        <v>267</v>
      </c>
      <c r="C3" s="183" t="s">
        <v>268</v>
      </c>
      <c r="D3" s="183" t="s">
        <v>269</v>
      </c>
      <c r="E3" s="183" t="s">
        <v>270</v>
      </c>
      <c r="F3" s="183" t="s">
        <v>271</v>
      </c>
      <c r="G3" s="183" t="s">
        <v>272</v>
      </c>
      <c r="H3" s="183" t="s">
        <v>273</v>
      </c>
      <c r="I3" s="202" t="s">
        <v>276</v>
      </c>
    </row>
    <row r="4" spans="1:9" x14ac:dyDescent="0.25">
      <c r="A4" s="224"/>
      <c r="B4" s="196"/>
      <c r="C4" s="197"/>
      <c r="D4" s="197"/>
      <c r="E4" s="197"/>
      <c r="F4" s="197"/>
      <c r="G4" s="197"/>
      <c r="H4" s="197"/>
      <c r="I4" s="203"/>
    </row>
    <row r="5" spans="1:9" x14ac:dyDescent="0.25">
      <c r="A5" s="222" t="s">
        <v>290</v>
      </c>
      <c r="B5" s="185">
        <v>4.1529999999999996</v>
      </c>
      <c r="C5" s="185">
        <f>+'CAR-1 Revenue Requirement'!D90/1000000</f>
        <v>15.635190727265293</v>
      </c>
      <c r="D5" s="185">
        <f>+'CAR-1 Revenue Requirement'!E90/1000000</f>
        <v>32.388071695731746</v>
      </c>
      <c r="E5" s="185">
        <f>+'CAR-1 Revenue Requirement'!F90/1000000</f>
        <v>49.907941476758957</v>
      </c>
      <c r="F5" s="185">
        <f>+'CAR-1 Revenue Requirement'!G90/1000000</f>
        <v>68.812932957553485</v>
      </c>
      <c r="G5" s="185">
        <f>+'CAR-1 Revenue Requirement'!H90/1000000</f>
        <v>84.770502972395718</v>
      </c>
      <c r="H5" s="185">
        <f>+'CAR-1 Revenue Requirement'!I90/1000000</f>
        <v>99.170766051146259</v>
      </c>
      <c r="I5" s="204">
        <f>+'CAR-1 Revenue Requirement'!J90/1000000</f>
        <v>107.59408819340335</v>
      </c>
    </row>
    <row r="6" spans="1:9" ht="32.25" x14ac:dyDescent="0.25">
      <c r="A6" s="228" t="s">
        <v>335</v>
      </c>
      <c r="B6" s="187">
        <f>+(B22-B21)/B21</f>
        <v>3.030723199299438E-3</v>
      </c>
      <c r="C6" s="187">
        <f t="shared" ref="C6:I6" si="0">+(C22-B22)/B22</f>
        <v>8.3540075413748843E-3</v>
      </c>
      <c r="D6" s="187">
        <f t="shared" si="0"/>
        <v>1.208778092983938E-2</v>
      </c>
      <c r="E6" s="187">
        <f t="shared" si="0"/>
        <v>1.2490210856250553E-2</v>
      </c>
      <c r="F6" s="187">
        <f t="shared" si="0"/>
        <v>1.3311424988327372E-2</v>
      </c>
      <c r="G6" s="187">
        <f t="shared" si="0"/>
        <v>1.1088476553433034E-2</v>
      </c>
      <c r="H6" s="187">
        <f t="shared" si="0"/>
        <v>9.8966084800248544E-3</v>
      </c>
      <c r="I6" s="205">
        <f t="shared" si="0"/>
        <v>5.7322148469089989E-3</v>
      </c>
    </row>
    <row r="7" spans="1:9" x14ac:dyDescent="0.25">
      <c r="A7" s="222" t="s">
        <v>333</v>
      </c>
      <c r="B7" s="187"/>
      <c r="C7" s="187"/>
      <c r="D7" s="187"/>
      <c r="E7" s="187"/>
      <c r="F7" s="187"/>
      <c r="G7" s="187"/>
      <c r="H7" s="187"/>
      <c r="I7" s="205">
        <f>+I5/B21/7</f>
        <v>1.1216948133714552E-2</v>
      </c>
    </row>
    <row r="8" spans="1:9" ht="8.25" customHeight="1" x14ac:dyDescent="0.25">
      <c r="A8" s="225"/>
      <c r="B8" s="184"/>
      <c r="C8" s="184"/>
      <c r="D8" s="184"/>
      <c r="E8" s="184"/>
      <c r="F8" s="184"/>
      <c r="G8" s="184"/>
      <c r="H8" s="184"/>
      <c r="I8" s="206"/>
    </row>
    <row r="9" spans="1:9" x14ac:dyDescent="0.25">
      <c r="A9" s="226" t="s">
        <v>291</v>
      </c>
      <c r="B9" s="188"/>
      <c r="C9" s="189"/>
      <c r="D9" s="189"/>
      <c r="E9" s="189"/>
      <c r="F9" s="189"/>
      <c r="G9" s="189"/>
      <c r="H9" s="189"/>
      <c r="I9" s="207"/>
    </row>
    <row r="10" spans="1:9" x14ac:dyDescent="0.25">
      <c r="A10" s="227" t="s">
        <v>58</v>
      </c>
      <c r="B10" s="190">
        <v>4.4000000000000002E-4</v>
      </c>
      <c r="C10" s="190">
        <f>+'CAR-1 Revenue Requirement'!D145</f>
        <v>1.6335214134331007E-3</v>
      </c>
      <c r="D10" s="190">
        <f>+'CAR-1 Revenue Requirement'!E145</f>
        <v>3.3794761126736631E-3</v>
      </c>
      <c r="E10" s="190">
        <f>+'CAR-1 Revenue Requirement'!F145</f>
        <v>5.1595685702428085E-3</v>
      </c>
      <c r="F10" s="190">
        <f>+'CAR-1 Revenue Requirement'!G145</f>
        <v>7.0305386308522578E-3</v>
      </c>
      <c r="G10" s="190">
        <f>+'CAR-1 Revenue Requirement'!H145</f>
        <v>8.5247734634466641E-3</v>
      </c>
      <c r="H10" s="190">
        <f>+'CAR-1 Revenue Requirement'!I145</f>
        <v>9.8416896362595822E-3</v>
      </c>
      <c r="I10" s="208">
        <f>+'CAR-1 Revenue Requirement'!J145</f>
        <v>1.050703703695818E-2</v>
      </c>
    </row>
    <row r="11" spans="1:9" x14ac:dyDescent="0.25">
      <c r="A11" s="227" t="s">
        <v>59</v>
      </c>
      <c r="B11" s="190">
        <v>3.6499999999999998E-4</v>
      </c>
      <c r="C11" s="190">
        <f>+'CAR-1 Revenue Requirement'!D146</f>
        <v>1.3664908463518169E-3</v>
      </c>
      <c r="D11" s="190">
        <f>+'CAR-1 Revenue Requirement'!E146</f>
        <v>2.7972659937780934E-3</v>
      </c>
      <c r="E11" s="190">
        <f>+'CAR-1 Revenue Requirement'!F146</f>
        <v>4.310924858716589E-3</v>
      </c>
      <c r="F11" s="190">
        <f>+'CAR-1 Revenue Requirement'!G146</f>
        <v>5.9169958840119986E-3</v>
      </c>
      <c r="G11" s="190">
        <f>+'CAR-1 Revenue Requirement'!H146</f>
        <v>7.2613939453784072E-3</v>
      </c>
      <c r="H11" s="190">
        <f>+'CAR-1 Revenue Requirement'!I146</f>
        <v>8.5093632455807821E-3</v>
      </c>
      <c r="I11" s="208">
        <f>+'CAR-1 Revenue Requirement'!J146</f>
        <v>9.2368652865629595E-3</v>
      </c>
    </row>
    <row r="12" spans="1:9" x14ac:dyDescent="0.25">
      <c r="A12" s="227" t="s">
        <v>60</v>
      </c>
      <c r="B12" s="190">
        <v>1.46E-4</v>
      </c>
      <c r="C12" s="190">
        <f>+'CAR-1 Revenue Requirement'!D147</f>
        <v>8.4641667707331496E-4</v>
      </c>
      <c r="D12" s="190">
        <f>+'CAR-1 Revenue Requirement'!E147</f>
        <v>1.7333884225067891E-3</v>
      </c>
      <c r="E12" s="190">
        <f>+'CAR-1 Revenue Requirement'!F147</f>
        <v>2.6781375514629132E-3</v>
      </c>
      <c r="F12" s="190">
        <f>+'CAR-1 Revenue Requirement'!G147</f>
        <v>3.7249277951725383E-3</v>
      </c>
      <c r="G12" s="190">
        <f>+'CAR-1 Revenue Requirement'!H147</f>
        <v>4.6078629494923588E-3</v>
      </c>
      <c r="H12" s="190">
        <f>+'CAR-1 Revenue Requirement'!I147</f>
        <v>5.4024109314980825E-3</v>
      </c>
      <c r="I12" s="208">
        <f>+'CAR-1 Revenue Requirement'!J147</f>
        <v>5.8873394556249355E-3</v>
      </c>
    </row>
    <row r="13" spans="1:9" x14ac:dyDescent="0.25">
      <c r="A13" s="227" t="s">
        <v>61</v>
      </c>
      <c r="B13" s="190">
        <v>2.2599999999999999E-4</v>
      </c>
      <c r="C13" s="190">
        <f>+'CAR-1 Revenue Requirement'!D148</f>
        <v>5.3966473150440298E-4</v>
      </c>
      <c r="D13" s="190">
        <f>+'CAR-1 Revenue Requirement'!E148</f>
        <v>1.1033993424707936E-3</v>
      </c>
      <c r="E13" s="190">
        <f>+'CAR-1 Revenue Requirement'!F148</f>
        <v>1.7228087783761517E-3</v>
      </c>
      <c r="F13" s="190">
        <f>+'CAR-1 Revenue Requirement'!G148</f>
        <v>2.4124224985692328E-3</v>
      </c>
      <c r="G13" s="190">
        <f>+'CAR-1 Revenue Requirement'!H148</f>
        <v>3.0290416667538163E-3</v>
      </c>
      <c r="H13" s="190">
        <f>+'CAR-1 Revenue Requirement'!I148</f>
        <v>3.5857766702254916E-3</v>
      </c>
      <c r="I13" s="208">
        <f>+'CAR-1 Revenue Requirement'!J148</f>
        <v>3.9590696225864537E-3</v>
      </c>
    </row>
    <row r="14" spans="1:9" x14ac:dyDescent="0.25">
      <c r="A14" s="227" t="s">
        <v>62</v>
      </c>
      <c r="B14" s="190">
        <v>3.6200000000000002E-4</v>
      </c>
      <c r="C14" s="190">
        <f>+'CAR-1 Revenue Requirement'!D149</f>
        <v>1.57146107417399E-3</v>
      </c>
      <c r="D14" s="190">
        <f>+'CAR-1 Revenue Requirement'!E149</f>
        <v>3.3335645028751072E-3</v>
      </c>
      <c r="E14" s="190">
        <f>+'CAR-1 Revenue Requirement'!F149</f>
        <v>5.2671495848787856E-3</v>
      </c>
      <c r="F14" s="190">
        <f>+'CAR-1 Revenue Requirement'!G149</f>
        <v>7.4524858730921342E-3</v>
      </c>
      <c r="G14" s="190">
        <f>+'CAR-1 Revenue Requirement'!H149</f>
        <v>9.4360891744213211E-3</v>
      </c>
      <c r="H14" s="190">
        <f>+'CAR-1 Revenue Requirement'!I149</f>
        <v>1.1419231230455667E-2</v>
      </c>
      <c r="I14" s="208">
        <f>+'CAR-1 Revenue Requirement'!J149</f>
        <v>1.2806706251008097E-2</v>
      </c>
    </row>
    <row r="15" spans="1:9" ht="8.25" customHeight="1" x14ac:dyDescent="0.25">
      <c r="A15" s="212"/>
      <c r="B15" s="191"/>
      <c r="C15" s="192"/>
      <c r="D15" s="192"/>
      <c r="E15" s="192"/>
      <c r="F15" s="192"/>
      <c r="G15" s="192"/>
      <c r="H15" s="192"/>
      <c r="I15" s="209"/>
    </row>
    <row r="16" spans="1:9" ht="16.5" thickBot="1" x14ac:dyDescent="0.3">
      <c r="A16" s="213" t="s">
        <v>334</v>
      </c>
      <c r="B16" s="210"/>
      <c r="C16" s="210"/>
      <c r="D16" s="210"/>
      <c r="E16" s="210"/>
      <c r="F16" s="210"/>
      <c r="G16" s="210"/>
      <c r="H16" s="210"/>
      <c r="I16" s="211"/>
    </row>
    <row r="20" spans="1:12" x14ac:dyDescent="0.25">
      <c r="A20" s="214" t="s">
        <v>274</v>
      </c>
    </row>
    <row r="21" spans="1:12" x14ac:dyDescent="0.25">
      <c r="B21" s="186">
        <v>1370.3</v>
      </c>
      <c r="L21" s="9">
        <f>+I5/B21/7</f>
        <v>1.1216948133714552E-2</v>
      </c>
    </row>
    <row r="22" spans="1:12" ht="15.75" x14ac:dyDescent="0.25">
      <c r="A22" s="215" t="s">
        <v>292</v>
      </c>
      <c r="B22" s="186">
        <f t="shared" ref="B22:G22" si="1">+B5+$B$21</f>
        <v>1374.453</v>
      </c>
      <c r="C22" s="186">
        <f t="shared" si="1"/>
        <v>1385.9351907272653</v>
      </c>
      <c r="D22" s="186">
        <f t="shared" si="1"/>
        <v>1402.6880716957317</v>
      </c>
      <c r="E22" s="186">
        <f t="shared" si="1"/>
        <v>1420.2079414767588</v>
      </c>
      <c r="F22" s="186">
        <f t="shared" si="1"/>
        <v>1439.1129329575535</v>
      </c>
      <c r="G22" s="186">
        <f t="shared" si="1"/>
        <v>1455.0705029723956</v>
      </c>
      <c r="H22" s="186">
        <f t="shared" ref="H22:I22" si="2">+H5+$B$21</f>
        <v>1469.4707660511463</v>
      </c>
      <c r="I22" s="186">
        <f t="shared" si="2"/>
        <v>1477.8940881934034</v>
      </c>
    </row>
  </sheetData>
  <phoneticPr fontId="14" type="noConversion"/>
  <pageMargins left="0.7" right="0.7" top="0.75" bottom="0.75" header="0.3" footer="0.3"/>
  <pageSetup scale="98" orientation="landscape" horizontalDpi="1200" verticalDpi="1200" r:id="rId1"/>
  <headerFooter>
    <oddHeader>&amp;RIndianapolis Power &amp; Light Company
TDSIC Plan Filing
IPL Attachment  CAR-1
Page 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9"/>
  <sheetViews>
    <sheetView view="pageLayout" topLeftCell="E115" zoomScale="70" zoomScaleNormal="60" zoomScaleSheetLayoutView="70" zoomScalePageLayoutView="70" workbookViewId="0">
      <selection activeCell="M11" sqref="M11"/>
    </sheetView>
  </sheetViews>
  <sheetFormatPr defaultRowHeight="15" x14ac:dyDescent="0.25"/>
  <cols>
    <col min="1" max="1" width="9.140625" style="169"/>
    <col min="2" max="2" width="3.140625" style="136" customWidth="1"/>
    <col min="3" max="3" width="70.5703125" style="166" customWidth="1"/>
    <col min="4" max="4" width="19.140625" style="166" bestFit="1" customWidth="1"/>
    <col min="5" max="10" width="19.7109375" style="166" bestFit="1" customWidth="1"/>
    <col min="11" max="11" width="1.7109375" style="136" customWidth="1"/>
    <col min="12" max="12" width="40.5703125" style="157" bestFit="1" customWidth="1"/>
    <col min="13" max="13" width="16.140625" style="166" bestFit="1" customWidth="1"/>
    <col min="14" max="16384" width="9.140625" style="166"/>
  </cols>
  <sheetData>
    <row r="1" spans="1:12" x14ac:dyDescent="0.25">
      <c r="A1" s="144" t="s">
        <v>133</v>
      </c>
      <c r="B1" s="144"/>
      <c r="C1" s="145"/>
      <c r="D1" s="145"/>
      <c r="E1" s="145"/>
      <c r="F1" s="145"/>
      <c r="G1" s="145"/>
      <c r="H1" s="145"/>
      <c r="I1" s="145"/>
      <c r="J1" s="145"/>
      <c r="K1" s="144"/>
      <c r="L1" s="1"/>
    </row>
    <row r="2" spans="1:12" x14ac:dyDescent="0.25">
      <c r="A2" s="144" t="s">
        <v>134</v>
      </c>
      <c r="B2" s="144"/>
      <c r="C2" s="145"/>
      <c r="D2" s="145"/>
      <c r="E2" s="145"/>
      <c r="F2" s="145"/>
      <c r="G2" s="145"/>
      <c r="H2" s="145"/>
      <c r="I2" s="145"/>
      <c r="J2" s="145"/>
      <c r="K2" s="144"/>
      <c r="L2" s="1"/>
    </row>
    <row r="3" spans="1:12" x14ac:dyDescent="0.25">
      <c r="A3" s="144" t="s">
        <v>149</v>
      </c>
      <c r="B3" s="167"/>
      <c r="C3" s="168"/>
      <c r="D3" s="168"/>
      <c r="E3" s="168"/>
      <c r="F3" s="168"/>
      <c r="G3" s="168"/>
      <c r="H3" s="168"/>
      <c r="I3" s="168"/>
      <c r="J3" s="168"/>
      <c r="K3" s="167"/>
    </row>
    <row r="5" spans="1:12" x14ac:dyDescent="0.25">
      <c r="D5" s="157" t="s">
        <v>82</v>
      </c>
      <c r="E5" s="170" t="s">
        <v>83</v>
      </c>
      <c r="F5" s="157" t="s">
        <v>84</v>
      </c>
      <c r="G5" s="157" t="s">
        <v>85</v>
      </c>
      <c r="H5" s="157" t="s">
        <v>86</v>
      </c>
      <c r="I5" s="157" t="s">
        <v>87</v>
      </c>
      <c r="J5" s="171" t="s">
        <v>88</v>
      </c>
      <c r="K5" s="169"/>
    </row>
    <row r="6" spans="1:12" x14ac:dyDescent="0.25">
      <c r="C6" s="7" t="s">
        <v>168</v>
      </c>
      <c r="D6" s="131" t="s">
        <v>152</v>
      </c>
      <c r="E6" s="131" t="s">
        <v>153</v>
      </c>
      <c r="F6" s="131" t="s">
        <v>154</v>
      </c>
      <c r="G6" s="131" t="s">
        <v>155</v>
      </c>
      <c r="H6" s="131" t="s">
        <v>156</v>
      </c>
      <c r="I6" s="131" t="s">
        <v>157</v>
      </c>
      <c r="J6" s="151" t="s">
        <v>275</v>
      </c>
    </row>
    <row r="7" spans="1:12" x14ac:dyDescent="0.25">
      <c r="C7" s="7" t="s">
        <v>169</v>
      </c>
      <c r="D7" s="198">
        <v>44286</v>
      </c>
      <c r="E7" s="198">
        <v>44651</v>
      </c>
      <c r="F7" s="198">
        <v>45016</v>
      </c>
      <c r="G7" s="198">
        <v>45382</v>
      </c>
      <c r="H7" s="198">
        <v>45747</v>
      </c>
      <c r="I7" s="198">
        <v>46112</v>
      </c>
      <c r="J7" s="198">
        <v>46477</v>
      </c>
    </row>
    <row r="8" spans="1:12" x14ac:dyDescent="0.25">
      <c r="A8" s="2" t="s">
        <v>122</v>
      </c>
      <c r="B8" s="131"/>
      <c r="C8" s="163" t="s">
        <v>170</v>
      </c>
      <c r="D8" s="153" t="s">
        <v>268</v>
      </c>
      <c r="E8" s="153" t="s">
        <v>269</v>
      </c>
      <c r="F8" s="153" t="s">
        <v>270</v>
      </c>
      <c r="G8" s="153" t="s">
        <v>271</v>
      </c>
      <c r="H8" s="153" t="s">
        <v>272</v>
      </c>
      <c r="I8" s="153" t="s">
        <v>273</v>
      </c>
      <c r="J8" s="153" t="s">
        <v>276</v>
      </c>
      <c r="L8" s="2" t="s">
        <v>121</v>
      </c>
    </row>
    <row r="9" spans="1:12" x14ac:dyDescent="0.25">
      <c r="A9" s="131"/>
      <c r="B9" s="131"/>
      <c r="C9" s="148"/>
      <c r="D9" s="131"/>
      <c r="E9" s="131"/>
      <c r="F9" s="131"/>
      <c r="G9" s="131"/>
      <c r="H9" s="131"/>
      <c r="I9" s="131"/>
      <c r="J9" s="131"/>
    </row>
    <row r="10" spans="1:12" x14ac:dyDescent="0.25">
      <c r="C10" s="7" t="s">
        <v>115</v>
      </c>
    </row>
    <row r="11" spans="1:12" x14ac:dyDescent="0.25">
      <c r="C11" s="130" t="s">
        <v>116</v>
      </c>
      <c r="D11" s="92"/>
      <c r="E11" s="92"/>
      <c r="F11" s="92"/>
      <c r="G11" s="92"/>
      <c r="H11" s="92"/>
      <c r="I11" s="92"/>
      <c r="J11" s="92"/>
    </row>
    <row r="12" spans="1:12" x14ac:dyDescent="0.25">
      <c r="A12" s="169">
        <v>1</v>
      </c>
      <c r="C12" s="136" t="s">
        <v>9</v>
      </c>
      <c r="D12" s="172">
        <f>+'CAR- 2 Rate Base and Depr Exp'!F89</f>
        <v>28217752.910889588</v>
      </c>
      <c r="E12" s="172">
        <f>+'CAR- 2 Rate Base and Depr Exp'!G89</f>
        <v>51642665.745591618</v>
      </c>
      <c r="F12" s="172">
        <f>+'CAR- 2 Rate Base and Depr Exp'!H89</f>
        <v>79713740.847367853</v>
      </c>
      <c r="G12" s="172">
        <f>+'CAR- 2 Rate Base and Depr Exp'!I89</f>
        <v>113501466.59813905</v>
      </c>
      <c r="H12" s="172">
        <f>+'CAR- 2 Rate Base and Depr Exp'!J89</f>
        <v>147620029.96796352</v>
      </c>
      <c r="I12" s="172">
        <f>+'CAR- 2 Rate Base and Depr Exp'!K89</f>
        <v>164985917.77465713</v>
      </c>
      <c r="J12" s="172">
        <f>+'CAR- 2 Rate Base and Depr Exp'!L89</f>
        <v>188841091.90825471</v>
      </c>
      <c r="L12" s="157" t="s">
        <v>125</v>
      </c>
    </row>
    <row r="13" spans="1:12" x14ac:dyDescent="0.25">
      <c r="A13" s="169">
        <v>2</v>
      </c>
      <c r="C13" s="136" t="s">
        <v>124</v>
      </c>
      <c r="D13" s="133">
        <v>6.6799999999999998E-2</v>
      </c>
      <c r="E13" s="133">
        <v>6.6799999999999998E-2</v>
      </c>
      <c r="F13" s="133">
        <v>6.6799999999999998E-2</v>
      </c>
      <c r="G13" s="133">
        <v>6.6799999999999998E-2</v>
      </c>
      <c r="H13" s="133">
        <v>6.6799999999999998E-2</v>
      </c>
      <c r="I13" s="133">
        <v>6.6799999999999998E-2</v>
      </c>
      <c r="J13" s="133">
        <f>+I13</f>
        <v>6.6799999999999998E-2</v>
      </c>
      <c r="L13" s="157" t="s">
        <v>329</v>
      </c>
    </row>
    <row r="14" spans="1:12" x14ac:dyDescent="0.25">
      <c r="A14" s="169">
        <v>3</v>
      </c>
      <c r="C14" s="136" t="s">
        <v>13</v>
      </c>
      <c r="D14" s="124">
        <f t="shared" ref="D14:I14" si="0">+D12*D13</f>
        <v>1884945.8944474244</v>
      </c>
      <c r="E14" s="124">
        <f t="shared" si="0"/>
        <v>3449730.07180552</v>
      </c>
      <c r="F14" s="124">
        <f t="shared" si="0"/>
        <v>5324877.8886041725</v>
      </c>
      <c r="G14" s="124">
        <f t="shared" si="0"/>
        <v>7581897.9687556885</v>
      </c>
      <c r="H14" s="124">
        <f t="shared" si="0"/>
        <v>9861018.0018599629</v>
      </c>
      <c r="I14" s="124">
        <f t="shared" si="0"/>
        <v>11021059.307347097</v>
      </c>
      <c r="J14" s="124">
        <f t="shared" ref="J14" si="1">+J12*J13</f>
        <v>12614584.939471414</v>
      </c>
      <c r="L14" s="157" t="s">
        <v>127</v>
      </c>
    </row>
    <row r="15" spans="1:12" x14ac:dyDescent="0.25">
      <c r="A15" s="171">
        <v>4</v>
      </c>
      <c r="C15" s="136" t="s">
        <v>11</v>
      </c>
      <c r="D15" s="174">
        <v>1.2388600000000001</v>
      </c>
      <c r="E15" s="174">
        <v>1.2388600000000001</v>
      </c>
      <c r="F15" s="174">
        <v>1.2388600000000001</v>
      </c>
      <c r="G15" s="174">
        <v>1.2388600000000001</v>
      </c>
      <c r="H15" s="174">
        <v>1.2388600000000001</v>
      </c>
      <c r="I15" s="174">
        <v>1.2388600000000001</v>
      </c>
      <c r="J15" s="174">
        <f>+I15</f>
        <v>1.2388600000000001</v>
      </c>
      <c r="L15" s="157" t="s">
        <v>330</v>
      </c>
    </row>
    <row r="16" spans="1:12" x14ac:dyDescent="0.25">
      <c r="A16" s="171">
        <v>5</v>
      </c>
      <c r="C16" s="136" t="s">
        <v>117</v>
      </c>
      <c r="D16" s="124">
        <f t="shared" ref="D16:I16" si="2">+D14*D15</f>
        <v>2335184.0707951365</v>
      </c>
      <c r="E16" s="124">
        <f t="shared" si="2"/>
        <v>4273732.5967569863</v>
      </c>
      <c r="F16" s="124">
        <f t="shared" si="2"/>
        <v>6596778.2210761653</v>
      </c>
      <c r="G16" s="124">
        <f t="shared" si="2"/>
        <v>9392910.1175726727</v>
      </c>
      <c r="H16" s="124">
        <f t="shared" si="2"/>
        <v>12216420.761784235</v>
      </c>
      <c r="I16" s="124">
        <f t="shared" si="2"/>
        <v>13653549.533500025</v>
      </c>
      <c r="J16" s="124">
        <f t="shared" ref="J16" si="3">+J14*J15</f>
        <v>15627704.698113557</v>
      </c>
      <c r="L16" s="157" t="s">
        <v>128</v>
      </c>
    </row>
    <row r="17" spans="1:12" x14ac:dyDescent="0.25">
      <c r="C17" s="136"/>
      <c r="D17" s="173"/>
      <c r="E17" s="173"/>
      <c r="F17" s="173"/>
      <c r="G17" s="173"/>
      <c r="H17" s="173"/>
      <c r="I17" s="173"/>
      <c r="J17" s="173"/>
    </row>
    <row r="18" spans="1:12" x14ac:dyDescent="0.25">
      <c r="C18" s="130" t="s">
        <v>118</v>
      </c>
      <c r="D18" s="173"/>
      <c r="E18" s="173"/>
      <c r="F18" s="173"/>
      <c r="G18" s="173"/>
      <c r="H18" s="173"/>
      <c r="I18" s="173"/>
      <c r="J18" s="173"/>
    </row>
    <row r="19" spans="1:12" x14ac:dyDescent="0.25">
      <c r="A19" s="171">
        <v>6</v>
      </c>
      <c r="C19" s="136" t="s">
        <v>23</v>
      </c>
      <c r="D19" s="124">
        <f>+'CAR-3 Property Tax Expense'!E26</f>
        <v>202946.02302711975</v>
      </c>
      <c r="E19" s="124">
        <f>+'CAR-3 Property Tax Expense'!F26</f>
        <v>734618.94091591262</v>
      </c>
      <c r="F19" s="124">
        <f>+'CAR-3 Property Tax Expense'!G26</f>
        <v>1326074.0076288758</v>
      </c>
      <c r="G19" s="124">
        <f>+'CAR-3 Property Tax Expense'!H26</f>
        <v>2000824.9162893367</v>
      </c>
      <c r="H19" s="124">
        <f>+'CAR-3 Property Tax Expense'!I26</f>
        <v>2799712.7042334392</v>
      </c>
      <c r="I19" s="124">
        <f>+'CAR-3 Property Tax Expense'!J26</f>
        <v>3559625.2319575562</v>
      </c>
      <c r="J19" s="124">
        <f>+'CAR-3 Property Tax Expense'!K26</f>
        <v>3559625.2319575562</v>
      </c>
      <c r="L19" s="157" t="s">
        <v>126</v>
      </c>
    </row>
    <row r="20" spans="1:12" x14ac:dyDescent="0.25">
      <c r="A20" s="171">
        <v>7</v>
      </c>
      <c r="C20" s="136" t="s">
        <v>14</v>
      </c>
      <c r="D20" s="172">
        <f>+'CAR- 2 Rate Base and Depr Exp'!F70</f>
        <v>167391.84868365497</v>
      </c>
      <c r="E20" s="172">
        <f>+'CAR- 2 Rate Base and Depr Exp'!G70</f>
        <v>600321.67213213199</v>
      </c>
      <c r="F20" s="172">
        <f>+'CAR- 2 Rate Base and Depr Exp'!H70</f>
        <v>1141058.6759899422</v>
      </c>
      <c r="G20" s="172">
        <f>+'CAR- 2 Rate Base and Depr Exp'!I70</f>
        <v>1786557.1866932628</v>
      </c>
      <c r="H20" s="172">
        <f>+'CAR- 2 Rate Base and Depr Exp'!J70</f>
        <v>2533782.2185773943</v>
      </c>
      <c r="I20" s="172">
        <f>+'CAR- 2 Rate Base and Depr Exp'!K70</f>
        <v>3312213.9564402443</v>
      </c>
      <c r="J20" s="172">
        <f>+'CAR- 2 Rate Base and Depr Exp'!L70</f>
        <v>4014001.238081031</v>
      </c>
      <c r="L20" s="157" t="s">
        <v>125</v>
      </c>
    </row>
    <row r="21" spans="1:12" x14ac:dyDescent="0.25">
      <c r="A21" s="171">
        <v>8</v>
      </c>
      <c r="C21" s="136" t="s">
        <v>178</v>
      </c>
      <c r="D21" s="172">
        <f>-'CAR-4 Depr Exp Retirements'!F70</f>
        <v>-14453.350345243907</v>
      </c>
      <c r="E21" s="172">
        <f>-'CAR-4 Depr Exp Retirements'!G70</f>
        <v>-45094.227186985838</v>
      </c>
      <c r="F21" s="172">
        <f>-'CAR-4 Depr Exp Retirements'!H70</f>
        <v>-77387.413647229812</v>
      </c>
      <c r="G21" s="172">
        <f>-'CAR-4 Depr Exp Retirements'!I70</f>
        <v>-107095.10873334158</v>
      </c>
      <c r="H21" s="172">
        <f>-'CAR-4 Depr Exp Retirements'!J70</f>
        <v>-145800.98837347896</v>
      </c>
      <c r="I21" s="172">
        <f>-'CAR-4 Depr Exp Retirements'!K70</f>
        <v>-195717.87261531671</v>
      </c>
      <c r="J21" s="172">
        <f>-'CAR-4 Depr Exp Retirements'!L70</f>
        <v>-235531.35443378752</v>
      </c>
      <c r="L21" s="157" t="s">
        <v>200</v>
      </c>
    </row>
    <row r="22" spans="1:12" x14ac:dyDescent="0.25">
      <c r="A22" s="171">
        <v>9</v>
      </c>
      <c r="C22" s="136" t="s">
        <v>15</v>
      </c>
      <c r="D22" s="125">
        <v>137259</v>
      </c>
      <c r="E22" s="125">
        <f>+D22</f>
        <v>137259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L22" s="157" t="s">
        <v>330</v>
      </c>
    </row>
    <row r="23" spans="1:12" x14ac:dyDescent="0.25">
      <c r="A23" s="171">
        <v>10</v>
      </c>
      <c r="C23" s="136" t="s">
        <v>120</v>
      </c>
      <c r="D23" s="172">
        <f>SUM(D19:D22)</f>
        <v>493143.52136553079</v>
      </c>
      <c r="E23" s="172">
        <f t="shared" ref="E23:I23" si="4">SUM(E19:E22)</f>
        <v>1427105.3858610587</v>
      </c>
      <c r="F23" s="172">
        <f t="shared" si="4"/>
        <v>2389745.2699715882</v>
      </c>
      <c r="G23" s="172">
        <f t="shared" si="4"/>
        <v>3680286.9942492577</v>
      </c>
      <c r="H23" s="172">
        <f t="shared" si="4"/>
        <v>5187693.934437355</v>
      </c>
      <c r="I23" s="172">
        <f t="shared" si="4"/>
        <v>6676121.3157824837</v>
      </c>
      <c r="J23" s="172">
        <f t="shared" ref="J23" si="5">SUM(J19:J22)</f>
        <v>7338095.1156047992</v>
      </c>
      <c r="L23" s="193" t="s">
        <v>202</v>
      </c>
    </row>
    <row r="24" spans="1:12" x14ac:dyDescent="0.25">
      <c r="A24" s="169">
        <v>11</v>
      </c>
      <c r="C24" s="136" t="s">
        <v>11</v>
      </c>
      <c r="D24" s="174">
        <v>1.0199499999999999</v>
      </c>
      <c r="E24" s="174">
        <v>1.0199499999999999</v>
      </c>
      <c r="F24" s="174">
        <v>1.0199499999999999</v>
      </c>
      <c r="G24" s="174">
        <v>1.0199499999999999</v>
      </c>
      <c r="H24" s="174">
        <v>1.0199499999999999</v>
      </c>
      <c r="I24" s="174">
        <v>1.0199499999999999</v>
      </c>
      <c r="J24" s="174">
        <f>+I24</f>
        <v>1.0199499999999999</v>
      </c>
      <c r="L24" s="157" t="s">
        <v>330</v>
      </c>
    </row>
    <row r="25" spans="1:12" x14ac:dyDescent="0.25">
      <c r="A25" s="171">
        <v>12</v>
      </c>
      <c r="C25" s="136" t="s">
        <v>119</v>
      </c>
      <c r="D25" s="124">
        <f t="shared" ref="D25:I25" si="6">+D23*D24</f>
        <v>502981.73461677309</v>
      </c>
      <c r="E25" s="124">
        <f t="shared" si="6"/>
        <v>1455576.1383089868</v>
      </c>
      <c r="F25" s="124">
        <f t="shared" si="6"/>
        <v>2437420.6881075213</v>
      </c>
      <c r="G25" s="124">
        <f t="shared" si="6"/>
        <v>3753708.7197845299</v>
      </c>
      <c r="H25" s="124">
        <f t="shared" si="6"/>
        <v>5291188.4284293801</v>
      </c>
      <c r="I25" s="124">
        <f t="shared" si="6"/>
        <v>6809309.9360323437</v>
      </c>
      <c r="J25" s="124">
        <f t="shared" ref="J25" si="7">+J23*J24</f>
        <v>7484490.113161114</v>
      </c>
      <c r="L25" s="193" t="s">
        <v>203</v>
      </c>
    </row>
    <row r="26" spans="1:12" x14ac:dyDescent="0.25">
      <c r="C26" s="136"/>
      <c r="D26" s="173"/>
      <c r="E26" s="173"/>
      <c r="F26" s="173"/>
      <c r="G26" s="173"/>
      <c r="H26" s="173"/>
      <c r="I26" s="173"/>
      <c r="J26" s="173"/>
      <c r="L26" s="193"/>
    </row>
    <row r="27" spans="1:12" x14ac:dyDescent="0.25">
      <c r="A27" s="169">
        <v>13</v>
      </c>
      <c r="C27" s="130" t="s">
        <v>289</v>
      </c>
      <c r="D27" s="172">
        <f>+D16+D25</f>
        <v>2838165.8054119097</v>
      </c>
      <c r="E27" s="172">
        <f t="shared" ref="E27:H27" si="8">+E16+E25</f>
        <v>5729308.7350659734</v>
      </c>
      <c r="F27" s="172">
        <f t="shared" si="8"/>
        <v>9034198.9091836866</v>
      </c>
      <c r="G27" s="172">
        <f t="shared" si="8"/>
        <v>13146618.837357203</v>
      </c>
      <c r="H27" s="172">
        <f t="shared" si="8"/>
        <v>17507609.190213613</v>
      </c>
      <c r="I27" s="172">
        <f>+I16+I25</f>
        <v>20462859.469532371</v>
      </c>
      <c r="J27" s="172">
        <f>+J16+J25</f>
        <v>23112194.81127467</v>
      </c>
      <c r="L27" s="193" t="s">
        <v>204</v>
      </c>
    </row>
    <row r="28" spans="1:12" x14ac:dyDescent="0.25">
      <c r="C28" s="130"/>
      <c r="D28" s="172"/>
      <c r="E28" s="172"/>
      <c r="F28" s="172"/>
      <c r="G28" s="172"/>
      <c r="H28" s="172"/>
      <c r="I28" s="172"/>
      <c r="J28" s="172"/>
      <c r="L28" s="193"/>
    </row>
    <row r="29" spans="1:12" x14ac:dyDescent="0.25">
      <c r="A29" s="169">
        <v>14</v>
      </c>
      <c r="C29" s="130" t="s">
        <v>288</v>
      </c>
      <c r="D29" s="137">
        <f t="shared" ref="D29:I29" si="9">+D27*0.8</f>
        <v>2270532.6443295279</v>
      </c>
      <c r="E29" s="137">
        <f t="shared" si="9"/>
        <v>4583446.9880527789</v>
      </c>
      <c r="F29" s="137">
        <f t="shared" si="9"/>
        <v>7227359.1273469497</v>
      </c>
      <c r="G29" s="137">
        <f t="shared" si="9"/>
        <v>10517295.069885762</v>
      </c>
      <c r="H29" s="137">
        <f t="shared" si="9"/>
        <v>14006087.352170892</v>
      </c>
      <c r="I29" s="137">
        <f t="shared" si="9"/>
        <v>16370287.575625896</v>
      </c>
      <c r="J29" s="137">
        <f t="shared" ref="J29" si="10">+J27*0.8</f>
        <v>18489755.849019736</v>
      </c>
      <c r="L29" s="193" t="s">
        <v>205</v>
      </c>
    </row>
    <row r="30" spans="1:12" x14ac:dyDescent="0.25">
      <c r="C30" s="130"/>
      <c r="D30" s="172"/>
      <c r="E30" s="172"/>
      <c r="F30" s="172"/>
      <c r="G30" s="172"/>
      <c r="H30" s="172"/>
      <c r="I30" s="172"/>
      <c r="J30" s="172"/>
      <c r="L30" s="193"/>
    </row>
    <row r="31" spans="1:12" x14ac:dyDescent="0.25">
      <c r="D31" s="157" t="s">
        <v>82</v>
      </c>
      <c r="E31" s="170" t="s">
        <v>83</v>
      </c>
      <c r="F31" s="157" t="s">
        <v>84</v>
      </c>
      <c r="G31" s="157" t="s">
        <v>85</v>
      </c>
      <c r="H31" s="157" t="s">
        <v>86</v>
      </c>
      <c r="I31" s="157" t="s">
        <v>87</v>
      </c>
      <c r="J31" s="157" t="s">
        <v>87</v>
      </c>
      <c r="K31" s="169"/>
      <c r="L31" s="171" t="s">
        <v>88</v>
      </c>
    </row>
    <row r="32" spans="1:12" x14ac:dyDescent="0.25">
      <c r="C32" s="7" t="s">
        <v>168</v>
      </c>
      <c r="D32" s="131" t="s">
        <v>152</v>
      </c>
      <c r="E32" s="131" t="s">
        <v>153</v>
      </c>
      <c r="F32" s="131" t="s">
        <v>154</v>
      </c>
      <c r="G32" s="131" t="s">
        <v>155</v>
      </c>
      <c r="H32" s="131" t="s">
        <v>156</v>
      </c>
      <c r="I32" s="131" t="s">
        <v>157</v>
      </c>
      <c r="J32" s="151" t="s">
        <v>275</v>
      </c>
    </row>
    <row r="33" spans="1:12" x14ac:dyDescent="0.25">
      <c r="C33" s="7" t="s">
        <v>169</v>
      </c>
      <c r="D33" s="198">
        <v>44286</v>
      </c>
      <c r="E33" s="198">
        <v>44651</v>
      </c>
      <c r="F33" s="198">
        <v>45016</v>
      </c>
      <c r="G33" s="198">
        <v>45382</v>
      </c>
      <c r="H33" s="198">
        <v>45747</v>
      </c>
      <c r="I33" s="198">
        <v>46112</v>
      </c>
      <c r="J33" s="198">
        <v>46477</v>
      </c>
    </row>
    <row r="34" spans="1:12" x14ac:dyDescent="0.25">
      <c r="A34" s="2" t="s">
        <v>122</v>
      </c>
      <c r="B34" s="131"/>
      <c r="C34" s="163" t="s">
        <v>170</v>
      </c>
      <c r="D34" s="153" t="s">
        <v>268</v>
      </c>
      <c r="E34" s="153" t="s">
        <v>269</v>
      </c>
      <c r="F34" s="153" t="s">
        <v>270</v>
      </c>
      <c r="G34" s="153" t="s">
        <v>271</v>
      </c>
      <c r="H34" s="153" t="s">
        <v>272</v>
      </c>
      <c r="I34" s="153" t="s">
        <v>273</v>
      </c>
      <c r="J34" s="153" t="s">
        <v>276</v>
      </c>
      <c r="L34" s="2" t="s">
        <v>121</v>
      </c>
    </row>
    <row r="35" spans="1:12" x14ac:dyDescent="0.25">
      <c r="C35" s="130"/>
      <c r="L35" s="193"/>
    </row>
    <row r="36" spans="1:12" x14ac:dyDescent="0.25">
      <c r="C36" s="130" t="s">
        <v>114</v>
      </c>
      <c r="L36" s="193"/>
    </row>
    <row r="37" spans="1:12" x14ac:dyDescent="0.25">
      <c r="C37" s="130" t="s">
        <v>116</v>
      </c>
      <c r="D37" s="132"/>
      <c r="E37" s="132"/>
      <c r="F37" s="132"/>
      <c r="G37" s="132"/>
      <c r="H37" s="132"/>
      <c r="I37" s="132"/>
      <c r="J37" s="132"/>
      <c r="L37" s="193"/>
    </row>
    <row r="38" spans="1:12" x14ac:dyDescent="0.25">
      <c r="A38" s="169">
        <v>15</v>
      </c>
      <c r="C38" s="136" t="s">
        <v>9</v>
      </c>
      <c r="D38" s="172">
        <f>+'CAR- 2 Rate Base and Depr Exp'!F175</f>
        <v>150827188.29987067</v>
      </c>
      <c r="E38" s="172">
        <f>+'CAR- 2 Rate Base and Depr Exp'!G175</f>
        <v>284783709.27962995</v>
      </c>
      <c r="F38" s="172">
        <f>+'CAR- 2 Rate Base and Depr Exp'!H175</f>
        <v>427132682.84159207</v>
      </c>
      <c r="G38" s="172">
        <f>+'CAR- 2 Rate Base and Depr Exp'!I175</f>
        <v>571976663.76760697</v>
      </c>
      <c r="H38" s="172">
        <f>+'CAR- 2 Rate Base and Depr Exp'!J175</f>
        <v>685530754.55772877</v>
      </c>
      <c r="I38" s="172">
        <f>+'CAR- 2 Rate Base and Depr Exp'!K175</f>
        <v>808622400.29559803</v>
      </c>
      <c r="J38" s="172">
        <f>+'CAR- 2 Rate Base and Depr Exp'!L175</f>
        <v>872865438.89641023</v>
      </c>
      <c r="L38" s="157" t="s">
        <v>125</v>
      </c>
    </row>
    <row r="39" spans="1:12" x14ac:dyDescent="0.25">
      <c r="A39" s="169">
        <v>16</v>
      </c>
      <c r="C39" s="136" t="s">
        <v>124</v>
      </c>
      <c r="D39" s="133">
        <f t="shared" ref="D39:I39" si="11">+D13</f>
        <v>6.6799999999999998E-2</v>
      </c>
      <c r="E39" s="133">
        <f t="shared" si="11"/>
        <v>6.6799999999999998E-2</v>
      </c>
      <c r="F39" s="133">
        <f t="shared" si="11"/>
        <v>6.6799999999999998E-2</v>
      </c>
      <c r="G39" s="133">
        <f t="shared" si="11"/>
        <v>6.6799999999999998E-2</v>
      </c>
      <c r="H39" s="133">
        <f t="shared" si="11"/>
        <v>6.6799999999999998E-2</v>
      </c>
      <c r="I39" s="133">
        <f t="shared" si="11"/>
        <v>6.6799999999999998E-2</v>
      </c>
      <c r="J39" s="133">
        <f>+I39</f>
        <v>6.6799999999999998E-2</v>
      </c>
      <c r="L39" s="157" t="s">
        <v>329</v>
      </c>
    </row>
    <row r="40" spans="1:12" x14ac:dyDescent="0.25">
      <c r="A40" s="169">
        <v>17</v>
      </c>
      <c r="C40" s="136" t="s">
        <v>13</v>
      </c>
      <c r="D40" s="124">
        <f>+D38*D39</f>
        <v>10075256.17843136</v>
      </c>
      <c r="E40" s="124">
        <f t="shared" ref="E40:I40" si="12">+E38*E39</f>
        <v>19023551.779879279</v>
      </c>
      <c r="F40" s="124">
        <f t="shared" si="12"/>
        <v>28532463.213818349</v>
      </c>
      <c r="G40" s="124">
        <f t="shared" si="12"/>
        <v>38208041.139676146</v>
      </c>
      <c r="H40" s="124">
        <f t="shared" si="12"/>
        <v>45793454.40445628</v>
      </c>
      <c r="I40" s="124">
        <f t="shared" si="12"/>
        <v>54015976.339745946</v>
      </c>
      <c r="J40" s="124">
        <f t="shared" ref="J40" si="13">+J38*J39</f>
        <v>58307411.318280205</v>
      </c>
      <c r="L40" s="193" t="s">
        <v>129</v>
      </c>
    </row>
    <row r="41" spans="1:12" x14ac:dyDescent="0.25">
      <c r="A41" s="169">
        <v>18</v>
      </c>
      <c r="C41" s="136" t="s">
        <v>11</v>
      </c>
      <c r="D41" s="174">
        <f t="shared" ref="D41:I41" si="14">+D15</f>
        <v>1.2388600000000001</v>
      </c>
      <c r="E41" s="174">
        <f t="shared" si="14"/>
        <v>1.2388600000000001</v>
      </c>
      <c r="F41" s="174">
        <f t="shared" si="14"/>
        <v>1.2388600000000001</v>
      </c>
      <c r="G41" s="174">
        <f t="shared" si="14"/>
        <v>1.2388600000000001</v>
      </c>
      <c r="H41" s="174">
        <f t="shared" si="14"/>
        <v>1.2388600000000001</v>
      </c>
      <c r="I41" s="174">
        <f t="shared" si="14"/>
        <v>1.2388600000000001</v>
      </c>
      <c r="J41" s="174">
        <f>+I41</f>
        <v>1.2388600000000001</v>
      </c>
      <c r="L41" s="157" t="s">
        <v>330</v>
      </c>
    </row>
    <row r="42" spans="1:12" x14ac:dyDescent="0.25">
      <c r="A42" s="171">
        <v>19</v>
      </c>
      <c r="C42" s="136" t="s">
        <v>117</v>
      </c>
      <c r="D42" s="124">
        <f>+D40*D41</f>
        <v>12481831.869211476</v>
      </c>
      <c r="E42" s="124">
        <f t="shared" ref="E42:I42" si="15">+E40*E41</f>
        <v>23567517.358021244</v>
      </c>
      <c r="F42" s="124">
        <f t="shared" si="15"/>
        <v>35347727.377071001</v>
      </c>
      <c r="G42" s="124">
        <f t="shared" si="15"/>
        <v>47334413.846299194</v>
      </c>
      <c r="H42" s="124">
        <f t="shared" si="15"/>
        <v>56731678.92350471</v>
      </c>
      <c r="I42" s="124">
        <f t="shared" si="15"/>
        <v>66918232.44825767</v>
      </c>
      <c r="J42" s="124">
        <f t="shared" ref="J42" si="16">+J40*J41</f>
        <v>72234719.585764617</v>
      </c>
      <c r="L42" s="193" t="s">
        <v>130</v>
      </c>
    </row>
    <row r="43" spans="1:12" x14ac:dyDescent="0.25">
      <c r="C43" s="136"/>
      <c r="D43" s="173"/>
      <c r="E43" s="173"/>
      <c r="F43" s="173"/>
      <c r="G43" s="173"/>
      <c r="H43" s="173"/>
      <c r="I43" s="173"/>
      <c r="J43" s="173"/>
      <c r="L43" s="193"/>
    </row>
    <row r="44" spans="1:12" x14ac:dyDescent="0.25">
      <c r="C44" s="130" t="s">
        <v>118</v>
      </c>
      <c r="D44" s="173"/>
      <c r="E44" s="173"/>
      <c r="F44" s="173"/>
      <c r="G44" s="173"/>
      <c r="H44" s="173"/>
      <c r="I44" s="173"/>
      <c r="J44" s="173"/>
      <c r="L44" s="193"/>
    </row>
    <row r="45" spans="1:12" x14ac:dyDescent="0.25">
      <c r="A45" s="171">
        <v>20</v>
      </c>
      <c r="C45" s="136" t="s">
        <v>23</v>
      </c>
      <c r="D45" s="124">
        <f>+'CAR-3 Property Tax Expense'!E48</f>
        <v>1330225.8477946804</v>
      </c>
      <c r="E45" s="124">
        <f>+'CAR-3 Property Tax Expense'!F48</f>
        <v>4443415.5011687735</v>
      </c>
      <c r="F45" s="124">
        <f>+'CAR-3 Property Tax Expense'!G48</f>
        <v>7867380.9343072884</v>
      </c>
      <c r="G45" s="124">
        <f>+'CAR-3 Property Tax Expense'!H48</f>
        <v>11422026.621175572</v>
      </c>
      <c r="H45" s="124">
        <f>+'CAR-3 Property Tax Expense'!I48</f>
        <v>14578729.375768056</v>
      </c>
      <c r="I45" s="124">
        <f>+'CAR-3 Property Tax Expense'!J48</f>
        <v>17063533.201480456</v>
      </c>
      <c r="J45" s="124">
        <f>+'CAR-3 Property Tax Expense'!K48</f>
        <v>17063533.201480456</v>
      </c>
      <c r="L45" s="157" t="s">
        <v>126</v>
      </c>
    </row>
    <row r="46" spans="1:12" x14ac:dyDescent="0.25">
      <c r="A46" s="171">
        <v>21</v>
      </c>
      <c r="C46" s="136" t="s">
        <v>14</v>
      </c>
      <c r="D46" s="172">
        <f>+'CAR- 2 Rate Base and Depr Exp'!F156</f>
        <v>2496009.5486764386</v>
      </c>
      <c r="E46" s="172">
        <f>+'CAR- 2 Rate Base and Depr Exp'!G156</f>
        <v>6808960.8841810357</v>
      </c>
      <c r="F46" s="172">
        <f>+'CAR- 2 Rate Base and Depr Exp'!H156</f>
        <v>11269518.127216782</v>
      </c>
      <c r="G46" s="172">
        <f>+'CAR- 2 Rate Base and Depr Exp'!I156</f>
        <v>15595719.553775579</v>
      </c>
      <c r="H46" s="172">
        <f>+'CAR- 2 Rate Base and Depr Exp'!J156</f>
        <v>18907045.959466834</v>
      </c>
      <c r="I46" s="172">
        <f>+'CAR- 2 Rate Base and Depr Exp'!K156</f>
        <v>21540973.205025878</v>
      </c>
      <c r="J46" s="172">
        <f>+'CAR- 2 Rate Base and Depr Exp'!L156</f>
        <v>24353429.701393064</v>
      </c>
      <c r="L46" s="157" t="s">
        <v>125</v>
      </c>
    </row>
    <row r="47" spans="1:12" x14ac:dyDescent="0.25">
      <c r="A47" s="171">
        <v>22</v>
      </c>
      <c r="C47" s="136" t="s">
        <v>178</v>
      </c>
      <c r="D47" s="172">
        <f>-'CAR-4 Depr Exp Retirements'!F71</f>
        <v>-331945.00139466778</v>
      </c>
      <c r="E47" s="172">
        <f>-'CAR-4 Depr Exp Retirements'!G71</f>
        <v>-930032.85814017931</v>
      </c>
      <c r="F47" s="172">
        <f>-'CAR-4 Depr Exp Retirements'!H71</f>
        <v>-1486033.2742854857</v>
      </c>
      <c r="G47" s="172">
        <f>-'CAR-4 Depr Exp Retirements'!I71</f>
        <v>-1982074.3152664024</v>
      </c>
      <c r="H47" s="172">
        <f>-'CAR-4 Depr Exp Retirements'!J71</f>
        <v>-2382446.1506902361</v>
      </c>
      <c r="I47" s="172">
        <f>-'CAR-4 Depr Exp Retirements'!K71</f>
        <v>-2737683.8699674993</v>
      </c>
      <c r="J47" s="172">
        <f>-'CAR-4 Depr Exp Retirements'!L71</f>
        <v>-3036948.3485180098</v>
      </c>
      <c r="L47" s="157" t="s">
        <v>200</v>
      </c>
    </row>
    <row r="48" spans="1:12" x14ac:dyDescent="0.25">
      <c r="A48" s="171">
        <v>23</v>
      </c>
      <c r="C48" s="136" t="s">
        <v>15</v>
      </c>
      <c r="D48" s="125">
        <v>647080</v>
      </c>
      <c r="E48" s="125">
        <f>+D48</f>
        <v>647080</v>
      </c>
      <c r="F48" s="129">
        <v>0</v>
      </c>
      <c r="G48" s="129">
        <v>0</v>
      </c>
      <c r="H48" s="129">
        <v>0</v>
      </c>
      <c r="I48" s="129">
        <v>0</v>
      </c>
      <c r="J48" s="129">
        <v>0</v>
      </c>
      <c r="L48" s="157" t="s">
        <v>330</v>
      </c>
    </row>
    <row r="49" spans="1:12" x14ac:dyDescent="0.25">
      <c r="A49" s="171">
        <v>24</v>
      </c>
      <c r="C49" s="136" t="s">
        <v>120</v>
      </c>
      <c r="D49" s="172">
        <f>SUM(D45:D48)</f>
        <v>4141370.3950764514</v>
      </c>
      <c r="E49" s="172">
        <f t="shared" ref="E49:I49" si="17">SUM(E45:E48)</f>
        <v>10969423.52720963</v>
      </c>
      <c r="F49" s="172">
        <f t="shared" si="17"/>
        <v>17650865.787238587</v>
      </c>
      <c r="G49" s="172">
        <f t="shared" si="17"/>
        <v>25035671.85968475</v>
      </c>
      <c r="H49" s="172">
        <f t="shared" si="17"/>
        <v>31103329.184544653</v>
      </c>
      <c r="I49" s="172">
        <f t="shared" si="17"/>
        <v>35866822.536538832</v>
      </c>
      <c r="J49" s="172">
        <f t="shared" ref="J49" si="18">SUM(J45:J48)</f>
        <v>38380014.55435551</v>
      </c>
      <c r="L49" s="157" t="s">
        <v>201</v>
      </c>
    </row>
    <row r="50" spans="1:12" x14ac:dyDescent="0.25">
      <c r="A50" s="171">
        <v>25</v>
      </c>
      <c r="C50" s="136" t="s">
        <v>11</v>
      </c>
      <c r="D50" s="174">
        <f>+D24</f>
        <v>1.0199499999999999</v>
      </c>
      <c r="E50" s="174">
        <f t="shared" ref="E50:I50" si="19">+E24</f>
        <v>1.0199499999999999</v>
      </c>
      <c r="F50" s="174">
        <f t="shared" si="19"/>
        <v>1.0199499999999999</v>
      </c>
      <c r="G50" s="174">
        <f t="shared" si="19"/>
        <v>1.0199499999999999</v>
      </c>
      <c r="H50" s="174">
        <f t="shared" si="19"/>
        <v>1.0199499999999999</v>
      </c>
      <c r="I50" s="174">
        <f t="shared" si="19"/>
        <v>1.0199499999999999</v>
      </c>
      <c r="J50" s="174">
        <f>+I50</f>
        <v>1.0199499999999999</v>
      </c>
      <c r="L50" s="157" t="s">
        <v>330</v>
      </c>
    </row>
    <row r="51" spans="1:12" x14ac:dyDescent="0.25">
      <c r="A51" s="171">
        <v>26</v>
      </c>
      <c r="C51" s="136" t="s">
        <v>119</v>
      </c>
      <c r="D51" s="124">
        <f>+D49*D50</f>
        <v>4223990.7344582258</v>
      </c>
      <c r="E51" s="124">
        <f t="shared" ref="E51:I51" si="20">+E49*E50</f>
        <v>11188263.526577462</v>
      </c>
      <c r="F51" s="124">
        <f t="shared" si="20"/>
        <v>18003000.559693996</v>
      </c>
      <c r="G51" s="124">
        <f t="shared" si="20"/>
        <v>25535133.513285458</v>
      </c>
      <c r="H51" s="124">
        <f t="shared" si="20"/>
        <v>31723840.601776317</v>
      </c>
      <c r="I51" s="124">
        <f t="shared" si="20"/>
        <v>36582365.646142781</v>
      </c>
      <c r="J51" s="124">
        <f t="shared" ref="J51" si="21">+J49*J50</f>
        <v>39145695.844714902</v>
      </c>
      <c r="L51" s="157" t="s">
        <v>206</v>
      </c>
    </row>
    <row r="52" spans="1:12" x14ac:dyDescent="0.25">
      <c r="C52" s="136"/>
      <c r="D52" s="173"/>
      <c r="E52" s="173"/>
      <c r="F52" s="173"/>
      <c r="G52" s="173"/>
      <c r="H52" s="173"/>
      <c r="I52" s="173"/>
      <c r="J52" s="173"/>
    </row>
    <row r="53" spans="1:12" x14ac:dyDescent="0.25">
      <c r="A53" s="171">
        <v>27</v>
      </c>
      <c r="C53" s="130" t="s">
        <v>289</v>
      </c>
      <c r="D53" s="172">
        <f>+D42+D51</f>
        <v>16705822.603669703</v>
      </c>
      <c r="E53" s="172">
        <f t="shared" ref="E53:I53" si="22">+E42+E51</f>
        <v>34755780.884598702</v>
      </c>
      <c r="F53" s="172">
        <f t="shared" si="22"/>
        <v>53350727.936765</v>
      </c>
      <c r="G53" s="172">
        <f t="shared" si="22"/>
        <v>72869547.359584659</v>
      </c>
      <c r="H53" s="172">
        <f t="shared" si="22"/>
        <v>88455519.525281027</v>
      </c>
      <c r="I53" s="172">
        <f t="shared" si="22"/>
        <v>103500598.09440045</v>
      </c>
      <c r="J53" s="172">
        <f t="shared" ref="J53" si="23">+J42+J51</f>
        <v>111380415.43047953</v>
      </c>
      <c r="L53" s="157" t="s">
        <v>207</v>
      </c>
    </row>
    <row r="54" spans="1:12" x14ac:dyDescent="0.25">
      <c r="C54" s="130"/>
      <c r="D54" s="172"/>
      <c r="E54" s="172"/>
      <c r="F54" s="172"/>
      <c r="G54" s="172"/>
      <c r="H54" s="172"/>
      <c r="I54" s="172"/>
      <c r="J54" s="172"/>
    </row>
    <row r="55" spans="1:12" x14ac:dyDescent="0.25">
      <c r="A55" s="171">
        <v>28</v>
      </c>
      <c r="C55" s="130" t="s">
        <v>288</v>
      </c>
      <c r="D55" s="137">
        <f t="shared" ref="D55:I55" si="24">+D53*0.8</f>
        <v>13364658.082935764</v>
      </c>
      <c r="E55" s="137">
        <f t="shared" si="24"/>
        <v>27804624.707678962</v>
      </c>
      <c r="F55" s="137">
        <f t="shared" si="24"/>
        <v>42680582.349412002</v>
      </c>
      <c r="G55" s="137">
        <f t="shared" si="24"/>
        <v>58295637.88766773</v>
      </c>
      <c r="H55" s="137">
        <f t="shared" si="24"/>
        <v>70764415.620224819</v>
      </c>
      <c r="I55" s="137">
        <f t="shared" si="24"/>
        <v>82800478.475520372</v>
      </c>
      <c r="J55" s="137">
        <f t="shared" ref="J55" si="25">+J53*0.8</f>
        <v>89104332.344383627</v>
      </c>
      <c r="L55" s="157" t="s">
        <v>208</v>
      </c>
    </row>
    <row r="56" spans="1:12" x14ac:dyDescent="0.25">
      <c r="C56" s="130"/>
      <c r="D56" s="135"/>
      <c r="E56" s="135"/>
      <c r="F56" s="135"/>
      <c r="G56" s="135"/>
      <c r="H56" s="135"/>
      <c r="I56" s="135"/>
      <c r="J56" s="135"/>
    </row>
    <row r="57" spans="1:12" x14ac:dyDescent="0.25">
      <c r="D57" s="157" t="s">
        <v>82</v>
      </c>
      <c r="E57" s="170" t="s">
        <v>83</v>
      </c>
      <c r="F57" s="157" t="s">
        <v>84</v>
      </c>
      <c r="G57" s="157" t="s">
        <v>85</v>
      </c>
      <c r="H57" s="157" t="s">
        <v>86</v>
      </c>
      <c r="I57" s="157" t="s">
        <v>87</v>
      </c>
      <c r="J57" s="157" t="s">
        <v>87</v>
      </c>
      <c r="K57" s="169"/>
      <c r="L57" s="171" t="s">
        <v>88</v>
      </c>
    </row>
    <row r="58" spans="1:12" x14ac:dyDescent="0.25">
      <c r="C58" s="7" t="s">
        <v>168</v>
      </c>
      <c r="D58" s="131" t="s">
        <v>152</v>
      </c>
      <c r="E58" s="131" t="s">
        <v>153</v>
      </c>
      <c r="F58" s="131" t="s">
        <v>154</v>
      </c>
      <c r="G58" s="131" t="s">
        <v>155</v>
      </c>
      <c r="H58" s="131" t="s">
        <v>156</v>
      </c>
      <c r="I58" s="131" t="s">
        <v>157</v>
      </c>
      <c r="J58" s="151" t="s">
        <v>275</v>
      </c>
    </row>
    <row r="59" spans="1:12" x14ac:dyDescent="0.25">
      <c r="C59" s="7" t="s">
        <v>169</v>
      </c>
      <c r="D59" s="198">
        <v>44286</v>
      </c>
      <c r="E59" s="198">
        <v>44651</v>
      </c>
      <c r="F59" s="198">
        <v>45016</v>
      </c>
      <c r="G59" s="198">
        <v>45382</v>
      </c>
      <c r="H59" s="198">
        <v>45747</v>
      </c>
      <c r="I59" s="198">
        <v>46112</v>
      </c>
      <c r="J59" s="198">
        <v>46477</v>
      </c>
    </row>
    <row r="60" spans="1:12" x14ac:dyDescent="0.25">
      <c r="A60" s="2" t="s">
        <v>122</v>
      </c>
      <c r="B60" s="131"/>
      <c r="C60" s="163" t="s">
        <v>170</v>
      </c>
      <c r="D60" s="153" t="s">
        <v>268</v>
      </c>
      <c r="E60" s="153" t="s">
        <v>269</v>
      </c>
      <c r="F60" s="153" t="s">
        <v>270</v>
      </c>
      <c r="G60" s="153" t="s">
        <v>271</v>
      </c>
      <c r="H60" s="153" t="s">
        <v>272</v>
      </c>
      <c r="I60" s="153" t="s">
        <v>273</v>
      </c>
      <c r="J60" s="153" t="s">
        <v>276</v>
      </c>
      <c r="L60" s="2" t="s">
        <v>121</v>
      </c>
    </row>
    <row r="61" spans="1:12" x14ac:dyDescent="0.25">
      <c r="C61" s="130"/>
    </row>
    <row r="62" spans="1:12" x14ac:dyDescent="0.25">
      <c r="C62" s="130" t="s">
        <v>113</v>
      </c>
    </row>
    <row r="63" spans="1:12" x14ac:dyDescent="0.25">
      <c r="C63" s="130" t="s">
        <v>116</v>
      </c>
    </row>
    <row r="64" spans="1:12" x14ac:dyDescent="0.25">
      <c r="A64" s="169">
        <v>29</v>
      </c>
      <c r="C64" s="136" t="s">
        <v>9</v>
      </c>
      <c r="D64" s="172">
        <f t="shared" ref="D64:I64" si="26">+D12+D38</f>
        <v>179044941.21076027</v>
      </c>
      <c r="E64" s="172">
        <f t="shared" si="26"/>
        <v>336426375.02522159</v>
      </c>
      <c r="F64" s="172">
        <f t="shared" si="26"/>
        <v>506846423.68895996</v>
      </c>
      <c r="G64" s="172">
        <f t="shared" si="26"/>
        <v>685478130.36574602</v>
      </c>
      <c r="H64" s="172">
        <f t="shared" si="26"/>
        <v>833150784.52569222</v>
      </c>
      <c r="I64" s="172">
        <f t="shared" si="26"/>
        <v>973608318.07025516</v>
      </c>
      <c r="J64" s="172">
        <f t="shared" ref="J64" si="27">+J12+J38</f>
        <v>1061706530.804665</v>
      </c>
      <c r="L64" s="157" t="s">
        <v>125</v>
      </c>
    </row>
    <row r="65" spans="1:12" x14ac:dyDescent="0.25">
      <c r="A65" s="169">
        <v>30</v>
      </c>
      <c r="C65" s="136" t="s">
        <v>124</v>
      </c>
      <c r="D65" s="133">
        <f t="shared" ref="D65:I65" si="28">+D39</f>
        <v>6.6799999999999998E-2</v>
      </c>
      <c r="E65" s="133">
        <f t="shared" si="28"/>
        <v>6.6799999999999998E-2</v>
      </c>
      <c r="F65" s="133">
        <f t="shared" si="28"/>
        <v>6.6799999999999998E-2</v>
      </c>
      <c r="G65" s="133">
        <f t="shared" si="28"/>
        <v>6.6799999999999998E-2</v>
      </c>
      <c r="H65" s="133">
        <f t="shared" si="28"/>
        <v>6.6799999999999998E-2</v>
      </c>
      <c r="I65" s="133">
        <f t="shared" si="28"/>
        <v>6.6799999999999998E-2</v>
      </c>
      <c r="J65" s="133">
        <f t="shared" ref="J65" si="29">+J39</f>
        <v>6.6799999999999998E-2</v>
      </c>
      <c r="L65" s="157" t="s">
        <v>329</v>
      </c>
    </row>
    <row r="66" spans="1:12" x14ac:dyDescent="0.25">
      <c r="A66" s="169">
        <v>31</v>
      </c>
      <c r="C66" s="136" t="s">
        <v>13</v>
      </c>
      <c r="D66" s="124">
        <f>+D64*D65</f>
        <v>11960202.072878785</v>
      </c>
      <c r="E66" s="124">
        <f t="shared" ref="E66:I66" si="30">+E64*E65</f>
        <v>22473281.851684801</v>
      </c>
      <c r="F66" s="124">
        <f t="shared" si="30"/>
        <v>33857341.102422521</v>
      </c>
      <c r="G66" s="124">
        <f t="shared" si="30"/>
        <v>45789939.108431831</v>
      </c>
      <c r="H66" s="124">
        <f t="shared" si="30"/>
        <v>55654472.406316236</v>
      </c>
      <c r="I66" s="124">
        <f t="shared" si="30"/>
        <v>65037035.647093043</v>
      </c>
      <c r="J66" s="124">
        <f t="shared" ref="J66" si="31">+J64*J65</f>
        <v>70921996.257751614</v>
      </c>
      <c r="L66" s="157" t="s">
        <v>262</v>
      </c>
    </row>
    <row r="67" spans="1:12" x14ac:dyDescent="0.25">
      <c r="A67" s="171">
        <v>32</v>
      </c>
      <c r="C67" s="136" t="s">
        <v>11</v>
      </c>
      <c r="D67" s="174">
        <f t="shared" ref="D67:I67" si="32">+D15</f>
        <v>1.2388600000000001</v>
      </c>
      <c r="E67" s="174">
        <f t="shared" si="32"/>
        <v>1.2388600000000001</v>
      </c>
      <c r="F67" s="174">
        <f t="shared" si="32"/>
        <v>1.2388600000000001</v>
      </c>
      <c r="G67" s="174">
        <f t="shared" si="32"/>
        <v>1.2388600000000001</v>
      </c>
      <c r="H67" s="174">
        <f t="shared" si="32"/>
        <v>1.2388600000000001</v>
      </c>
      <c r="I67" s="174">
        <f t="shared" si="32"/>
        <v>1.2388600000000001</v>
      </c>
      <c r="J67" s="174">
        <f>+J41</f>
        <v>1.2388600000000001</v>
      </c>
      <c r="L67" s="157" t="s">
        <v>330</v>
      </c>
    </row>
    <row r="68" spans="1:12" x14ac:dyDescent="0.25">
      <c r="A68" s="171">
        <v>33</v>
      </c>
      <c r="C68" s="136" t="s">
        <v>117</v>
      </c>
      <c r="D68" s="124">
        <f>+D66*D67</f>
        <v>14817015.940006614</v>
      </c>
      <c r="E68" s="124">
        <f t="shared" ref="E68:I68" si="33">+E66*E67</f>
        <v>27841249.954778235</v>
      </c>
      <c r="F68" s="124">
        <f t="shared" si="33"/>
        <v>41944505.598147169</v>
      </c>
      <c r="G68" s="124">
        <f t="shared" si="33"/>
        <v>56727323.963871859</v>
      </c>
      <c r="H68" s="124">
        <f t="shared" si="33"/>
        <v>68948099.685288936</v>
      </c>
      <c r="I68" s="124">
        <f t="shared" si="33"/>
        <v>80571781.981757686</v>
      </c>
      <c r="J68" s="124">
        <f t="shared" ref="J68" si="34">+J66*J67</f>
        <v>87862424.283878163</v>
      </c>
      <c r="L68" s="157" t="s">
        <v>263</v>
      </c>
    </row>
    <row r="69" spans="1:12" x14ac:dyDescent="0.25">
      <c r="D69" s="173"/>
      <c r="E69" s="173"/>
      <c r="F69" s="173"/>
      <c r="G69" s="173"/>
      <c r="H69" s="173"/>
      <c r="I69" s="173"/>
      <c r="J69" s="173"/>
    </row>
    <row r="70" spans="1:12" x14ac:dyDescent="0.25">
      <c r="C70" s="130" t="s">
        <v>118</v>
      </c>
      <c r="D70" s="173"/>
      <c r="E70" s="173"/>
      <c r="F70" s="173"/>
      <c r="G70" s="173"/>
      <c r="H70" s="173"/>
      <c r="I70" s="173"/>
      <c r="J70" s="173"/>
    </row>
    <row r="71" spans="1:12" x14ac:dyDescent="0.25">
      <c r="A71" s="171">
        <v>34</v>
      </c>
      <c r="C71" s="136" t="s">
        <v>23</v>
      </c>
      <c r="D71" s="124">
        <f>+D19+D45</f>
        <v>1533171.8708218001</v>
      </c>
      <c r="E71" s="124">
        <f t="shared" ref="D71:I74" si="35">+E19+E45</f>
        <v>5178034.4420846859</v>
      </c>
      <c r="F71" s="124">
        <f t="shared" si="35"/>
        <v>9193454.9419361651</v>
      </c>
      <c r="G71" s="124">
        <f t="shared" si="35"/>
        <v>13422851.537464909</v>
      </c>
      <c r="H71" s="124">
        <f t="shared" si="35"/>
        <v>17378442.080001496</v>
      </c>
      <c r="I71" s="124">
        <f t="shared" si="35"/>
        <v>20623158.433438011</v>
      </c>
      <c r="J71" s="124">
        <f t="shared" ref="J71" si="36">+J19+J45</f>
        <v>20623158.433438011</v>
      </c>
      <c r="L71" s="157" t="s">
        <v>126</v>
      </c>
    </row>
    <row r="72" spans="1:12" x14ac:dyDescent="0.25">
      <c r="A72" s="171">
        <v>35</v>
      </c>
      <c r="C72" s="136" t="s">
        <v>14</v>
      </c>
      <c r="D72" s="172">
        <f t="shared" si="35"/>
        <v>2663401.3973600934</v>
      </c>
      <c r="E72" s="172">
        <f t="shared" si="35"/>
        <v>7409282.5563131673</v>
      </c>
      <c r="F72" s="172">
        <f t="shared" si="35"/>
        <v>12410576.803206725</v>
      </c>
      <c r="G72" s="172">
        <f t="shared" si="35"/>
        <v>17382276.740468841</v>
      </c>
      <c r="H72" s="172">
        <f t="shared" si="35"/>
        <v>21440828.17804423</v>
      </c>
      <c r="I72" s="172">
        <f t="shared" si="35"/>
        <v>24853187.161466122</v>
      </c>
      <c r="J72" s="172">
        <f t="shared" ref="J72" si="37">+J20+J46</f>
        <v>28367430.939474095</v>
      </c>
      <c r="L72" s="157" t="s">
        <v>125</v>
      </c>
    </row>
    <row r="73" spans="1:12" x14ac:dyDescent="0.25">
      <c r="A73" s="171">
        <v>36</v>
      </c>
      <c r="C73" s="136" t="s">
        <v>178</v>
      </c>
      <c r="D73" s="172">
        <f t="shared" si="35"/>
        <v>-346398.35173991171</v>
      </c>
      <c r="E73" s="172">
        <f t="shared" si="35"/>
        <v>-975127.0853271652</v>
      </c>
      <c r="F73" s="172">
        <f t="shared" si="35"/>
        <v>-1563420.6879327155</v>
      </c>
      <c r="G73" s="172">
        <f t="shared" si="35"/>
        <v>-2089169.423999744</v>
      </c>
      <c r="H73" s="172">
        <f t="shared" si="35"/>
        <v>-2528247.139063715</v>
      </c>
      <c r="I73" s="172">
        <f t="shared" si="35"/>
        <v>-2933401.7425828162</v>
      </c>
      <c r="J73" s="172">
        <f t="shared" ref="J73" si="38">+J21+J47</f>
        <v>-3272479.7029517973</v>
      </c>
      <c r="L73" s="157" t="s">
        <v>200</v>
      </c>
    </row>
    <row r="74" spans="1:12" x14ac:dyDescent="0.25">
      <c r="A74" s="171">
        <v>37</v>
      </c>
      <c r="C74" s="136" t="s">
        <v>15</v>
      </c>
      <c r="D74" s="125">
        <f>+D22+D48</f>
        <v>784339</v>
      </c>
      <c r="E74" s="125">
        <f t="shared" si="35"/>
        <v>784339</v>
      </c>
      <c r="F74" s="125">
        <f t="shared" si="35"/>
        <v>0</v>
      </c>
      <c r="G74" s="125">
        <f t="shared" si="35"/>
        <v>0</v>
      </c>
      <c r="H74" s="125">
        <f t="shared" si="35"/>
        <v>0</v>
      </c>
      <c r="I74" s="125">
        <f t="shared" si="35"/>
        <v>0</v>
      </c>
      <c r="J74" s="125">
        <f t="shared" ref="J74" si="39">+J22+J48</f>
        <v>0</v>
      </c>
      <c r="L74" s="157" t="s">
        <v>330</v>
      </c>
    </row>
    <row r="75" spans="1:12" x14ac:dyDescent="0.25">
      <c r="A75" s="171">
        <v>38</v>
      </c>
      <c r="C75" s="136" t="s">
        <v>120</v>
      </c>
      <c r="D75" s="172">
        <f>SUM(D71:D74)</f>
        <v>4634513.9164419826</v>
      </c>
      <c r="E75" s="172">
        <f t="shared" ref="E75:I75" si="40">SUM(E71:E74)</f>
        <v>12396528.913070688</v>
      </c>
      <c r="F75" s="172">
        <f t="shared" si="40"/>
        <v>20040611.057210177</v>
      </c>
      <c r="G75" s="172">
        <f t="shared" si="40"/>
        <v>28715958.853934005</v>
      </c>
      <c r="H75" s="172">
        <f t="shared" si="40"/>
        <v>36291023.11898201</v>
      </c>
      <c r="I75" s="172">
        <f t="shared" si="40"/>
        <v>42542943.852321319</v>
      </c>
      <c r="J75" s="172">
        <f t="shared" ref="J75" si="41">SUM(J71:J74)</f>
        <v>45718109.669960313</v>
      </c>
      <c r="L75" s="193" t="s">
        <v>202</v>
      </c>
    </row>
    <row r="76" spans="1:12" x14ac:dyDescent="0.25">
      <c r="A76" s="169">
        <v>39</v>
      </c>
      <c r="C76" s="136" t="s">
        <v>11</v>
      </c>
      <c r="D76" s="174">
        <f>+D50</f>
        <v>1.0199499999999999</v>
      </c>
      <c r="E76" s="174">
        <f t="shared" ref="E76:I76" si="42">+E50</f>
        <v>1.0199499999999999</v>
      </c>
      <c r="F76" s="174">
        <f t="shared" si="42"/>
        <v>1.0199499999999999</v>
      </c>
      <c r="G76" s="174">
        <f t="shared" si="42"/>
        <v>1.0199499999999999</v>
      </c>
      <c r="H76" s="174">
        <f t="shared" si="42"/>
        <v>1.0199499999999999</v>
      </c>
      <c r="I76" s="174">
        <f t="shared" si="42"/>
        <v>1.0199499999999999</v>
      </c>
      <c r="J76" s="174">
        <f t="shared" ref="J76" si="43">+J50</f>
        <v>1.0199499999999999</v>
      </c>
      <c r="L76" s="157" t="s">
        <v>330</v>
      </c>
    </row>
    <row r="77" spans="1:12" x14ac:dyDescent="0.25">
      <c r="A77" s="171">
        <v>40</v>
      </c>
      <c r="C77" s="136" t="s">
        <v>119</v>
      </c>
      <c r="D77" s="124">
        <f t="shared" ref="D77:I77" si="44">+D75*D76</f>
        <v>4726972.4690749999</v>
      </c>
      <c r="E77" s="124">
        <f t="shared" si="44"/>
        <v>12643839.664886447</v>
      </c>
      <c r="F77" s="124">
        <f t="shared" si="44"/>
        <v>20440421.24780152</v>
      </c>
      <c r="G77" s="124">
        <f t="shared" si="44"/>
        <v>29288842.233069986</v>
      </c>
      <c r="H77" s="124">
        <f t="shared" si="44"/>
        <v>37015029.030205697</v>
      </c>
      <c r="I77" s="124">
        <f t="shared" si="44"/>
        <v>43391675.582175128</v>
      </c>
      <c r="J77" s="124">
        <f t="shared" ref="J77" si="45">+J75*J76</f>
        <v>46630185.957876019</v>
      </c>
      <c r="L77" s="193" t="s">
        <v>264</v>
      </c>
    </row>
    <row r="78" spans="1:12" x14ac:dyDescent="0.25">
      <c r="C78" s="136"/>
      <c r="D78" s="173"/>
      <c r="E78" s="173"/>
      <c r="F78" s="173"/>
      <c r="G78" s="173"/>
      <c r="H78" s="173"/>
      <c r="I78" s="173"/>
      <c r="J78" s="173"/>
      <c r="L78" s="193"/>
    </row>
    <row r="79" spans="1:12" x14ac:dyDescent="0.25">
      <c r="A79" s="169">
        <v>41</v>
      </c>
      <c r="C79" s="130" t="s">
        <v>289</v>
      </c>
      <c r="D79" s="172">
        <f t="shared" ref="D79:I79" si="46">+D68+D77</f>
        <v>19543988.409081616</v>
      </c>
      <c r="E79" s="172">
        <f t="shared" si="46"/>
        <v>40485089.619664684</v>
      </c>
      <c r="F79" s="172">
        <f t="shared" si="46"/>
        <v>62384926.845948689</v>
      </c>
      <c r="G79" s="172">
        <f t="shared" si="46"/>
        <v>86016166.196941853</v>
      </c>
      <c r="H79" s="172">
        <f t="shared" si="46"/>
        <v>105963128.71549463</v>
      </c>
      <c r="I79" s="172">
        <f t="shared" si="46"/>
        <v>123963457.56393281</v>
      </c>
      <c r="J79" s="172">
        <f t="shared" ref="J79" si="47">+J68+J77</f>
        <v>134492610.24175417</v>
      </c>
      <c r="L79" s="193" t="s">
        <v>265</v>
      </c>
    </row>
    <row r="80" spans="1:12" x14ac:dyDescent="0.25">
      <c r="C80" s="130"/>
      <c r="D80" s="172"/>
      <c r="E80" s="172"/>
      <c r="F80" s="172"/>
      <c r="G80" s="172"/>
      <c r="H80" s="172"/>
      <c r="I80" s="172"/>
      <c r="J80" s="172"/>
      <c r="L80" s="193"/>
    </row>
    <row r="81" spans="1:12" x14ac:dyDescent="0.25">
      <c r="A81" s="169">
        <v>42</v>
      </c>
      <c r="C81" s="130" t="s">
        <v>288</v>
      </c>
      <c r="D81" s="137">
        <f t="shared" ref="D81:I81" si="48">+D79*0.8</f>
        <v>15635190.727265293</v>
      </c>
      <c r="E81" s="137">
        <f t="shared" si="48"/>
        <v>32388071.695731748</v>
      </c>
      <c r="F81" s="137">
        <f t="shared" si="48"/>
        <v>49907941.476758957</v>
      </c>
      <c r="G81" s="137">
        <f t="shared" si="48"/>
        <v>68812932.957553491</v>
      </c>
      <c r="H81" s="137">
        <f t="shared" si="48"/>
        <v>84770502.972395718</v>
      </c>
      <c r="I81" s="137">
        <f t="shared" si="48"/>
        <v>99170766.051146254</v>
      </c>
      <c r="J81" s="137">
        <f t="shared" ref="J81" si="49">+J79*0.8</f>
        <v>107594088.19340335</v>
      </c>
      <c r="L81" s="193" t="s">
        <v>266</v>
      </c>
    </row>
    <row r="82" spans="1:12" x14ac:dyDescent="0.25">
      <c r="C82" s="136"/>
      <c r="D82" s="136"/>
      <c r="E82" s="136"/>
      <c r="F82" s="136"/>
      <c r="G82" s="136"/>
      <c r="H82" s="136"/>
      <c r="I82" s="175"/>
      <c r="J82" s="175"/>
    </row>
    <row r="83" spans="1:12" x14ac:dyDescent="0.25">
      <c r="A83" s="144" t="s">
        <v>133</v>
      </c>
      <c r="B83" s="144"/>
      <c r="C83" s="145"/>
      <c r="D83" s="145"/>
      <c r="E83" s="145"/>
      <c r="F83" s="145"/>
      <c r="G83" s="145"/>
      <c r="H83" s="145"/>
      <c r="I83" s="145"/>
      <c r="J83" s="145"/>
      <c r="K83" s="144"/>
      <c r="L83" s="1"/>
    </row>
    <row r="84" spans="1:12" x14ac:dyDescent="0.25">
      <c r="A84" s="144" t="s">
        <v>134</v>
      </c>
      <c r="B84" s="144"/>
      <c r="C84" s="145"/>
      <c r="D84" s="145"/>
      <c r="E84" s="145"/>
      <c r="F84" s="145"/>
      <c r="G84" s="145"/>
      <c r="H84" s="145"/>
      <c r="I84" s="145"/>
      <c r="J84" s="145"/>
      <c r="K84" s="144"/>
      <c r="L84" s="1"/>
    </row>
    <row r="85" spans="1:12" x14ac:dyDescent="0.25">
      <c r="A85" s="144" t="s">
        <v>199</v>
      </c>
      <c r="B85" s="167"/>
      <c r="C85" s="168"/>
      <c r="D85" s="168"/>
      <c r="E85" s="168"/>
      <c r="F85" s="168"/>
      <c r="G85" s="168"/>
      <c r="H85" s="168"/>
      <c r="I85" s="168"/>
      <c r="J85" s="168"/>
      <c r="K85" s="167"/>
    </row>
    <row r="86" spans="1:12" x14ac:dyDescent="0.25">
      <c r="D86" s="157" t="s">
        <v>82</v>
      </c>
      <c r="E86" s="170" t="s">
        <v>83</v>
      </c>
      <c r="F86" s="157" t="s">
        <v>84</v>
      </c>
      <c r="G86" s="157" t="s">
        <v>85</v>
      </c>
      <c r="H86" s="157" t="s">
        <v>86</v>
      </c>
      <c r="I86" s="157" t="s">
        <v>87</v>
      </c>
      <c r="J86" s="157" t="s">
        <v>87</v>
      </c>
      <c r="L86" s="171" t="s">
        <v>88</v>
      </c>
    </row>
    <row r="87" spans="1:12" x14ac:dyDescent="0.25">
      <c r="C87" s="7" t="s">
        <v>168</v>
      </c>
      <c r="D87" s="131" t="s">
        <v>152</v>
      </c>
      <c r="E87" s="131" t="s">
        <v>153</v>
      </c>
      <c r="F87" s="131" t="s">
        <v>154</v>
      </c>
      <c r="G87" s="131" t="s">
        <v>155</v>
      </c>
      <c r="H87" s="131" t="s">
        <v>156</v>
      </c>
      <c r="I87" s="131" t="s">
        <v>157</v>
      </c>
      <c r="J87" s="151" t="s">
        <v>275</v>
      </c>
    </row>
    <row r="88" spans="1:12" x14ac:dyDescent="0.25">
      <c r="C88" s="7" t="s">
        <v>169</v>
      </c>
      <c r="D88" s="198">
        <v>44286</v>
      </c>
      <c r="E88" s="198">
        <v>44651</v>
      </c>
      <c r="F88" s="198">
        <v>45016</v>
      </c>
      <c r="G88" s="198">
        <v>45382</v>
      </c>
      <c r="H88" s="198">
        <v>45747</v>
      </c>
      <c r="I88" s="198">
        <v>46112</v>
      </c>
      <c r="J88" s="198">
        <v>46477</v>
      </c>
    </row>
    <row r="89" spans="1:12" x14ac:dyDescent="0.25">
      <c r="A89" s="2" t="s">
        <v>122</v>
      </c>
      <c r="B89" s="131"/>
      <c r="C89" s="163" t="s">
        <v>170</v>
      </c>
      <c r="D89" s="153" t="s">
        <v>268</v>
      </c>
      <c r="E89" s="153" t="s">
        <v>269</v>
      </c>
      <c r="F89" s="153" t="s">
        <v>270</v>
      </c>
      <c r="G89" s="153" t="s">
        <v>271</v>
      </c>
      <c r="H89" s="153" t="s">
        <v>272</v>
      </c>
      <c r="I89" s="153" t="s">
        <v>273</v>
      </c>
      <c r="J89" s="153" t="s">
        <v>276</v>
      </c>
      <c r="L89" s="2" t="s">
        <v>121</v>
      </c>
    </row>
    <row r="90" spans="1:12" x14ac:dyDescent="0.25">
      <c r="A90" s="169">
        <v>1</v>
      </c>
      <c r="C90" s="7" t="s">
        <v>29</v>
      </c>
      <c r="D90" s="176">
        <f t="shared" ref="D90:J90" si="50">+D81</f>
        <v>15635190.727265293</v>
      </c>
      <c r="E90" s="176">
        <f t="shared" si="50"/>
        <v>32388071.695731748</v>
      </c>
      <c r="F90" s="176">
        <f t="shared" si="50"/>
        <v>49907941.476758957</v>
      </c>
      <c r="G90" s="176">
        <f t="shared" si="50"/>
        <v>68812932.957553491</v>
      </c>
      <c r="H90" s="176">
        <f t="shared" si="50"/>
        <v>84770502.972395718</v>
      </c>
      <c r="I90" s="176">
        <f t="shared" si="50"/>
        <v>99170766.051146254</v>
      </c>
      <c r="J90" s="176">
        <f t="shared" si="50"/>
        <v>107594088.19340335</v>
      </c>
      <c r="L90" s="157" t="s">
        <v>210</v>
      </c>
    </row>
    <row r="91" spans="1:12" x14ac:dyDescent="0.25">
      <c r="A91" s="169">
        <v>2</v>
      </c>
      <c r="C91" s="7" t="s">
        <v>30</v>
      </c>
      <c r="D91" s="176">
        <f t="shared" ref="D91:J91" si="51">+D29</f>
        <v>2270532.6443295279</v>
      </c>
      <c r="E91" s="176">
        <f t="shared" si="51"/>
        <v>4583446.9880527789</v>
      </c>
      <c r="F91" s="176">
        <f t="shared" si="51"/>
        <v>7227359.1273469497</v>
      </c>
      <c r="G91" s="176">
        <f t="shared" si="51"/>
        <v>10517295.069885762</v>
      </c>
      <c r="H91" s="176">
        <f t="shared" si="51"/>
        <v>14006087.352170892</v>
      </c>
      <c r="I91" s="176">
        <f t="shared" si="51"/>
        <v>16370287.575625896</v>
      </c>
      <c r="J91" s="176">
        <f t="shared" si="51"/>
        <v>18489755.849019736</v>
      </c>
      <c r="K91" s="175"/>
      <c r="L91" s="157" t="s">
        <v>209</v>
      </c>
    </row>
    <row r="92" spans="1:12" x14ac:dyDescent="0.25">
      <c r="A92" s="169">
        <v>3</v>
      </c>
      <c r="C92" s="7" t="s">
        <v>31</v>
      </c>
      <c r="D92" s="176">
        <f t="shared" ref="D92:J92" si="52">+D55</f>
        <v>13364658.082935764</v>
      </c>
      <c r="E92" s="176">
        <f t="shared" si="52"/>
        <v>27804624.707678962</v>
      </c>
      <c r="F92" s="176">
        <f t="shared" si="52"/>
        <v>42680582.349412002</v>
      </c>
      <c r="G92" s="176">
        <f t="shared" si="52"/>
        <v>58295637.88766773</v>
      </c>
      <c r="H92" s="176">
        <f t="shared" si="52"/>
        <v>70764415.620224819</v>
      </c>
      <c r="I92" s="176">
        <f t="shared" si="52"/>
        <v>82800478.475520372</v>
      </c>
      <c r="J92" s="176">
        <f t="shared" si="52"/>
        <v>89104332.344383627</v>
      </c>
      <c r="L92" s="157" t="s">
        <v>211</v>
      </c>
    </row>
    <row r="94" spans="1:12" x14ac:dyDescent="0.25">
      <c r="C94" s="130" t="s">
        <v>56</v>
      </c>
      <c r="D94" s="5"/>
      <c r="E94" s="5"/>
      <c r="F94" s="5"/>
      <c r="G94" s="5"/>
      <c r="H94" s="5"/>
      <c r="I94" s="5"/>
      <c r="J94" s="5"/>
    </row>
    <row r="95" spans="1:12" x14ac:dyDescent="0.25">
      <c r="A95" s="169">
        <v>4</v>
      </c>
      <c r="C95" s="164" t="s">
        <v>58</v>
      </c>
      <c r="D95" s="5">
        <v>0.40503841409696534</v>
      </c>
      <c r="E95" s="5">
        <v>0.40503841409696534</v>
      </c>
      <c r="F95" s="5">
        <v>0.40503841409696534</v>
      </c>
      <c r="G95" s="5">
        <v>0.40503841409696534</v>
      </c>
      <c r="H95" s="5">
        <v>0.40503841409696534</v>
      </c>
      <c r="I95" s="5">
        <v>0.40503841409696534</v>
      </c>
      <c r="J95" s="5">
        <v>0.40503841409696534</v>
      </c>
      <c r="L95" s="157" t="s">
        <v>293</v>
      </c>
    </row>
    <row r="96" spans="1:12" x14ac:dyDescent="0.25">
      <c r="A96" s="169">
        <v>5</v>
      </c>
      <c r="C96" s="164" t="s">
        <v>59</v>
      </c>
      <c r="D96" s="5">
        <v>0.15211848390798122</v>
      </c>
      <c r="E96" s="5">
        <v>0.15211848390798122</v>
      </c>
      <c r="F96" s="5">
        <v>0.15211848390798122</v>
      </c>
      <c r="G96" s="5">
        <v>0.15211848390798122</v>
      </c>
      <c r="H96" s="5">
        <v>0.15211848390798122</v>
      </c>
      <c r="I96" s="5">
        <v>0.15211848390798122</v>
      </c>
      <c r="J96" s="5">
        <v>0.15211848390798122</v>
      </c>
      <c r="L96" s="157" t="s">
        <v>293</v>
      </c>
    </row>
    <row r="97" spans="1:12" x14ac:dyDescent="0.25">
      <c r="A97" s="169">
        <v>6</v>
      </c>
      <c r="C97" s="164" t="s">
        <v>60</v>
      </c>
      <c r="D97" s="5">
        <v>0.25849894254118644</v>
      </c>
      <c r="E97" s="5">
        <v>0.25849894254118644</v>
      </c>
      <c r="F97" s="5">
        <v>0.25849894254118644</v>
      </c>
      <c r="G97" s="5">
        <v>0.25849894254118644</v>
      </c>
      <c r="H97" s="5">
        <v>0.25849894254118644</v>
      </c>
      <c r="I97" s="5">
        <v>0.25849894254118644</v>
      </c>
      <c r="J97" s="5">
        <v>0.25849894254118644</v>
      </c>
      <c r="L97" s="157" t="s">
        <v>293</v>
      </c>
    </row>
    <row r="98" spans="1:12" x14ac:dyDescent="0.25">
      <c r="A98" s="169">
        <v>7</v>
      </c>
      <c r="C98" s="164" t="s">
        <v>61</v>
      </c>
      <c r="D98" s="5">
        <v>0.18035889683746559</v>
      </c>
      <c r="E98" s="5">
        <v>0.18035889683746559</v>
      </c>
      <c r="F98" s="5">
        <v>0.18035889683746559</v>
      </c>
      <c r="G98" s="5">
        <v>0.18035889683746559</v>
      </c>
      <c r="H98" s="5">
        <v>0.18035889683746559</v>
      </c>
      <c r="I98" s="5">
        <v>0.18035889683746559</v>
      </c>
      <c r="J98" s="5">
        <v>0.18035889683746559</v>
      </c>
      <c r="L98" s="157" t="s">
        <v>293</v>
      </c>
    </row>
    <row r="99" spans="1:12" x14ac:dyDescent="0.25">
      <c r="A99" s="169">
        <v>8</v>
      </c>
      <c r="C99" s="164" t="s">
        <v>62</v>
      </c>
      <c r="D99" s="5">
        <v>3.985262616401376E-3</v>
      </c>
      <c r="E99" s="5">
        <v>3.985262616401376E-3</v>
      </c>
      <c r="F99" s="5">
        <v>3.985262616401376E-3</v>
      </c>
      <c r="G99" s="5">
        <v>3.985262616401376E-3</v>
      </c>
      <c r="H99" s="5">
        <v>3.985262616401376E-3</v>
      </c>
      <c r="I99" s="5">
        <v>3.985262616401376E-3</v>
      </c>
      <c r="J99" s="5">
        <v>3.985262616401376E-3</v>
      </c>
      <c r="L99" s="157" t="s">
        <v>293</v>
      </c>
    </row>
    <row r="100" spans="1:12" x14ac:dyDescent="0.25">
      <c r="C100" s="165"/>
      <c r="D100" s="5"/>
      <c r="E100" s="5"/>
      <c r="F100" s="5"/>
      <c r="G100" s="5"/>
      <c r="H100" s="5"/>
      <c r="I100" s="5"/>
      <c r="J100" s="5"/>
    </row>
    <row r="101" spans="1:12" x14ac:dyDescent="0.25">
      <c r="C101" s="130" t="s">
        <v>57</v>
      </c>
      <c r="D101" s="5"/>
      <c r="E101" s="5"/>
      <c r="F101" s="5"/>
      <c r="G101" s="5"/>
      <c r="H101" s="5"/>
      <c r="I101" s="5"/>
      <c r="J101" s="5"/>
    </row>
    <row r="102" spans="1:12" x14ac:dyDescent="0.25">
      <c r="A102" s="169">
        <v>10</v>
      </c>
      <c r="C102" s="164" t="s">
        <v>58</v>
      </c>
      <c r="D102" s="5">
        <v>0.57064108205754238</v>
      </c>
      <c r="E102" s="5">
        <v>0.57064108205754238</v>
      </c>
      <c r="F102" s="5">
        <v>0.57064108205754238</v>
      </c>
      <c r="G102" s="5">
        <v>0.57064108205754238</v>
      </c>
      <c r="H102" s="5">
        <v>0.57064108205754238</v>
      </c>
      <c r="I102" s="5">
        <v>0.57064108205754238</v>
      </c>
      <c r="J102" s="5">
        <v>0.57064108205754238</v>
      </c>
      <c r="L102" s="157" t="s">
        <v>293</v>
      </c>
    </row>
    <row r="103" spans="1:12" x14ac:dyDescent="0.25">
      <c r="A103" s="169">
        <v>11</v>
      </c>
      <c r="C103" s="164" t="s">
        <v>59</v>
      </c>
      <c r="D103" s="5">
        <v>0.15840165912817628</v>
      </c>
      <c r="E103" s="5">
        <v>0.15840165912817628</v>
      </c>
      <c r="F103" s="5">
        <v>0.15840165912817628</v>
      </c>
      <c r="G103" s="5">
        <v>0.15840165912817628</v>
      </c>
      <c r="H103" s="5">
        <v>0.15840165912817628</v>
      </c>
      <c r="I103" s="5">
        <v>0.15840165912817628</v>
      </c>
      <c r="J103" s="5">
        <v>0.15840165912817628</v>
      </c>
      <c r="L103" s="157" t="s">
        <v>293</v>
      </c>
    </row>
    <row r="104" spans="1:12" x14ac:dyDescent="0.25">
      <c r="A104" s="169">
        <v>12</v>
      </c>
      <c r="C104" s="164" t="s">
        <v>60</v>
      </c>
      <c r="D104" s="5">
        <v>0.17954760543857104</v>
      </c>
      <c r="E104" s="5">
        <v>0.17954760543857104</v>
      </c>
      <c r="F104" s="5">
        <v>0.17954760543857104</v>
      </c>
      <c r="G104" s="5">
        <v>0.17954760543857104</v>
      </c>
      <c r="H104" s="5">
        <v>0.17954760543857104</v>
      </c>
      <c r="I104" s="5">
        <v>0.17954760543857104</v>
      </c>
      <c r="J104" s="5">
        <v>0.17954760543857104</v>
      </c>
      <c r="L104" s="157" t="s">
        <v>293</v>
      </c>
    </row>
    <row r="105" spans="1:12" x14ac:dyDescent="0.25">
      <c r="A105" s="169">
        <v>13</v>
      </c>
      <c r="C105" s="164" t="s">
        <v>61</v>
      </c>
      <c r="D105" s="5">
        <v>8.2824349300342895E-2</v>
      </c>
      <c r="E105" s="5">
        <v>8.2824349300342895E-2</v>
      </c>
      <c r="F105" s="5">
        <v>8.2824349300342895E-2</v>
      </c>
      <c r="G105" s="5">
        <v>8.2824349300342895E-2</v>
      </c>
      <c r="H105" s="5">
        <v>8.2824349300342895E-2</v>
      </c>
      <c r="I105" s="5">
        <v>8.2824349300342895E-2</v>
      </c>
      <c r="J105" s="5">
        <v>8.2824349300342895E-2</v>
      </c>
      <c r="L105" s="157" t="s">
        <v>293</v>
      </c>
    </row>
    <row r="106" spans="1:12" x14ac:dyDescent="0.25">
      <c r="A106" s="169">
        <v>14</v>
      </c>
      <c r="C106" s="164" t="s">
        <v>62</v>
      </c>
      <c r="D106" s="5">
        <v>8.5853040753673098E-3</v>
      </c>
      <c r="E106" s="5">
        <v>8.5853040753673098E-3</v>
      </c>
      <c r="F106" s="5">
        <v>8.5853040753673098E-3</v>
      </c>
      <c r="G106" s="5">
        <v>8.5853040753673098E-3</v>
      </c>
      <c r="H106" s="5">
        <v>8.5853040753673098E-3</v>
      </c>
      <c r="I106" s="5">
        <v>8.5853040753673098E-3</v>
      </c>
      <c r="J106" s="5">
        <v>8.5853040753673098E-3</v>
      </c>
      <c r="L106" s="157" t="s">
        <v>293</v>
      </c>
    </row>
    <row r="108" spans="1:12" x14ac:dyDescent="0.25">
      <c r="C108" s="130" t="s">
        <v>63</v>
      </c>
    </row>
    <row r="109" spans="1:12" x14ac:dyDescent="0.25">
      <c r="A109" s="169">
        <v>15</v>
      </c>
      <c r="C109" s="164" t="s">
        <v>58</v>
      </c>
      <c r="D109" s="3">
        <f t="shared" ref="D109:I109" si="53">ROUND(+D$91*D95,-3)</f>
        <v>920000</v>
      </c>
      <c r="E109" s="3">
        <f t="shared" si="53"/>
        <v>1856000</v>
      </c>
      <c r="F109" s="3">
        <f t="shared" si="53"/>
        <v>2927000</v>
      </c>
      <c r="G109" s="3">
        <f t="shared" si="53"/>
        <v>4260000</v>
      </c>
      <c r="H109" s="3">
        <f t="shared" si="53"/>
        <v>5673000</v>
      </c>
      <c r="I109" s="3">
        <f t="shared" si="53"/>
        <v>6631000</v>
      </c>
      <c r="J109" s="3">
        <f t="shared" ref="J109" si="54">ROUND(+J$91*J95,-3)</f>
        <v>7489000</v>
      </c>
      <c r="L109" s="157" t="s">
        <v>212</v>
      </c>
    </row>
    <row r="110" spans="1:12" x14ac:dyDescent="0.25">
      <c r="A110" s="169">
        <v>16</v>
      </c>
      <c r="C110" s="164" t="s">
        <v>59</v>
      </c>
      <c r="D110" s="3">
        <f t="shared" ref="D110:I113" si="55">ROUND(+D$91*D96,-3)</f>
        <v>345000</v>
      </c>
      <c r="E110" s="3">
        <f t="shared" si="55"/>
        <v>697000</v>
      </c>
      <c r="F110" s="3">
        <f t="shared" si="55"/>
        <v>1099000</v>
      </c>
      <c r="G110" s="3">
        <f t="shared" si="55"/>
        <v>1600000</v>
      </c>
      <c r="H110" s="3">
        <f t="shared" si="55"/>
        <v>2131000</v>
      </c>
      <c r="I110" s="3">
        <f t="shared" si="55"/>
        <v>2490000</v>
      </c>
      <c r="J110" s="3">
        <f t="shared" ref="J110" si="56">ROUND(+J$91*J96,-3)</f>
        <v>2813000</v>
      </c>
      <c r="L110" s="157" t="s">
        <v>182</v>
      </c>
    </row>
    <row r="111" spans="1:12" x14ac:dyDescent="0.25">
      <c r="A111" s="169">
        <v>17</v>
      </c>
      <c r="C111" s="164" t="s">
        <v>60</v>
      </c>
      <c r="D111" s="3">
        <f t="shared" si="55"/>
        <v>587000</v>
      </c>
      <c r="E111" s="3">
        <f t="shared" si="55"/>
        <v>1185000</v>
      </c>
      <c r="F111" s="3">
        <f t="shared" si="55"/>
        <v>1868000</v>
      </c>
      <c r="G111" s="3">
        <f t="shared" si="55"/>
        <v>2719000</v>
      </c>
      <c r="H111" s="3">
        <f t="shared" si="55"/>
        <v>3621000</v>
      </c>
      <c r="I111" s="3">
        <f t="shared" si="55"/>
        <v>4232000</v>
      </c>
      <c r="J111" s="3">
        <f t="shared" ref="J111" si="57">ROUND(+J$91*J97,-3)</f>
        <v>4780000</v>
      </c>
      <c r="L111" s="157" t="s">
        <v>183</v>
      </c>
    </row>
    <row r="112" spans="1:12" x14ac:dyDescent="0.25">
      <c r="A112" s="169">
        <v>18</v>
      </c>
      <c r="C112" s="164" t="s">
        <v>61</v>
      </c>
      <c r="D112" s="3">
        <f t="shared" si="55"/>
        <v>410000</v>
      </c>
      <c r="E112" s="3">
        <f t="shared" si="55"/>
        <v>827000</v>
      </c>
      <c r="F112" s="3">
        <f t="shared" si="55"/>
        <v>1304000</v>
      </c>
      <c r="G112" s="3">
        <f t="shared" si="55"/>
        <v>1897000</v>
      </c>
      <c r="H112" s="3">
        <f t="shared" si="55"/>
        <v>2526000</v>
      </c>
      <c r="I112" s="3">
        <f t="shared" si="55"/>
        <v>2953000</v>
      </c>
      <c r="J112" s="3">
        <f t="shared" ref="J112" si="58">ROUND(+J$91*J98,-3)</f>
        <v>3335000</v>
      </c>
      <c r="L112" s="157" t="s">
        <v>184</v>
      </c>
    </row>
    <row r="113" spans="1:12" x14ac:dyDescent="0.25">
      <c r="A113" s="169">
        <v>19</v>
      </c>
      <c r="C113" s="164" t="s">
        <v>62</v>
      </c>
      <c r="D113" s="6">
        <f t="shared" si="55"/>
        <v>9000</v>
      </c>
      <c r="E113" s="6">
        <f t="shared" si="55"/>
        <v>18000</v>
      </c>
      <c r="F113" s="6">
        <f t="shared" si="55"/>
        <v>29000</v>
      </c>
      <c r="G113" s="6">
        <f t="shared" si="55"/>
        <v>42000</v>
      </c>
      <c r="H113" s="6">
        <f t="shared" si="55"/>
        <v>56000</v>
      </c>
      <c r="I113" s="6">
        <f t="shared" si="55"/>
        <v>65000</v>
      </c>
      <c r="J113" s="6">
        <f t="shared" ref="J113" si="59">ROUND(+J$91*J99,-3)</f>
        <v>74000</v>
      </c>
      <c r="L113" s="157" t="s">
        <v>185</v>
      </c>
    </row>
    <row r="114" spans="1:12" x14ac:dyDescent="0.25">
      <c r="A114" s="169">
        <v>20</v>
      </c>
      <c r="C114" s="148" t="s">
        <v>65</v>
      </c>
      <c r="D114" s="3">
        <f t="shared" ref="D114:I114" si="60">SUM(D109:D113)</f>
        <v>2271000</v>
      </c>
      <c r="E114" s="3">
        <f t="shared" si="60"/>
        <v>4583000</v>
      </c>
      <c r="F114" s="3">
        <f t="shared" si="60"/>
        <v>7227000</v>
      </c>
      <c r="G114" s="3">
        <f t="shared" si="60"/>
        <v>10518000</v>
      </c>
      <c r="H114" s="3">
        <f t="shared" si="60"/>
        <v>14007000</v>
      </c>
      <c r="I114" s="53">
        <f t="shared" si="60"/>
        <v>16371000</v>
      </c>
      <c r="J114" s="53">
        <f t="shared" ref="J114" si="61">SUM(J109:J113)</f>
        <v>18491000</v>
      </c>
      <c r="L114" s="157" t="s">
        <v>186</v>
      </c>
    </row>
    <row r="115" spans="1:12" x14ac:dyDescent="0.25">
      <c r="C115" s="130"/>
      <c r="D115" s="3"/>
      <c r="E115" s="3"/>
      <c r="F115" s="3"/>
      <c r="G115" s="3"/>
      <c r="H115" s="3"/>
      <c r="I115" s="53"/>
      <c r="J115" s="53"/>
    </row>
    <row r="116" spans="1:12" x14ac:dyDescent="0.25">
      <c r="C116" s="130" t="s">
        <v>64</v>
      </c>
      <c r="D116" s="3"/>
      <c r="E116" s="3"/>
      <c r="F116" s="3"/>
      <c r="G116" s="3"/>
      <c r="H116" s="3"/>
      <c r="I116" s="53"/>
      <c r="J116" s="53"/>
    </row>
    <row r="117" spans="1:12" x14ac:dyDescent="0.25">
      <c r="A117" s="169">
        <v>21</v>
      </c>
      <c r="C117" s="164" t="s">
        <v>58</v>
      </c>
      <c r="D117" s="3">
        <f t="shared" ref="D117:D119" si="62">ROUND(+D$92*D102,-3)</f>
        <v>7626000</v>
      </c>
      <c r="E117" s="3">
        <f t="shared" ref="E117:I117" si="63">ROUND(+E$92*E102,-3)</f>
        <v>15866000</v>
      </c>
      <c r="F117" s="3">
        <f t="shared" si="63"/>
        <v>24355000</v>
      </c>
      <c r="G117" s="3">
        <f t="shared" si="63"/>
        <v>33266000</v>
      </c>
      <c r="H117" s="3">
        <f t="shared" si="63"/>
        <v>40381000</v>
      </c>
      <c r="I117" s="3">
        <f t="shared" si="63"/>
        <v>47249000</v>
      </c>
      <c r="J117" s="3">
        <f t="shared" ref="J117" si="64">ROUND(+J$92*J102,-3)</f>
        <v>50847000</v>
      </c>
      <c r="L117" s="157" t="s">
        <v>187</v>
      </c>
    </row>
    <row r="118" spans="1:12" x14ac:dyDescent="0.25">
      <c r="A118" s="169">
        <v>22</v>
      </c>
      <c r="C118" s="164" t="s">
        <v>59</v>
      </c>
      <c r="D118" s="3">
        <f t="shared" si="62"/>
        <v>2117000</v>
      </c>
      <c r="E118" s="3">
        <f t="shared" ref="E118:I118" si="65">ROUND(+E$92*E103,-3)</f>
        <v>4404000</v>
      </c>
      <c r="F118" s="3">
        <f t="shared" si="65"/>
        <v>6761000</v>
      </c>
      <c r="G118" s="3">
        <f t="shared" si="65"/>
        <v>9234000</v>
      </c>
      <c r="H118" s="3">
        <f t="shared" si="65"/>
        <v>11209000</v>
      </c>
      <c r="I118" s="3">
        <f t="shared" si="65"/>
        <v>13116000</v>
      </c>
      <c r="J118" s="3">
        <f t="shared" ref="J118" si="66">ROUND(+J$92*J103,-3)</f>
        <v>14114000</v>
      </c>
      <c r="L118" s="157" t="s">
        <v>188</v>
      </c>
    </row>
    <row r="119" spans="1:12" x14ac:dyDescent="0.25">
      <c r="A119" s="169">
        <v>23</v>
      </c>
      <c r="C119" s="164" t="s">
        <v>60</v>
      </c>
      <c r="D119" s="3">
        <f t="shared" si="62"/>
        <v>2400000</v>
      </c>
      <c r="E119" s="3">
        <f t="shared" ref="E119:I119" si="67">ROUND(+E$92*E104,-3)</f>
        <v>4992000</v>
      </c>
      <c r="F119" s="3">
        <f t="shared" si="67"/>
        <v>7663000</v>
      </c>
      <c r="G119" s="3">
        <f t="shared" si="67"/>
        <v>10467000</v>
      </c>
      <c r="H119" s="3">
        <f t="shared" si="67"/>
        <v>12706000</v>
      </c>
      <c r="I119" s="3">
        <f t="shared" si="67"/>
        <v>14867000</v>
      </c>
      <c r="J119" s="3">
        <f t="shared" ref="J119" si="68">ROUND(+J$92*J104,-3)</f>
        <v>15998000</v>
      </c>
      <c r="L119" s="157" t="s">
        <v>189</v>
      </c>
    </row>
    <row r="120" spans="1:12" x14ac:dyDescent="0.25">
      <c r="A120" s="169">
        <v>24</v>
      </c>
      <c r="C120" s="164" t="s">
        <v>61</v>
      </c>
      <c r="D120" s="3">
        <f>ROUND(+D$92*D105,-3)</f>
        <v>1107000</v>
      </c>
      <c r="E120" s="3">
        <f t="shared" ref="E120:I120" si="69">ROUND(+E$92*E105,-3)</f>
        <v>2303000</v>
      </c>
      <c r="F120" s="3">
        <f t="shared" si="69"/>
        <v>3535000</v>
      </c>
      <c r="G120" s="3">
        <f t="shared" si="69"/>
        <v>4828000</v>
      </c>
      <c r="H120" s="3">
        <f t="shared" si="69"/>
        <v>5861000</v>
      </c>
      <c r="I120" s="3">
        <f t="shared" si="69"/>
        <v>6858000</v>
      </c>
      <c r="J120" s="3">
        <f t="shared" ref="J120" si="70">ROUND(+J$92*J105,-3)</f>
        <v>7380000</v>
      </c>
      <c r="L120" s="157" t="s">
        <v>190</v>
      </c>
    </row>
    <row r="121" spans="1:12" x14ac:dyDescent="0.25">
      <c r="A121" s="169">
        <v>25</v>
      </c>
      <c r="C121" s="164" t="s">
        <v>62</v>
      </c>
      <c r="D121" s="6">
        <f>ROUND(+D$92*D106,-3)</f>
        <v>115000</v>
      </c>
      <c r="E121" s="6">
        <f t="shared" ref="E121:I121" si="71">ROUND(+E$92*E106,-3)</f>
        <v>239000</v>
      </c>
      <c r="F121" s="6">
        <f t="shared" si="71"/>
        <v>366000</v>
      </c>
      <c r="G121" s="6">
        <f t="shared" si="71"/>
        <v>500000</v>
      </c>
      <c r="H121" s="6">
        <f t="shared" si="71"/>
        <v>608000</v>
      </c>
      <c r="I121" s="6">
        <f t="shared" si="71"/>
        <v>711000</v>
      </c>
      <c r="J121" s="6">
        <f t="shared" ref="J121" si="72">ROUND(+J$92*J106,-3)</f>
        <v>765000</v>
      </c>
      <c r="L121" s="157" t="s">
        <v>191</v>
      </c>
    </row>
    <row r="122" spans="1:12" x14ac:dyDescent="0.25">
      <c r="A122" s="169">
        <v>26</v>
      </c>
      <c r="C122" s="148" t="s">
        <v>65</v>
      </c>
      <c r="D122" s="3">
        <f t="shared" ref="D122:I122" si="73">SUM(D117:D121)</f>
        <v>13365000</v>
      </c>
      <c r="E122" s="3">
        <f t="shared" si="73"/>
        <v>27804000</v>
      </c>
      <c r="F122" s="3">
        <f t="shared" si="73"/>
        <v>42680000</v>
      </c>
      <c r="G122" s="3">
        <f t="shared" si="73"/>
        <v>58295000</v>
      </c>
      <c r="H122" s="3">
        <f t="shared" si="73"/>
        <v>70765000</v>
      </c>
      <c r="I122" s="53">
        <f t="shared" si="73"/>
        <v>82801000</v>
      </c>
      <c r="J122" s="53">
        <f t="shared" ref="J122" si="74">SUM(J117:J121)</f>
        <v>89104000</v>
      </c>
      <c r="L122" s="157" t="s">
        <v>192</v>
      </c>
    </row>
    <row r="123" spans="1:12" x14ac:dyDescent="0.25">
      <c r="C123" s="148"/>
      <c r="D123" s="3"/>
      <c r="E123" s="3"/>
      <c r="F123" s="3"/>
      <c r="G123" s="3"/>
      <c r="H123" s="3"/>
      <c r="I123" s="53"/>
      <c r="J123" s="53"/>
    </row>
    <row r="124" spans="1:12" x14ac:dyDescent="0.25">
      <c r="C124" s="130" t="s">
        <v>16</v>
      </c>
      <c r="D124" s="3"/>
      <c r="E124" s="3"/>
      <c r="F124" s="3"/>
      <c r="G124" s="3"/>
      <c r="H124" s="3"/>
      <c r="I124" s="53"/>
      <c r="J124" s="53"/>
    </row>
    <row r="125" spans="1:12" x14ac:dyDescent="0.25">
      <c r="A125" s="169">
        <v>27</v>
      </c>
      <c r="C125" s="164" t="s">
        <v>58</v>
      </c>
      <c r="D125" s="176">
        <f t="shared" ref="D125:I129" si="75">+D109+D117</f>
        <v>8546000</v>
      </c>
      <c r="E125" s="176">
        <f t="shared" si="75"/>
        <v>17722000</v>
      </c>
      <c r="F125" s="176">
        <f t="shared" si="75"/>
        <v>27282000</v>
      </c>
      <c r="G125" s="176">
        <f t="shared" si="75"/>
        <v>37526000</v>
      </c>
      <c r="H125" s="176">
        <f t="shared" si="75"/>
        <v>46054000</v>
      </c>
      <c r="I125" s="175">
        <f>+I109+I117</f>
        <v>53880000</v>
      </c>
      <c r="J125" s="175">
        <f>+J109+J117</f>
        <v>58336000</v>
      </c>
      <c r="L125" s="157" t="s">
        <v>193</v>
      </c>
    </row>
    <row r="126" spans="1:12" x14ac:dyDescent="0.25">
      <c r="A126" s="169">
        <v>28</v>
      </c>
      <c r="C126" s="164" t="s">
        <v>59</v>
      </c>
      <c r="D126" s="176">
        <f t="shared" si="75"/>
        <v>2462000</v>
      </c>
      <c r="E126" s="176">
        <f t="shared" si="75"/>
        <v>5101000</v>
      </c>
      <c r="F126" s="176">
        <f t="shared" si="75"/>
        <v>7860000</v>
      </c>
      <c r="G126" s="176">
        <f t="shared" si="75"/>
        <v>10834000</v>
      </c>
      <c r="H126" s="176">
        <f t="shared" si="75"/>
        <v>13340000</v>
      </c>
      <c r="I126" s="175">
        <f t="shared" si="75"/>
        <v>15606000</v>
      </c>
      <c r="J126" s="175">
        <f t="shared" ref="J126" si="76">+J110+J118</f>
        <v>16927000</v>
      </c>
      <c r="L126" s="157" t="s">
        <v>194</v>
      </c>
    </row>
    <row r="127" spans="1:12" x14ac:dyDescent="0.25">
      <c r="A127" s="169">
        <v>29</v>
      </c>
      <c r="C127" s="164" t="s">
        <v>60</v>
      </c>
      <c r="D127" s="176">
        <f t="shared" si="75"/>
        <v>2987000</v>
      </c>
      <c r="E127" s="176">
        <f t="shared" si="75"/>
        <v>6177000</v>
      </c>
      <c r="F127" s="176">
        <f t="shared" si="75"/>
        <v>9531000</v>
      </c>
      <c r="G127" s="176">
        <f t="shared" si="75"/>
        <v>13186000</v>
      </c>
      <c r="H127" s="176">
        <f t="shared" si="75"/>
        <v>16327000</v>
      </c>
      <c r="I127" s="175">
        <f t="shared" si="75"/>
        <v>19099000</v>
      </c>
      <c r="J127" s="175">
        <f t="shared" ref="J127" si="77">+J111+J119</f>
        <v>20778000</v>
      </c>
      <c r="L127" s="157" t="s">
        <v>195</v>
      </c>
    </row>
    <row r="128" spans="1:12" x14ac:dyDescent="0.25">
      <c r="A128" s="169">
        <v>30</v>
      </c>
      <c r="C128" s="164" t="s">
        <v>61</v>
      </c>
      <c r="D128" s="176">
        <f t="shared" si="75"/>
        <v>1517000</v>
      </c>
      <c r="E128" s="176">
        <f t="shared" si="75"/>
        <v>3130000</v>
      </c>
      <c r="F128" s="176">
        <f t="shared" si="75"/>
        <v>4839000</v>
      </c>
      <c r="G128" s="176">
        <f t="shared" si="75"/>
        <v>6725000</v>
      </c>
      <c r="H128" s="176">
        <f t="shared" si="75"/>
        <v>8387000</v>
      </c>
      <c r="I128" s="175">
        <f t="shared" si="75"/>
        <v>9811000</v>
      </c>
      <c r="J128" s="175">
        <f t="shared" ref="J128" si="78">+J112+J120</f>
        <v>10715000</v>
      </c>
      <c r="L128" s="157" t="s">
        <v>196</v>
      </c>
    </row>
    <row r="129" spans="1:12" x14ac:dyDescent="0.25">
      <c r="A129" s="169">
        <v>31</v>
      </c>
      <c r="C129" s="164" t="s">
        <v>62</v>
      </c>
      <c r="D129" s="177">
        <f t="shared" si="75"/>
        <v>124000</v>
      </c>
      <c r="E129" s="177">
        <f t="shared" si="75"/>
        <v>257000</v>
      </c>
      <c r="F129" s="177">
        <f t="shared" si="75"/>
        <v>395000</v>
      </c>
      <c r="G129" s="177">
        <f t="shared" si="75"/>
        <v>542000</v>
      </c>
      <c r="H129" s="177">
        <f t="shared" si="75"/>
        <v>664000</v>
      </c>
      <c r="I129" s="177">
        <f t="shared" si="75"/>
        <v>776000</v>
      </c>
      <c r="J129" s="177">
        <f t="shared" ref="J129" si="79">+J113+J121</f>
        <v>839000</v>
      </c>
      <c r="L129" s="157" t="s">
        <v>131</v>
      </c>
    </row>
    <row r="130" spans="1:12" x14ac:dyDescent="0.25">
      <c r="A130" s="169">
        <v>32</v>
      </c>
      <c r="C130" s="148" t="s">
        <v>65</v>
      </c>
      <c r="D130" s="175">
        <f t="shared" ref="D130:I130" si="80">SUM(D125:D129)</f>
        <v>15636000</v>
      </c>
      <c r="E130" s="175">
        <f t="shared" si="80"/>
        <v>32387000</v>
      </c>
      <c r="F130" s="175">
        <f t="shared" si="80"/>
        <v>49907000</v>
      </c>
      <c r="G130" s="175">
        <f t="shared" si="80"/>
        <v>68813000</v>
      </c>
      <c r="H130" s="175">
        <f t="shared" si="80"/>
        <v>84772000</v>
      </c>
      <c r="I130" s="175">
        <f t="shared" si="80"/>
        <v>99172000</v>
      </c>
      <c r="J130" s="175">
        <f t="shared" ref="J130" si="81">SUM(J125:J129)</f>
        <v>107595000</v>
      </c>
      <c r="L130" s="169" t="s">
        <v>197</v>
      </c>
    </row>
    <row r="131" spans="1:12" x14ac:dyDescent="0.25">
      <c r="C131" s="148"/>
      <c r="D131" s="175"/>
      <c r="E131" s="175"/>
      <c r="F131" s="175"/>
      <c r="G131" s="175"/>
      <c r="H131" s="175"/>
      <c r="I131" s="175"/>
      <c r="J131" s="175"/>
      <c r="L131" s="169"/>
    </row>
    <row r="132" spans="1:12" x14ac:dyDescent="0.25">
      <c r="C132" s="7" t="s">
        <v>168</v>
      </c>
      <c r="D132" s="131" t="s">
        <v>152</v>
      </c>
      <c r="E132" s="131" t="s">
        <v>153</v>
      </c>
      <c r="F132" s="131" t="s">
        <v>154</v>
      </c>
      <c r="G132" s="131" t="s">
        <v>155</v>
      </c>
      <c r="H132" s="131" t="s">
        <v>156</v>
      </c>
      <c r="I132" s="131" t="s">
        <v>157</v>
      </c>
      <c r="J132" s="151" t="s">
        <v>275</v>
      </c>
    </row>
    <row r="133" spans="1:12" x14ac:dyDescent="0.25">
      <c r="C133" s="7" t="s">
        <v>169</v>
      </c>
      <c r="D133" s="198">
        <v>44286</v>
      </c>
      <c r="E133" s="198">
        <v>44651</v>
      </c>
      <c r="F133" s="198">
        <v>45016</v>
      </c>
      <c r="G133" s="198">
        <v>45382</v>
      </c>
      <c r="H133" s="198">
        <v>45747</v>
      </c>
      <c r="I133" s="198">
        <v>46112</v>
      </c>
      <c r="J133" s="198">
        <v>46477</v>
      </c>
    </row>
    <row r="134" spans="1:12" x14ac:dyDescent="0.25">
      <c r="A134" s="2" t="s">
        <v>122</v>
      </c>
      <c r="B134" s="131"/>
      <c r="C134" s="163" t="s">
        <v>170</v>
      </c>
      <c r="D134" s="153" t="s">
        <v>268</v>
      </c>
      <c r="E134" s="153" t="s">
        <v>269</v>
      </c>
      <c r="F134" s="153" t="s">
        <v>270</v>
      </c>
      <c r="G134" s="153" t="s">
        <v>271</v>
      </c>
      <c r="H134" s="153" t="s">
        <v>272</v>
      </c>
      <c r="I134" s="153" t="s">
        <v>273</v>
      </c>
      <c r="J134" s="153" t="s">
        <v>276</v>
      </c>
      <c r="L134" s="2" t="s">
        <v>121</v>
      </c>
    </row>
    <row r="135" spans="1:12" x14ac:dyDescent="0.25">
      <c r="D135" s="136"/>
      <c r="E135" s="136"/>
      <c r="F135" s="136"/>
      <c r="G135" s="136"/>
      <c r="H135" s="136"/>
      <c r="I135" s="136"/>
      <c r="J135" s="136"/>
      <c r="L135" s="169"/>
    </row>
    <row r="136" spans="1:12" x14ac:dyDescent="0.25">
      <c r="C136" s="148" t="s">
        <v>198</v>
      </c>
    </row>
    <row r="137" spans="1:12" x14ac:dyDescent="0.25">
      <c r="A137" s="169">
        <v>33</v>
      </c>
      <c r="C137" s="164" t="s">
        <v>58</v>
      </c>
      <c r="D137" s="218">
        <v>5231642.4686709465</v>
      </c>
      <c r="E137" s="218">
        <v>5244008.0678597512</v>
      </c>
      <c r="F137" s="218">
        <v>5287651.4050701167</v>
      </c>
      <c r="G137" s="218">
        <v>5337571.1265313132</v>
      </c>
      <c r="H137" s="218">
        <v>5402372.2973372526</v>
      </c>
      <c r="I137" s="218">
        <v>5474669.6950786542</v>
      </c>
      <c r="J137" s="218">
        <v>5552088.5473997016</v>
      </c>
      <c r="L137" s="171" t="s">
        <v>213</v>
      </c>
    </row>
    <row r="138" spans="1:12" x14ac:dyDescent="0.25">
      <c r="A138" s="169">
        <v>34</v>
      </c>
      <c r="C138" s="164" t="s">
        <v>59</v>
      </c>
      <c r="D138" s="219">
        <v>1801695.2009396288</v>
      </c>
      <c r="E138" s="219">
        <v>1823566.3005756547</v>
      </c>
      <c r="F138" s="219">
        <v>1823274.6469953572</v>
      </c>
      <c r="G138" s="219">
        <v>1830996.710556108</v>
      </c>
      <c r="H138" s="219">
        <v>1837112.8326525223</v>
      </c>
      <c r="I138" s="219">
        <v>1833979.7643618935</v>
      </c>
      <c r="J138" s="219">
        <v>1832548.1074866408</v>
      </c>
      <c r="L138" s="171" t="s">
        <v>213</v>
      </c>
    </row>
    <row r="139" spans="1:12" x14ac:dyDescent="0.25">
      <c r="A139" s="169">
        <v>35</v>
      </c>
      <c r="C139" s="164" t="s">
        <v>60</v>
      </c>
      <c r="D139" s="219">
        <v>3528994.7385349921</v>
      </c>
      <c r="E139" s="219">
        <v>3563540.5889390651</v>
      </c>
      <c r="F139" s="219">
        <v>3558816.4598915991</v>
      </c>
      <c r="G139" s="219">
        <v>3539934.3893561903</v>
      </c>
      <c r="H139" s="219">
        <v>3543291.1479710396</v>
      </c>
      <c r="I139" s="219">
        <v>3535273.4625656973</v>
      </c>
      <c r="J139" s="219">
        <v>3529268.2130207545</v>
      </c>
      <c r="L139" s="171" t="s">
        <v>213</v>
      </c>
    </row>
    <row r="140" spans="1:12" x14ac:dyDescent="0.25">
      <c r="A140" s="169">
        <v>36</v>
      </c>
      <c r="C140" s="164" t="s">
        <v>61</v>
      </c>
      <c r="D140" s="219">
        <v>2811004.5208459636</v>
      </c>
      <c r="E140" s="219">
        <v>2836688.2954553235</v>
      </c>
      <c r="F140" s="219">
        <v>2808785.3165927338</v>
      </c>
      <c r="G140" s="219">
        <v>2787654.3200821932</v>
      </c>
      <c r="H140" s="219">
        <v>2768862.5389522081</v>
      </c>
      <c r="I140" s="219">
        <v>2736087.8555169571</v>
      </c>
      <c r="J140" s="219">
        <v>2706443.943008991</v>
      </c>
      <c r="L140" s="171" t="s">
        <v>213</v>
      </c>
    </row>
    <row r="141" spans="1:12" x14ac:dyDescent="0.25">
      <c r="A141" s="169">
        <v>37</v>
      </c>
      <c r="C141" s="164" t="s">
        <v>62</v>
      </c>
      <c r="D141" s="220">
        <v>78907.458821516368</v>
      </c>
      <c r="E141" s="220">
        <v>77094.653419288748</v>
      </c>
      <c r="F141" s="220">
        <v>74993.123630661095</v>
      </c>
      <c r="G141" s="220">
        <v>72727.410588853236</v>
      </c>
      <c r="H141" s="220">
        <v>70368.135328767763</v>
      </c>
      <c r="I141" s="220">
        <v>67955.537841318845</v>
      </c>
      <c r="J141" s="220">
        <v>65512.551280229207</v>
      </c>
      <c r="L141" s="171" t="s">
        <v>213</v>
      </c>
    </row>
    <row r="142" spans="1:12" x14ac:dyDescent="0.25">
      <c r="A142" s="169">
        <v>38</v>
      </c>
      <c r="C142" s="148" t="s">
        <v>65</v>
      </c>
      <c r="D142" s="46">
        <f t="shared" ref="D142:I142" si="82">SUM(D137:D141)</f>
        <v>13452244.387813047</v>
      </c>
      <c r="E142" s="46">
        <f t="shared" si="82"/>
        <v>13544897.906249084</v>
      </c>
      <c r="F142" s="46">
        <f t="shared" si="82"/>
        <v>13553520.952180469</v>
      </c>
      <c r="G142" s="46">
        <f t="shared" si="82"/>
        <v>13568883.957114657</v>
      </c>
      <c r="H142" s="46">
        <f t="shared" si="82"/>
        <v>13622006.952241791</v>
      </c>
      <c r="I142" s="46">
        <f t="shared" si="82"/>
        <v>13647966.315364521</v>
      </c>
      <c r="J142" s="46">
        <f t="shared" ref="J142" si="83">SUM(J137:J141)</f>
        <v>13685861.362196317</v>
      </c>
      <c r="L142" s="171" t="s">
        <v>213</v>
      </c>
    </row>
    <row r="144" spans="1:12" x14ac:dyDescent="0.25">
      <c r="C144" s="148" t="s">
        <v>66</v>
      </c>
      <c r="D144" s="178"/>
      <c r="E144" s="178"/>
      <c r="F144" s="178"/>
      <c r="G144" s="178"/>
      <c r="H144" s="178"/>
      <c r="I144" s="178"/>
      <c r="J144" s="178"/>
      <c r="L144" s="169"/>
    </row>
    <row r="145" spans="1:12" x14ac:dyDescent="0.25">
      <c r="A145" s="169">
        <v>39</v>
      </c>
      <c r="C145" s="165" t="s">
        <v>58</v>
      </c>
      <c r="D145" s="179">
        <f t="shared" ref="D145:J149" si="84">+D125/D137/1000</f>
        <v>1.6335214134331007E-3</v>
      </c>
      <c r="E145" s="179">
        <f t="shared" si="84"/>
        <v>3.3794761126736631E-3</v>
      </c>
      <c r="F145" s="179">
        <f t="shared" si="84"/>
        <v>5.1595685702428085E-3</v>
      </c>
      <c r="G145" s="179">
        <f t="shared" si="84"/>
        <v>7.0305386308522578E-3</v>
      </c>
      <c r="H145" s="179">
        <f t="shared" si="84"/>
        <v>8.5247734634466641E-3</v>
      </c>
      <c r="I145" s="179">
        <f t="shared" si="84"/>
        <v>9.8416896362595822E-3</v>
      </c>
      <c r="J145" s="179">
        <f t="shared" si="84"/>
        <v>1.050703703695818E-2</v>
      </c>
      <c r="L145" s="169" t="s">
        <v>319</v>
      </c>
    </row>
    <row r="146" spans="1:12" x14ac:dyDescent="0.25">
      <c r="A146" s="169">
        <v>40</v>
      </c>
      <c r="C146" s="165" t="s">
        <v>59</v>
      </c>
      <c r="D146" s="179">
        <f t="shared" si="84"/>
        <v>1.3664908463518169E-3</v>
      </c>
      <c r="E146" s="179">
        <f t="shared" si="84"/>
        <v>2.7972659937780934E-3</v>
      </c>
      <c r="F146" s="179">
        <f t="shared" si="84"/>
        <v>4.310924858716589E-3</v>
      </c>
      <c r="G146" s="179">
        <f t="shared" si="84"/>
        <v>5.9169958840119986E-3</v>
      </c>
      <c r="H146" s="179">
        <f t="shared" si="84"/>
        <v>7.2613939453784072E-3</v>
      </c>
      <c r="I146" s="179">
        <f t="shared" si="84"/>
        <v>8.5093632455807821E-3</v>
      </c>
      <c r="J146" s="179">
        <f t="shared" si="84"/>
        <v>9.2368652865629595E-3</v>
      </c>
      <c r="L146" s="169" t="s">
        <v>320</v>
      </c>
    </row>
    <row r="147" spans="1:12" x14ac:dyDescent="0.25">
      <c r="A147" s="169">
        <v>41</v>
      </c>
      <c r="C147" s="165" t="s">
        <v>60</v>
      </c>
      <c r="D147" s="179">
        <f t="shared" si="84"/>
        <v>8.4641667707331496E-4</v>
      </c>
      <c r="E147" s="179">
        <f t="shared" si="84"/>
        <v>1.7333884225067891E-3</v>
      </c>
      <c r="F147" s="179">
        <f t="shared" si="84"/>
        <v>2.6781375514629132E-3</v>
      </c>
      <c r="G147" s="179">
        <f t="shared" si="84"/>
        <v>3.7249277951725383E-3</v>
      </c>
      <c r="H147" s="179">
        <f t="shared" si="84"/>
        <v>4.6078629494923588E-3</v>
      </c>
      <c r="I147" s="179">
        <f t="shared" si="84"/>
        <v>5.4024109314980825E-3</v>
      </c>
      <c r="J147" s="179">
        <f t="shared" si="84"/>
        <v>5.8873394556249355E-3</v>
      </c>
      <c r="L147" s="169" t="s">
        <v>321</v>
      </c>
    </row>
    <row r="148" spans="1:12" x14ac:dyDescent="0.25">
      <c r="A148" s="169">
        <v>42</v>
      </c>
      <c r="C148" s="165" t="s">
        <v>61</v>
      </c>
      <c r="D148" s="179">
        <f t="shared" si="84"/>
        <v>5.3966473150440298E-4</v>
      </c>
      <c r="E148" s="179">
        <f t="shared" si="84"/>
        <v>1.1033993424707936E-3</v>
      </c>
      <c r="F148" s="179">
        <f t="shared" si="84"/>
        <v>1.7228087783761517E-3</v>
      </c>
      <c r="G148" s="179">
        <f t="shared" si="84"/>
        <v>2.4124224985692328E-3</v>
      </c>
      <c r="H148" s="179">
        <f t="shared" si="84"/>
        <v>3.0290416667538163E-3</v>
      </c>
      <c r="I148" s="179">
        <f t="shared" si="84"/>
        <v>3.5857766702254916E-3</v>
      </c>
      <c r="J148" s="179">
        <f t="shared" si="84"/>
        <v>3.9590696225864537E-3</v>
      </c>
      <c r="L148" s="169" t="s">
        <v>322</v>
      </c>
    </row>
    <row r="149" spans="1:12" x14ac:dyDescent="0.25">
      <c r="A149" s="169">
        <v>43</v>
      </c>
      <c r="C149" s="165" t="s">
        <v>62</v>
      </c>
      <c r="D149" s="180">
        <f t="shared" si="84"/>
        <v>1.57146107417399E-3</v>
      </c>
      <c r="E149" s="180">
        <f t="shared" si="84"/>
        <v>3.3335645028751072E-3</v>
      </c>
      <c r="F149" s="180">
        <f t="shared" si="84"/>
        <v>5.2671495848787856E-3</v>
      </c>
      <c r="G149" s="180">
        <f t="shared" si="84"/>
        <v>7.4524858730921342E-3</v>
      </c>
      <c r="H149" s="180">
        <f t="shared" si="84"/>
        <v>9.4360891744213211E-3</v>
      </c>
      <c r="I149" s="180">
        <f t="shared" si="84"/>
        <v>1.1419231230455667E-2</v>
      </c>
      <c r="J149" s="180">
        <f t="shared" si="84"/>
        <v>1.2806706251008097E-2</v>
      </c>
      <c r="L149" s="169" t="s">
        <v>323</v>
      </c>
    </row>
  </sheetData>
  <phoneticPr fontId="14" type="noConversion"/>
  <pageMargins left="0.7" right="0.7" top="0.75" bottom="0.75" header="0.3" footer="0.3"/>
  <pageSetup scale="43" fitToHeight="2" orientation="landscape" horizontalDpi="1200" verticalDpi="1200" r:id="rId1"/>
  <headerFooter>
    <oddHeader>&amp;RIndianapolis Power &amp;&amp; Light Company
IURC Cause No. 45264 - TDSIC 2
IPL Attachment  CAR-1
Page &amp;P of &amp;N</oddHeader>
  </headerFooter>
  <rowBreaks count="1" manualBreakCount="1">
    <brk id="81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4"/>
  <sheetViews>
    <sheetView showGridLines="0" view="pageLayout" topLeftCell="H1" zoomScale="70" zoomScaleNormal="70" zoomScalePageLayoutView="70" workbookViewId="0">
      <selection activeCell="Q9" sqref="Q9"/>
    </sheetView>
  </sheetViews>
  <sheetFormatPr defaultRowHeight="15" x14ac:dyDescent="0.25"/>
  <cols>
    <col min="2" max="2" width="2.42578125" customWidth="1"/>
    <col min="3" max="3" width="35.42578125" customWidth="1"/>
    <col min="4" max="4" width="18" bestFit="1" customWidth="1"/>
    <col min="5" max="5" width="16.7109375" bestFit="1" customWidth="1"/>
    <col min="6" max="6" width="19.140625" bestFit="1" customWidth="1"/>
    <col min="7" max="9" width="19.5703125" bestFit="1" customWidth="1"/>
    <col min="10" max="10" width="19.140625" bestFit="1" customWidth="1"/>
    <col min="11" max="11" width="19.5703125" bestFit="1" customWidth="1"/>
    <col min="12" max="12" width="21" bestFit="1" customWidth="1"/>
    <col min="13" max="13" width="20" customWidth="1"/>
    <col min="14" max="14" width="1.140625" customWidth="1"/>
    <col min="15" max="15" width="65" style="42" bestFit="1" customWidth="1"/>
  </cols>
  <sheetData>
    <row r="1" spans="1:15" x14ac:dyDescent="0.25">
      <c r="C1" s="144" t="s">
        <v>133</v>
      </c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31"/>
    </row>
    <row r="2" spans="1:15" x14ac:dyDescent="0.25">
      <c r="C2" s="144" t="s">
        <v>134</v>
      </c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31"/>
    </row>
    <row r="3" spans="1:15" x14ac:dyDescent="0.25">
      <c r="C3" s="144" t="s">
        <v>179</v>
      </c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0"/>
    </row>
    <row r="4" spans="1:15" x14ac:dyDescent="0.25">
      <c r="C4" s="144"/>
      <c r="D4" s="14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0"/>
    </row>
    <row r="5" spans="1:15" x14ac:dyDescent="0.25">
      <c r="C5" s="144" t="s">
        <v>159</v>
      </c>
      <c r="D5" s="42" t="s">
        <v>81</v>
      </c>
      <c r="E5" s="42" t="s">
        <v>82</v>
      </c>
      <c r="F5" s="139" t="s">
        <v>83</v>
      </c>
      <c r="G5" s="42" t="s">
        <v>84</v>
      </c>
      <c r="H5" s="42" t="s">
        <v>85</v>
      </c>
      <c r="I5" s="42" t="s">
        <v>86</v>
      </c>
      <c r="J5" s="42" t="s">
        <v>87</v>
      </c>
      <c r="K5" s="141" t="s">
        <v>88</v>
      </c>
      <c r="L5" s="140" t="s">
        <v>142</v>
      </c>
      <c r="M5" s="141" t="s">
        <v>143</v>
      </c>
      <c r="O5" s="141" t="s">
        <v>287</v>
      </c>
    </row>
    <row r="6" spans="1:15" x14ac:dyDescent="0.25">
      <c r="C6" s="148" t="s">
        <v>136</v>
      </c>
      <c r="D6" s="142"/>
      <c r="E6" s="131" t="s">
        <v>150</v>
      </c>
      <c r="F6" s="131" t="s">
        <v>150</v>
      </c>
      <c r="G6" s="131" t="s">
        <v>150</v>
      </c>
      <c r="H6" s="131" t="s">
        <v>150</v>
      </c>
      <c r="I6" s="131" t="s">
        <v>150</v>
      </c>
      <c r="J6" s="131" t="s">
        <v>150</v>
      </c>
      <c r="K6" s="131" t="s">
        <v>150</v>
      </c>
      <c r="L6" s="131"/>
      <c r="M6" s="143"/>
      <c r="N6" s="143"/>
      <c r="O6" s="140"/>
    </row>
    <row r="7" spans="1:15" x14ac:dyDescent="0.25">
      <c r="C7" s="130" t="s">
        <v>294</v>
      </c>
      <c r="D7" s="19"/>
      <c r="E7" s="131" t="s">
        <v>0</v>
      </c>
      <c r="F7" s="131" t="s">
        <v>1</v>
      </c>
      <c r="G7" s="131" t="s">
        <v>2</v>
      </c>
      <c r="H7" s="131" t="s">
        <v>3</v>
      </c>
      <c r="I7" s="131" t="s">
        <v>4</v>
      </c>
      <c r="J7" s="131" t="s">
        <v>5</v>
      </c>
      <c r="K7" s="131" t="s">
        <v>6</v>
      </c>
      <c r="L7" s="131"/>
      <c r="M7" s="19"/>
    </row>
    <row r="8" spans="1:15" x14ac:dyDescent="0.25">
      <c r="A8" s="2" t="s">
        <v>122</v>
      </c>
      <c r="C8" s="2" t="s">
        <v>21</v>
      </c>
      <c r="D8" s="2" t="s">
        <v>295</v>
      </c>
      <c r="E8" s="2">
        <v>2020</v>
      </c>
      <c r="F8" s="2">
        <v>2021</v>
      </c>
      <c r="G8" s="2">
        <v>2022</v>
      </c>
      <c r="H8" s="2">
        <v>2023</v>
      </c>
      <c r="I8" s="2">
        <v>2024</v>
      </c>
      <c r="J8" s="2">
        <v>2025</v>
      </c>
      <c r="K8" s="2">
        <v>2026</v>
      </c>
      <c r="L8" s="131"/>
      <c r="M8" s="2" t="s">
        <v>7</v>
      </c>
      <c r="O8" s="2" t="s">
        <v>121</v>
      </c>
    </row>
    <row r="9" spans="1:15" ht="15" customHeight="1" x14ac:dyDescent="0.25">
      <c r="A9" s="157">
        <v>1</v>
      </c>
      <c r="C9" s="149">
        <v>352</v>
      </c>
      <c r="D9" s="150">
        <v>2.4E-2</v>
      </c>
      <c r="E9" s="124">
        <v>0</v>
      </c>
      <c r="F9" s="124">
        <v>0</v>
      </c>
      <c r="G9" s="124">
        <v>0</v>
      </c>
      <c r="H9" s="124">
        <v>0</v>
      </c>
      <c r="I9" s="124">
        <v>2844940</v>
      </c>
      <c r="J9" s="124">
        <v>2300385</v>
      </c>
      <c r="K9" s="124">
        <v>2632615</v>
      </c>
      <c r="L9" s="124"/>
      <c r="M9" s="53">
        <f t="shared" ref="M9:M12" si="0">SUM(E9:K9)</f>
        <v>7777940</v>
      </c>
      <c r="O9" s="229" t="s">
        <v>337</v>
      </c>
    </row>
    <row r="10" spans="1:15" x14ac:dyDescent="0.25">
      <c r="A10" s="157">
        <v>2</v>
      </c>
      <c r="C10" s="149">
        <v>353</v>
      </c>
      <c r="D10" s="150">
        <v>2.53E-2</v>
      </c>
      <c r="E10" s="124">
        <v>8993648.8959411047</v>
      </c>
      <c r="F10" s="124">
        <v>18329147.949788302</v>
      </c>
      <c r="G10" s="124">
        <v>19334307.027113684</v>
      </c>
      <c r="H10" s="124">
        <v>23889253.407931428</v>
      </c>
      <c r="I10" s="124">
        <v>21644454.567098748</v>
      </c>
      <c r="J10" s="124">
        <v>24492073.485300466</v>
      </c>
      <c r="K10" s="124">
        <v>17634639.371678643</v>
      </c>
      <c r="L10" s="124"/>
      <c r="M10" s="53">
        <f t="shared" si="0"/>
        <v>134317524.70485237</v>
      </c>
      <c r="O10" s="230" t="s">
        <v>337</v>
      </c>
    </row>
    <row r="11" spans="1:15" x14ac:dyDescent="0.25">
      <c r="A11" s="157">
        <v>3</v>
      </c>
      <c r="C11" s="149">
        <v>354</v>
      </c>
      <c r="D11" s="150">
        <v>1.37E-2</v>
      </c>
      <c r="E11" s="124">
        <v>1459099</v>
      </c>
      <c r="F11" s="124">
        <v>1082432</v>
      </c>
      <c r="G11" s="124">
        <v>850792</v>
      </c>
      <c r="H11" s="124">
        <v>0</v>
      </c>
      <c r="I11" s="124">
        <v>0</v>
      </c>
      <c r="J11" s="124">
        <v>0</v>
      </c>
      <c r="K11" s="124">
        <v>0</v>
      </c>
      <c r="L11" s="124"/>
      <c r="M11" s="53">
        <f t="shared" si="0"/>
        <v>3392323</v>
      </c>
      <c r="O11" s="230" t="s">
        <v>337</v>
      </c>
    </row>
    <row r="12" spans="1:15" x14ac:dyDescent="0.25">
      <c r="A12" s="157">
        <v>4</v>
      </c>
      <c r="C12" s="149">
        <v>356</v>
      </c>
      <c r="D12" s="150">
        <v>1.2E-2</v>
      </c>
      <c r="E12" s="124">
        <v>7271227</v>
      </c>
      <c r="F12" s="124">
        <v>4376599</v>
      </c>
      <c r="G12" s="124">
        <v>4132020</v>
      </c>
      <c r="H12" s="124">
        <v>11350071</v>
      </c>
      <c r="I12" s="124">
        <v>11497320</v>
      </c>
      <c r="J12" s="124">
        <v>10679473</v>
      </c>
      <c r="K12" s="124">
        <v>7601921</v>
      </c>
      <c r="L12" s="124"/>
      <c r="M12" s="53">
        <f t="shared" si="0"/>
        <v>56908631</v>
      </c>
      <c r="O12" s="230" t="s">
        <v>337</v>
      </c>
    </row>
    <row r="13" spans="1:15" x14ac:dyDescent="0.25">
      <c r="A13" s="157">
        <v>5</v>
      </c>
      <c r="C13" s="149">
        <v>362</v>
      </c>
      <c r="D13" s="150">
        <v>1.61E-2</v>
      </c>
      <c r="E13" s="126"/>
      <c r="F13" s="126"/>
      <c r="G13" s="126"/>
      <c r="H13" s="126"/>
      <c r="I13" s="126"/>
      <c r="J13" s="126"/>
      <c r="K13" s="126"/>
      <c r="L13" s="124"/>
      <c r="M13" s="126"/>
      <c r="O13" s="159"/>
    </row>
    <row r="14" spans="1:15" x14ac:dyDescent="0.25">
      <c r="A14" s="157">
        <v>6</v>
      </c>
      <c r="C14" s="149">
        <v>364</v>
      </c>
      <c r="D14" s="150">
        <v>2.06E-2</v>
      </c>
      <c r="E14" s="126"/>
      <c r="F14" s="126"/>
      <c r="G14" s="126"/>
      <c r="H14" s="126"/>
      <c r="I14" s="126"/>
      <c r="J14" s="126"/>
      <c r="K14" s="126"/>
      <c r="L14" s="124"/>
      <c r="M14" s="126"/>
      <c r="O14" s="159"/>
    </row>
    <row r="15" spans="1:15" x14ac:dyDescent="0.25">
      <c r="A15" s="157">
        <v>7</v>
      </c>
      <c r="C15" s="149">
        <v>365</v>
      </c>
      <c r="D15" s="150">
        <v>2.35E-2</v>
      </c>
      <c r="E15" s="126"/>
      <c r="F15" s="126"/>
      <c r="G15" s="126"/>
      <c r="H15" s="126"/>
      <c r="I15" s="126"/>
      <c r="J15" s="126"/>
      <c r="K15" s="126"/>
      <c r="L15" s="124"/>
      <c r="M15" s="126"/>
      <c r="O15" s="159"/>
    </row>
    <row r="16" spans="1:15" x14ac:dyDescent="0.25">
      <c r="A16" s="157">
        <v>8</v>
      </c>
      <c r="C16" s="149">
        <v>366</v>
      </c>
      <c r="D16" s="150">
        <v>2.6200000000000001E-2</v>
      </c>
      <c r="E16" s="126"/>
      <c r="F16" s="126"/>
      <c r="G16" s="126"/>
      <c r="H16" s="126"/>
      <c r="I16" s="126"/>
      <c r="J16" s="126"/>
      <c r="K16" s="126"/>
      <c r="L16" s="124"/>
      <c r="M16" s="126"/>
      <c r="O16" s="159"/>
    </row>
    <row r="17" spans="1:15" x14ac:dyDescent="0.25">
      <c r="A17" s="157">
        <v>9</v>
      </c>
      <c r="C17" s="149">
        <v>367</v>
      </c>
      <c r="D17" s="150">
        <v>2.5499999999999998E-2</v>
      </c>
      <c r="E17" s="126"/>
      <c r="F17" s="126"/>
      <c r="G17" s="126"/>
      <c r="H17" s="126"/>
      <c r="I17" s="126"/>
      <c r="J17" s="126"/>
      <c r="K17" s="126"/>
      <c r="L17" s="124"/>
      <c r="M17" s="126"/>
      <c r="O17" s="159"/>
    </row>
    <row r="18" spans="1:15" x14ac:dyDescent="0.25">
      <c r="A18" s="157">
        <v>10</v>
      </c>
      <c r="C18" s="149">
        <v>368</v>
      </c>
      <c r="D18" s="150">
        <v>6.4999999999999997E-3</v>
      </c>
      <c r="E18" s="126"/>
      <c r="F18" s="126"/>
      <c r="G18" s="126"/>
      <c r="H18" s="126"/>
      <c r="I18" s="126"/>
      <c r="J18" s="126"/>
      <c r="K18" s="126"/>
      <c r="L18" s="124"/>
      <c r="M18" s="126"/>
      <c r="O18" s="159"/>
    </row>
    <row r="19" spans="1:15" x14ac:dyDescent="0.25">
      <c r="A19" s="157">
        <v>11</v>
      </c>
      <c r="C19" s="149">
        <v>370.01</v>
      </c>
      <c r="D19" s="150">
        <v>0.19350000000000001</v>
      </c>
      <c r="E19" s="127"/>
      <c r="F19" s="127"/>
      <c r="G19" s="127"/>
      <c r="H19" s="127"/>
      <c r="I19" s="127"/>
      <c r="J19" s="127"/>
      <c r="K19" s="127"/>
      <c r="L19" s="124"/>
      <c r="M19" s="127"/>
      <c r="O19" s="159"/>
    </row>
    <row r="20" spans="1:15" x14ac:dyDescent="0.25">
      <c r="A20" s="157">
        <v>12</v>
      </c>
      <c r="C20" s="130" t="s">
        <v>296</v>
      </c>
      <c r="D20" s="19"/>
      <c r="E20" s="53">
        <f t="shared" ref="E20:M20" si="1">SUM(E9:E19)</f>
        <v>17723974.895941105</v>
      </c>
      <c r="F20" s="53">
        <f t="shared" si="1"/>
        <v>23788178.949788302</v>
      </c>
      <c r="G20" s="53">
        <f t="shared" si="1"/>
        <v>24317119.027113684</v>
      </c>
      <c r="H20" s="53">
        <f t="shared" si="1"/>
        <v>35239324.407931432</v>
      </c>
      <c r="I20" s="53">
        <f t="shared" si="1"/>
        <v>35986714.567098752</v>
      </c>
      <c r="J20" s="53">
        <f t="shared" si="1"/>
        <v>37471931.485300466</v>
      </c>
      <c r="K20" s="53">
        <f t="shared" si="1"/>
        <v>27869175.371678643</v>
      </c>
      <c r="L20" s="124"/>
      <c r="M20" s="53">
        <f t="shared" si="1"/>
        <v>202396418.70485237</v>
      </c>
      <c r="O20" s="42" t="s">
        <v>214</v>
      </c>
    </row>
    <row r="21" spans="1:15" x14ac:dyDescent="0.25">
      <c r="A21" s="157"/>
      <c r="C21" s="130"/>
      <c r="D21" s="19"/>
      <c r="E21" s="53"/>
      <c r="F21" s="53"/>
      <c r="G21" s="53"/>
      <c r="H21" s="53"/>
      <c r="I21" s="53"/>
      <c r="J21" s="53"/>
      <c r="K21" s="53"/>
      <c r="L21" s="53"/>
      <c r="M21" s="9"/>
      <c r="N21" s="9"/>
    </row>
    <row r="22" spans="1:15" x14ac:dyDescent="0.25">
      <c r="C22" s="148" t="s">
        <v>136</v>
      </c>
      <c r="D22" s="142"/>
      <c r="E22" s="1"/>
      <c r="F22" s="1"/>
      <c r="G22" s="1"/>
      <c r="H22" s="1"/>
      <c r="I22" s="1"/>
      <c r="J22" s="1"/>
      <c r="K22" s="1"/>
      <c r="L22" s="1"/>
      <c r="M22" s="143"/>
      <c r="N22" s="143"/>
      <c r="O22" s="140"/>
    </row>
    <row r="23" spans="1:15" x14ac:dyDescent="0.25">
      <c r="C23" s="130" t="s">
        <v>294</v>
      </c>
      <c r="D23" s="19"/>
      <c r="E23" s="131" t="s">
        <v>151</v>
      </c>
      <c r="F23" s="131" t="s">
        <v>152</v>
      </c>
      <c r="G23" s="131" t="s">
        <v>153</v>
      </c>
      <c r="H23" s="131" t="s">
        <v>154</v>
      </c>
      <c r="I23" s="131" t="s">
        <v>155</v>
      </c>
      <c r="J23" s="131" t="s">
        <v>156</v>
      </c>
      <c r="K23" s="131" t="s">
        <v>157</v>
      </c>
      <c r="L23" s="151" t="s">
        <v>275</v>
      </c>
      <c r="M23" s="19"/>
    </row>
    <row r="24" spans="1:15" x14ac:dyDescent="0.25">
      <c r="A24" s="2" t="s">
        <v>122</v>
      </c>
      <c r="C24" s="2" t="s">
        <v>21</v>
      </c>
      <c r="D24" s="2" t="s">
        <v>295</v>
      </c>
      <c r="E24" s="161" t="s">
        <v>277</v>
      </c>
      <c r="F24" s="2" t="s">
        <v>285</v>
      </c>
      <c r="G24" s="2" t="s">
        <v>278</v>
      </c>
      <c r="H24" s="2" t="s">
        <v>279</v>
      </c>
      <c r="I24" s="2" t="s">
        <v>280</v>
      </c>
      <c r="J24" s="2" t="s">
        <v>281</v>
      </c>
      <c r="K24" s="2" t="s">
        <v>282</v>
      </c>
      <c r="L24" s="2" t="s">
        <v>283</v>
      </c>
      <c r="M24" s="2" t="s">
        <v>7</v>
      </c>
      <c r="O24" s="2" t="s">
        <v>121</v>
      </c>
    </row>
    <row r="25" spans="1:15" ht="15" customHeight="1" x14ac:dyDescent="0.25">
      <c r="A25" s="157">
        <v>13</v>
      </c>
      <c r="C25" s="149">
        <v>352</v>
      </c>
      <c r="D25" s="150">
        <v>2.4E-2</v>
      </c>
      <c r="E25" s="124">
        <v>0</v>
      </c>
      <c r="F25" s="124">
        <f t="shared" ref="F25:F28" si="2">+E9</f>
        <v>0</v>
      </c>
      <c r="G25" s="124">
        <f t="shared" ref="G25:G28" si="3">+F9</f>
        <v>0</v>
      </c>
      <c r="H25" s="124">
        <f t="shared" ref="H25:H28" si="4">+G9</f>
        <v>0</v>
      </c>
      <c r="I25" s="124">
        <f t="shared" ref="I25:I28" si="5">+H9</f>
        <v>0</v>
      </c>
      <c r="J25" s="124">
        <f t="shared" ref="J25:J28" si="6">+I9</f>
        <v>2844940</v>
      </c>
      <c r="K25" s="124">
        <f t="shared" ref="K25:K28" si="7">+J9</f>
        <v>2300385</v>
      </c>
      <c r="L25" s="124">
        <f t="shared" ref="L25:L28" si="8">+K9</f>
        <v>2632615</v>
      </c>
      <c r="M25" s="53">
        <f>SUM(E25:L25)</f>
        <v>7777940</v>
      </c>
      <c r="O25" s="158" t="s">
        <v>298</v>
      </c>
    </row>
    <row r="26" spans="1:15" x14ac:dyDescent="0.25">
      <c r="A26" s="157">
        <v>14</v>
      </c>
      <c r="C26" s="149">
        <v>353</v>
      </c>
      <c r="D26" s="150">
        <v>2.53E-2</v>
      </c>
      <c r="E26" s="124">
        <v>0</v>
      </c>
      <c r="F26" s="124">
        <f t="shared" si="2"/>
        <v>8993648.8959411047</v>
      </c>
      <c r="G26" s="124">
        <f t="shared" si="3"/>
        <v>18329147.949788302</v>
      </c>
      <c r="H26" s="124">
        <f t="shared" si="4"/>
        <v>19334307.027113684</v>
      </c>
      <c r="I26" s="124">
        <f t="shared" si="5"/>
        <v>23889253.407931428</v>
      </c>
      <c r="J26" s="124">
        <f t="shared" si="6"/>
        <v>21644454.567098748</v>
      </c>
      <c r="K26" s="124">
        <f t="shared" si="7"/>
        <v>24492073.485300466</v>
      </c>
      <c r="L26" s="124">
        <f t="shared" si="8"/>
        <v>17634639.371678643</v>
      </c>
      <c r="M26" s="53">
        <f t="shared" ref="M26:M28" si="9">SUM(E26:L26)</f>
        <v>134317524.70485237</v>
      </c>
      <c r="O26" s="181" t="s">
        <v>298</v>
      </c>
    </row>
    <row r="27" spans="1:15" x14ac:dyDescent="0.25">
      <c r="A27" s="157">
        <v>15</v>
      </c>
      <c r="C27" s="149">
        <v>354</v>
      </c>
      <c r="D27" s="150">
        <v>1.37E-2</v>
      </c>
      <c r="E27" s="124">
        <v>0</v>
      </c>
      <c r="F27" s="124">
        <f t="shared" si="2"/>
        <v>1459099</v>
      </c>
      <c r="G27" s="124">
        <f t="shared" si="3"/>
        <v>1082432</v>
      </c>
      <c r="H27" s="124">
        <f t="shared" si="4"/>
        <v>850792</v>
      </c>
      <c r="I27" s="124">
        <f t="shared" si="5"/>
        <v>0</v>
      </c>
      <c r="J27" s="124">
        <f t="shared" si="6"/>
        <v>0</v>
      </c>
      <c r="K27" s="124">
        <f t="shared" si="7"/>
        <v>0</v>
      </c>
      <c r="L27" s="124">
        <f t="shared" si="8"/>
        <v>0</v>
      </c>
      <c r="M27" s="53">
        <f t="shared" si="9"/>
        <v>3392323</v>
      </c>
      <c r="O27" s="181" t="s">
        <v>298</v>
      </c>
    </row>
    <row r="28" spans="1:15" x14ac:dyDescent="0.25">
      <c r="A28" s="157">
        <v>16</v>
      </c>
      <c r="C28" s="149">
        <v>356</v>
      </c>
      <c r="D28" s="150">
        <v>1.2E-2</v>
      </c>
      <c r="E28" s="124">
        <v>0</v>
      </c>
      <c r="F28" s="124">
        <f t="shared" si="2"/>
        <v>7271227</v>
      </c>
      <c r="G28" s="124">
        <f t="shared" si="3"/>
        <v>4376599</v>
      </c>
      <c r="H28" s="124">
        <f t="shared" si="4"/>
        <v>4132020</v>
      </c>
      <c r="I28" s="124">
        <f t="shared" si="5"/>
        <v>11350071</v>
      </c>
      <c r="J28" s="124">
        <f t="shared" si="6"/>
        <v>11497320</v>
      </c>
      <c r="K28" s="124">
        <f t="shared" si="7"/>
        <v>10679473</v>
      </c>
      <c r="L28" s="124">
        <f t="shared" si="8"/>
        <v>7601921</v>
      </c>
      <c r="M28" s="53">
        <f t="shared" si="9"/>
        <v>56908631</v>
      </c>
      <c r="O28" s="181" t="s">
        <v>298</v>
      </c>
    </row>
    <row r="29" spans="1:15" x14ac:dyDescent="0.25">
      <c r="A29" s="157">
        <v>17</v>
      </c>
      <c r="C29" s="149">
        <v>362</v>
      </c>
      <c r="D29" s="150">
        <v>1.61E-2</v>
      </c>
      <c r="E29" s="126"/>
      <c r="F29" s="126"/>
      <c r="G29" s="126"/>
      <c r="H29" s="126"/>
      <c r="I29" s="126"/>
      <c r="J29" s="126"/>
      <c r="K29" s="126"/>
      <c r="L29" s="126"/>
      <c r="M29" s="126"/>
      <c r="O29" s="181"/>
    </row>
    <row r="30" spans="1:15" x14ac:dyDescent="0.25">
      <c r="A30" s="157">
        <v>18</v>
      </c>
      <c r="C30" s="149">
        <v>364</v>
      </c>
      <c r="D30" s="150">
        <v>2.06E-2</v>
      </c>
      <c r="E30" s="126"/>
      <c r="F30" s="126"/>
      <c r="G30" s="126"/>
      <c r="H30" s="126"/>
      <c r="I30" s="126"/>
      <c r="J30" s="126"/>
      <c r="K30" s="126"/>
      <c r="L30" s="126"/>
      <c r="M30" s="126"/>
      <c r="O30" s="159"/>
    </row>
    <row r="31" spans="1:15" x14ac:dyDescent="0.25">
      <c r="A31" s="157">
        <v>19</v>
      </c>
      <c r="C31" s="149">
        <v>365</v>
      </c>
      <c r="D31" s="150">
        <v>2.35E-2</v>
      </c>
      <c r="E31" s="126"/>
      <c r="F31" s="126"/>
      <c r="G31" s="126"/>
      <c r="H31" s="126"/>
      <c r="I31" s="126"/>
      <c r="J31" s="126"/>
      <c r="K31" s="126"/>
      <c r="L31" s="126"/>
      <c r="M31" s="126"/>
      <c r="O31" s="159"/>
    </row>
    <row r="32" spans="1:15" x14ac:dyDescent="0.25">
      <c r="A32" s="157">
        <v>20</v>
      </c>
      <c r="C32" s="149">
        <v>366</v>
      </c>
      <c r="D32" s="150">
        <v>2.6200000000000001E-2</v>
      </c>
      <c r="E32" s="126"/>
      <c r="F32" s="126"/>
      <c r="G32" s="126"/>
      <c r="H32" s="126"/>
      <c r="I32" s="126"/>
      <c r="J32" s="126"/>
      <c r="K32" s="126"/>
      <c r="L32" s="126"/>
      <c r="M32" s="126"/>
      <c r="O32" s="159"/>
    </row>
    <row r="33" spans="1:15" x14ac:dyDescent="0.25">
      <c r="A33" s="157">
        <v>21</v>
      </c>
      <c r="C33" s="149">
        <v>367</v>
      </c>
      <c r="D33" s="150">
        <v>2.5499999999999998E-2</v>
      </c>
      <c r="E33" s="126"/>
      <c r="F33" s="126"/>
      <c r="G33" s="126"/>
      <c r="H33" s="126"/>
      <c r="I33" s="126"/>
      <c r="J33" s="126"/>
      <c r="K33" s="126"/>
      <c r="L33" s="126"/>
      <c r="M33" s="126"/>
      <c r="O33" s="159"/>
    </row>
    <row r="34" spans="1:15" x14ac:dyDescent="0.25">
      <c r="A34" s="157">
        <v>22</v>
      </c>
      <c r="C34" s="149">
        <v>368</v>
      </c>
      <c r="D34" s="150">
        <v>6.4999999999999997E-3</v>
      </c>
      <c r="E34" s="126"/>
      <c r="F34" s="126"/>
      <c r="G34" s="126"/>
      <c r="H34" s="126"/>
      <c r="I34" s="126"/>
      <c r="J34" s="126"/>
      <c r="K34" s="126"/>
      <c r="L34" s="126"/>
      <c r="M34" s="126"/>
      <c r="O34" s="159"/>
    </row>
    <row r="35" spans="1:15" x14ac:dyDescent="0.25">
      <c r="A35" s="157">
        <v>23</v>
      </c>
      <c r="C35" s="149">
        <v>370.01</v>
      </c>
      <c r="D35" s="150">
        <v>0.19350000000000001</v>
      </c>
      <c r="E35" s="127"/>
      <c r="F35" s="127"/>
      <c r="G35" s="127"/>
      <c r="H35" s="127"/>
      <c r="I35" s="127"/>
      <c r="J35" s="127"/>
      <c r="K35" s="127"/>
      <c r="L35" s="127"/>
      <c r="M35" s="127"/>
      <c r="O35" s="159"/>
    </row>
    <row r="36" spans="1:15" x14ac:dyDescent="0.25">
      <c r="A36" s="157">
        <v>24</v>
      </c>
      <c r="C36" s="130" t="s">
        <v>297</v>
      </c>
      <c r="D36" s="19"/>
      <c r="E36" s="53">
        <f t="shared" ref="E36:M36" si="10">SUM(E25:E35)</f>
        <v>0</v>
      </c>
      <c r="F36" s="53">
        <f t="shared" si="10"/>
        <v>17723974.895941105</v>
      </c>
      <c r="G36" s="53">
        <f t="shared" si="10"/>
        <v>23788178.949788302</v>
      </c>
      <c r="H36" s="53">
        <f t="shared" si="10"/>
        <v>24317119.027113684</v>
      </c>
      <c r="I36" s="53">
        <f t="shared" si="10"/>
        <v>35239324.407931432</v>
      </c>
      <c r="J36" s="53">
        <f>SUM(J25:J35)</f>
        <v>35986714.567098752</v>
      </c>
      <c r="K36" s="53">
        <f t="shared" si="10"/>
        <v>37471931.485300466</v>
      </c>
      <c r="L36" s="53">
        <f t="shared" si="10"/>
        <v>27869175.371678643</v>
      </c>
      <c r="M36" s="53">
        <f t="shared" si="10"/>
        <v>202396418.70485237</v>
      </c>
      <c r="O36" s="42" t="s">
        <v>215</v>
      </c>
    </row>
    <row r="37" spans="1:15" x14ac:dyDescent="0.25">
      <c r="A37" s="157"/>
      <c r="C37" s="130"/>
      <c r="D37" s="19"/>
      <c r="E37" s="53"/>
      <c r="F37" s="53"/>
      <c r="G37" s="53"/>
      <c r="H37" s="53"/>
      <c r="I37" s="53"/>
      <c r="J37" s="53"/>
      <c r="K37" s="53"/>
      <c r="L37" s="53"/>
      <c r="M37" s="9"/>
      <c r="N37" s="9"/>
    </row>
    <row r="38" spans="1:15" x14ac:dyDescent="0.25">
      <c r="A38" s="157"/>
      <c r="C38" s="131" t="s">
        <v>160</v>
      </c>
      <c r="D38" s="19"/>
      <c r="E38" s="53">
        <v>7943370</v>
      </c>
      <c r="F38" s="53">
        <f>+E38/E20*F20</f>
        <v>10661169.863632141</v>
      </c>
      <c r="G38" s="53">
        <f>+F38/F20*G20</f>
        <v>10898225.420677997</v>
      </c>
      <c r="H38" s="53">
        <f>+G38/G20*H20</f>
        <v>15793240.171330495</v>
      </c>
      <c r="I38" s="53">
        <f>+H38/H20*I20</f>
        <v>16128198.700863533</v>
      </c>
      <c r="J38" s="53">
        <f>+I38/I20*J20</f>
        <v>16793829.722166643</v>
      </c>
      <c r="K38" s="53">
        <v>0</v>
      </c>
      <c r="L38" s="53">
        <v>0</v>
      </c>
      <c r="M38" s="9"/>
      <c r="N38" s="9"/>
    </row>
    <row r="39" spans="1:15" x14ac:dyDescent="0.25">
      <c r="A39" s="157"/>
      <c r="C39" s="130"/>
      <c r="D39" s="19"/>
      <c r="E39" s="53"/>
      <c r="F39" s="53"/>
      <c r="G39" s="53"/>
      <c r="H39" s="53"/>
      <c r="I39" s="53"/>
      <c r="J39" s="53"/>
      <c r="K39" s="53"/>
      <c r="L39" s="53"/>
      <c r="M39" s="9"/>
      <c r="N39" s="9"/>
    </row>
    <row r="40" spans="1:15" x14ac:dyDescent="0.25">
      <c r="A40" s="157"/>
      <c r="C40" s="148" t="s">
        <v>136</v>
      </c>
      <c r="D40" s="19"/>
      <c r="E40" s="53"/>
      <c r="F40" s="53"/>
      <c r="G40" s="53"/>
      <c r="H40" s="53"/>
      <c r="I40" s="53"/>
      <c r="J40" s="53"/>
      <c r="K40" s="53"/>
      <c r="L40" s="53"/>
      <c r="M40" s="9"/>
      <c r="N40" s="9"/>
    </row>
    <row r="41" spans="1:15" x14ac:dyDescent="0.25">
      <c r="A41" s="157"/>
      <c r="C41" s="130" t="s">
        <v>158</v>
      </c>
      <c r="D41" s="19"/>
      <c r="E41" s="131" t="s">
        <v>151</v>
      </c>
      <c r="F41" s="131" t="s">
        <v>152</v>
      </c>
      <c r="G41" s="131" t="s">
        <v>153</v>
      </c>
      <c r="H41" s="131" t="s">
        <v>154</v>
      </c>
      <c r="I41" s="131" t="s">
        <v>155</v>
      </c>
      <c r="J41" s="131" t="s">
        <v>156</v>
      </c>
      <c r="K41" s="131" t="s">
        <v>157</v>
      </c>
      <c r="L41" s="151" t="s">
        <v>275</v>
      </c>
      <c r="M41" s="19"/>
      <c r="N41" s="19"/>
    </row>
    <row r="42" spans="1:15" x14ac:dyDescent="0.25">
      <c r="A42" s="157"/>
      <c r="C42" s="2" t="s">
        <v>21</v>
      </c>
      <c r="D42" s="2" t="s">
        <v>295</v>
      </c>
      <c r="E42" s="161" t="s">
        <v>284</v>
      </c>
      <c r="F42" s="161">
        <v>44286</v>
      </c>
      <c r="G42" s="161">
        <v>44651</v>
      </c>
      <c r="H42" s="161">
        <v>45016</v>
      </c>
      <c r="I42" s="161">
        <v>45382</v>
      </c>
      <c r="J42" s="161">
        <v>45747</v>
      </c>
      <c r="K42" s="161">
        <v>46112</v>
      </c>
      <c r="L42" s="161" t="s">
        <v>286</v>
      </c>
      <c r="M42" s="19"/>
      <c r="O42" s="2" t="s">
        <v>121</v>
      </c>
    </row>
    <row r="43" spans="1:15" x14ac:dyDescent="0.25">
      <c r="A43" s="157">
        <v>25</v>
      </c>
      <c r="C43" s="149">
        <v>352</v>
      </c>
      <c r="D43" s="150">
        <v>2.4E-2</v>
      </c>
      <c r="E43" s="53">
        <f>SUM($E25:E25)</f>
        <v>0</v>
      </c>
      <c r="F43" s="53">
        <f>SUM($E25:F25)</f>
        <v>0</v>
      </c>
      <c r="G43" s="53">
        <f>SUM($E25:G25)</f>
        <v>0</v>
      </c>
      <c r="H43" s="53">
        <f>SUM($E25:H25)</f>
        <v>0</v>
      </c>
      <c r="I43" s="53">
        <f>SUM($E25:I25)</f>
        <v>0</v>
      </c>
      <c r="J43" s="53">
        <f>SUM($E25:J25)</f>
        <v>2844940</v>
      </c>
      <c r="K43" s="53">
        <f>SUM($E25:K25)</f>
        <v>5145325</v>
      </c>
      <c r="L43" s="53">
        <f>SUM($E25:L25)</f>
        <v>7777940</v>
      </c>
      <c r="M43" s="53"/>
      <c r="O43" s="42" t="s">
        <v>216</v>
      </c>
    </row>
    <row r="44" spans="1:15" x14ac:dyDescent="0.25">
      <c r="A44" s="157">
        <v>26</v>
      </c>
      <c r="C44" s="149">
        <v>353</v>
      </c>
      <c r="D44" s="150">
        <v>2.53E-2</v>
      </c>
      <c r="E44" s="53">
        <f>SUM($E26:E26)</f>
        <v>0</v>
      </c>
      <c r="F44" s="53">
        <f>SUM($E26:F26)</f>
        <v>8993648.8959411047</v>
      </c>
      <c r="G44" s="53">
        <f>SUM($E26:G26)</f>
        <v>27322796.845729407</v>
      </c>
      <c r="H44" s="53">
        <f>SUM($E26:H26)</f>
        <v>46657103.872843087</v>
      </c>
      <c r="I44" s="53">
        <f>SUM($E26:I26)</f>
        <v>70546357.280774519</v>
      </c>
      <c r="J44" s="53">
        <f>SUM($E26:J26)</f>
        <v>92190811.847873271</v>
      </c>
      <c r="K44" s="53">
        <f>SUM($E26:K26)</f>
        <v>116682885.33317374</v>
      </c>
      <c r="L44" s="53">
        <f>SUM($E26:L26)</f>
        <v>134317524.70485237</v>
      </c>
      <c r="M44" s="53"/>
      <c r="O44" s="42" t="s">
        <v>217</v>
      </c>
    </row>
    <row r="45" spans="1:15" x14ac:dyDescent="0.25">
      <c r="A45" s="157">
        <v>27</v>
      </c>
      <c r="C45" s="149">
        <v>354</v>
      </c>
      <c r="D45" s="150">
        <v>1.37E-2</v>
      </c>
      <c r="E45" s="53">
        <f>SUM($E27:E27)</f>
        <v>0</v>
      </c>
      <c r="F45" s="53">
        <f>SUM($E27:F27)</f>
        <v>1459099</v>
      </c>
      <c r="G45" s="53">
        <f>SUM($E27:G27)</f>
        <v>2541531</v>
      </c>
      <c r="H45" s="53">
        <f>SUM($E27:H27)</f>
        <v>3392323</v>
      </c>
      <c r="I45" s="53">
        <f>SUM($E27:I27)</f>
        <v>3392323</v>
      </c>
      <c r="J45" s="53">
        <f>SUM($E27:J27)</f>
        <v>3392323</v>
      </c>
      <c r="K45" s="53">
        <f>SUM($E27:K27)</f>
        <v>3392323</v>
      </c>
      <c r="L45" s="53">
        <f>SUM($E27:L27)</f>
        <v>3392323</v>
      </c>
      <c r="M45" s="53"/>
      <c r="O45" s="42" t="s">
        <v>218</v>
      </c>
    </row>
    <row r="46" spans="1:15" x14ac:dyDescent="0.25">
      <c r="A46" s="157">
        <v>28</v>
      </c>
      <c r="C46" s="149">
        <v>356</v>
      </c>
      <c r="D46" s="150">
        <v>1.2E-2</v>
      </c>
      <c r="E46" s="53">
        <f>SUM($E28:E28)</f>
        <v>0</v>
      </c>
      <c r="F46" s="53">
        <f>SUM($E28:F28)</f>
        <v>7271227</v>
      </c>
      <c r="G46" s="53">
        <f>SUM($E28:G28)</f>
        <v>11647826</v>
      </c>
      <c r="H46" s="53">
        <f>SUM($E28:H28)</f>
        <v>15779846</v>
      </c>
      <c r="I46" s="53">
        <f>SUM($E28:I28)</f>
        <v>27129917</v>
      </c>
      <c r="J46" s="53">
        <f>SUM($E28:J28)</f>
        <v>38627237</v>
      </c>
      <c r="K46" s="53">
        <f>SUM($E28:K28)</f>
        <v>49306710</v>
      </c>
      <c r="L46" s="53">
        <f>SUM($E28:L28)</f>
        <v>56908631</v>
      </c>
      <c r="M46" s="53"/>
      <c r="O46" s="42" t="s">
        <v>219</v>
      </c>
    </row>
    <row r="47" spans="1:15" x14ac:dyDescent="0.25">
      <c r="A47" s="157">
        <v>29</v>
      </c>
      <c r="C47" s="149">
        <v>362</v>
      </c>
      <c r="D47" s="150">
        <v>1.61E-2</v>
      </c>
      <c r="E47" s="126"/>
      <c r="F47" s="126"/>
      <c r="G47" s="126"/>
      <c r="H47" s="126"/>
      <c r="I47" s="126"/>
      <c r="J47" s="126"/>
      <c r="K47" s="126"/>
      <c r="L47" s="126"/>
      <c r="M47" s="53"/>
    </row>
    <row r="48" spans="1:15" x14ac:dyDescent="0.25">
      <c r="A48" s="157">
        <v>30</v>
      </c>
      <c r="C48" s="149">
        <v>364</v>
      </c>
      <c r="D48" s="150">
        <v>2.06E-2</v>
      </c>
      <c r="E48" s="126"/>
      <c r="F48" s="126"/>
      <c r="G48" s="126"/>
      <c r="H48" s="126"/>
      <c r="I48" s="126"/>
      <c r="J48" s="126"/>
      <c r="K48" s="126"/>
      <c r="L48" s="126"/>
      <c r="M48" s="53"/>
    </row>
    <row r="49" spans="1:15" x14ac:dyDescent="0.25">
      <c r="A49" s="157">
        <v>31</v>
      </c>
      <c r="C49" s="149">
        <v>365</v>
      </c>
      <c r="D49" s="150">
        <v>2.35E-2</v>
      </c>
      <c r="E49" s="126"/>
      <c r="F49" s="126"/>
      <c r="G49" s="126"/>
      <c r="H49" s="126"/>
      <c r="I49" s="126"/>
      <c r="J49" s="126"/>
      <c r="K49" s="126"/>
      <c r="L49" s="126"/>
      <c r="M49" s="53"/>
    </row>
    <row r="50" spans="1:15" x14ac:dyDescent="0.25">
      <c r="A50" s="157">
        <v>32</v>
      </c>
      <c r="C50" s="149">
        <v>366</v>
      </c>
      <c r="D50" s="150">
        <v>2.6200000000000001E-2</v>
      </c>
      <c r="E50" s="126"/>
      <c r="F50" s="126"/>
      <c r="G50" s="126"/>
      <c r="H50" s="126"/>
      <c r="I50" s="126"/>
      <c r="J50" s="126"/>
      <c r="K50" s="126"/>
      <c r="L50" s="126"/>
      <c r="M50" s="53"/>
    </row>
    <row r="51" spans="1:15" x14ac:dyDescent="0.25">
      <c r="A51" s="157">
        <v>33</v>
      </c>
      <c r="C51" s="149">
        <v>367</v>
      </c>
      <c r="D51" s="150">
        <v>2.5499999999999998E-2</v>
      </c>
      <c r="E51" s="126"/>
      <c r="F51" s="126"/>
      <c r="G51" s="126"/>
      <c r="H51" s="126"/>
      <c r="I51" s="126"/>
      <c r="J51" s="126"/>
      <c r="K51" s="126"/>
      <c r="L51" s="126"/>
      <c r="M51" s="53"/>
    </row>
    <row r="52" spans="1:15" x14ac:dyDescent="0.25">
      <c r="A52" s="157">
        <v>34</v>
      </c>
      <c r="C52" s="149">
        <v>368</v>
      </c>
      <c r="D52" s="150">
        <v>6.4999999999999997E-3</v>
      </c>
      <c r="E52" s="126"/>
      <c r="F52" s="126"/>
      <c r="G52" s="126"/>
      <c r="H52" s="126"/>
      <c r="I52" s="126"/>
      <c r="J52" s="126"/>
      <c r="K52" s="126"/>
      <c r="L52" s="126"/>
      <c r="M52" s="53"/>
    </row>
    <row r="53" spans="1:15" x14ac:dyDescent="0.25">
      <c r="A53" s="157">
        <v>35</v>
      </c>
      <c r="C53" s="149">
        <v>370.01</v>
      </c>
      <c r="D53" s="150">
        <v>0.19350000000000001</v>
      </c>
      <c r="E53" s="127"/>
      <c r="F53" s="127"/>
      <c r="G53" s="127"/>
      <c r="H53" s="127"/>
      <c r="I53" s="127"/>
      <c r="J53" s="127"/>
      <c r="K53" s="127"/>
      <c r="L53" s="127"/>
      <c r="M53" s="53"/>
    </row>
    <row r="54" spans="1:15" x14ac:dyDescent="0.25">
      <c r="A54" s="157">
        <v>36</v>
      </c>
      <c r="C54" s="130" t="s">
        <v>161</v>
      </c>
      <c r="D54" s="19"/>
      <c r="E54" s="53">
        <f t="shared" ref="E54:L54" si="11">SUM(E43:E53)</f>
        <v>0</v>
      </c>
      <c r="F54" s="53">
        <f t="shared" si="11"/>
        <v>17723974.895941105</v>
      </c>
      <c r="G54" s="53">
        <f t="shared" si="11"/>
        <v>41512153.845729411</v>
      </c>
      <c r="H54" s="53">
        <f t="shared" si="11"/>
        <v>65829272.872843087</v>
      </c>
      <c r="I54" s="53">
        <f t="shared" si="11"/>
        <v>101068597.28077452</v>
      </c>
      <c r="J54" s="53">
        <f t="shared" si="11"/>
        <v>137055311.84787327</v>
      </c>
      <c r="K54" s="53">
        <f t="shared" si="11"/>
        <v>174527243.33317375</v>
      </c>
      <c r="L54" s="53">
        <f t="shared" si="11"/>
        <v>202396418.70485237</v>
      </c>
      <c r="M54" s="53"/>
      <c r="O54" s="42" t="s">
        <v>220</v>
      </c>
    </row>
    <row r="55" spans="1:15" x14ac:dyDescent="0.25">
      <c r="A55" s="157"/>
      <c r="C55" s="130"/>
      <c r="D55" s="19"/>
      <c r="E55" s="53"/>
      <c r="F55" s="53"/>
      <c r="G55" s="53"/>
      <c r="H55" s="53"/>
      <c r="I55" s="53"/>
      <c r="J55" s="53"/>
      <c r="K55" s="53"/>
      <c r="L55" s="53"/>
      <c r="M55" s="53"/>
    </row>
    <row r="56" spans="1:15" x14ac:dyDescent="0.25">
      <c r="A56" s="157"/>
      <c r="C56" s="148" t="s">
        <v>136</v>
      </c>
      <c r="D56" s="19"/>
      <c r="E56" s="53"/>
      <c r="F56" s="53"/>
      <c r="G56" s="53"/>
      <c r="H56" s="53"/>
      <c r="I56" s="53"/>
      <c r="J56" s="53"/>
      <c r="K56" s="53"/>
      <c r="L56" s="53"/>
      <c r="M56" s="53"/>
    </row>
    <row r="57" spans="1:15" x14ac:dyDescent="0.25">
      <c r="A57" s="157"/>
      <c r="C57" s="130" t="s">
        <v>135</v>
      </c>
      <c r="D57" s="19"/>
      <c r="E57" s="131" t="s">
        <v>151</v>
      </c>
      <c r="F57" s="131" t="s">
        <v>152</v>
      </c>
      <c r="G57" s="131" t="s">
        <v>153</v>
      </c>
      <c r="H57" s="131" t="s">
        <v>154</v>
      </c>
      <c r="I57" s="131" t="s">
        <v>155</v>
      </c>
      <c r="J57" s="131" t="s">
        <v>156</v>
      </c>
      <c r="K57" s="131" t="s">
        <v>157</v>
      </c>
      <c r="L57" s="151" t="s">
        <v>275</v>
      </c>
      <c r="M57" s="19"/>
    </row>
    <row r="58" spans="1:15" x14ac:dyDescent="0.25">
      <c r="A58" s="157"/>
      <c r="C58" s="2" t="s">
        <v>21</v>
      </c>
      <c r="D58" s="2" t="s">
        <v>295</v>
      </c>
      <c r="E58" s="161" t="s">
        <v>277</v>
      </c>
      <c r="F58" s="2" t="s">
        <v>285</v>
      </c>
      <c r="G58" s="2" t="s">
        <v>278</v>
      </c>
      <c r="H58" s="2" t="s">
        <v>279</v>
      </c>
      <c r="I58" s="2" t="s">
        <v>280</v>
      </c>
      <c r="J58" s="2" t="s">
        <v>281</v>
      </c>
      <c r="K58" s="2" t="s">
        <v>282</v>
      </c>
      <c r="L58" s="2" t="s">
        <v>283</v>
      </c>
      <c r="M58" s="19"/>
      <c r="O58" s="2" t="s">
        <v>121</v>
      </c>
    </row>
    <row r="59" spans="1:15" x14ac:dyDescent="0.25">
      <c r="A59" s="157">
        <v>37</v>
      </c>
      <c r="C59" s="149">
        <v>352</v>
      </c>
      <c r="D59" s="150">
        <v>2.4E-2</v>
      </c>
      <c r="E59" s="53">
        <v>0</v>
      </c>
      <c r="F59" s="53">
        <f>+F25*$D59*0.5+E43*$D25</f>
        <v>0</v>
      </c>
      <c r="G59" s="53">
        <f t="shared" ref="G59:H59" si="12">+G25*$D59*0.5+F43*$D25</f>
        <v>0</v>
      </c>
      <c r="H59" s="53">
        <f t="shared" si="12"/>
        <v>0</v>
      </c>
      <c r="I59" s="53">
        <f t="shared" ref="I59:I62" si="13">+I25*$D59*0.5+H43*$D25</f>
        <v>0</v>
      </c>
      <c r="J59" s="53">
        <f t="shared" ref="J59:J62" si="14">+J25*$D59*0.5+I43*$D25</f>
        <v>34139.279999999999</v>
      </c>
      <c r="K59" s="53">
        <f t="shared" ref="K59:K62" si="15">+K25*$D59*0.5+J43*$D25</f>
        <v>95883.18</v>
      </c>
      <c r="L59" s="53">
        <f t="shared" ref="L59:L62" si="16">+L25*$D59*0.5+K43*$D25</f>
        <v>155079.18</v>
      </c>
      <c r="M59" s="53"/>
      <c r="O59" s="158" t="s">
        <v>221</v>
      </c>
    </row>
    <row r="60" spans="1:15" x14ac:dyDescent="0.25">
      <c r="A60" s="157">
        <v>38</v>
      </c>
      <c r="C60" s="149">
        <v>353</v>
      </c>
      <c r="D60" s="150">
        <v>2.53E-2</v>
      </c>
      <c r="E60" s="53">
        <v>0</v>
      </c>
      <c r="F60" s="53">
        <f>+F26*$D60*0.5+E44*$D26</f>
        <v>113769.65853365498</v>
      </c>
      <c r="G60" s="53">
        <f t="shared" ref="G60:H60" si="17">+G26*$D60*0.5+F44*$D26</f>
        <v>459403.038632132</v>
      </c>
      <c r="H60" s="53">
        <f t="shared" si="17"/>
        <v>935845.74408994208</v>
      </c>
      <c r="I60" s="53">
        <f t="shared" si="13"/>
        <v>1482623.7835932628</v>
      </c>
      <c r="J60" s="53">
        <f t="shared" si="14"/>
        <v>2058625.1894773943</v>
      </c>
      <c r="K60" s="53">
        <f t="shared" si="15"/>
        <v>2642252.2693402441</v>
      </c>
      <c r="L60" s="53">
        <f t="shared" si="16"/>
        <v>3175155.1869810307</v>
      </c>
      <c r="M60" s="53"/>
      <c r="O60" s="159" t="s">
        <v>222</v>
      </c>
    </row>
    <row r="61" spans="1:15" x14ac:dyDescent="0.25">
      <c r="A61" s="157">
        <v>39</v>
      </c>
      <c r="C61" s="149">
        <v>354</v>
      </c>
      <c r="D61" s="150">
        <v>1.37E-2</v>
      </c>
      <c r="E61" s="53">
        <v>0</v>
      </c>
      <c r="F61" s="53">
        <f t="shared" ref="F61:H62" si="18">+F27*$D61*0.5+E45*$D27</f>
        <v>9994.8281499999994</v>
      </c>
      <c r="G61" s="53">
        <f t="shared" si="18"/>
        <v>27404.315499999997</v>
      </c>
      <c r="H61" s="53">
        <f t="shared" si="18"/>
        <v>40646.899899999997</v>
      </c>
      <c r="I61" s="53">
        <f t="shared" si="13"/>
        <v>46474.825100000002</v>
      </c>
      <c r="J61" s="53">
        <f t="shared" si="14"/>
        <v>46474.825100000002</v>
      </c>
      <c r="K61" s="53">
        <f t="shared" si="15"/>
        <v>46474.825100000002</v>
      </c>
      <c r="L61" s="53">
        <f t="shared" si="16"/>
        <v>46474.825100000002</v>
      </c>
      <c r="M61" s="53"/>
      <c r="O61" s="159" t="s">
        <v>223</v>
      </c>
    </row>
    <row r="62" spans="1:15" x14ac:dyDescent="0.25">
      <c r="A62" s="157">
        <v>40</v>
      </c>
      <c r="C62" s="149">
        <v>356</v>
      </c>
      <c r="D62" s="150">
        <v>1.2E-2</v>
      </c>
      <c r="E62" s="53">
        <v>0</v>
      </c>
      <c r="F62" s="53">
        <f t="shared" si="18"/>
        <v>43627.362000000001</v>
      </c>
      <c r="G62" s="53">
        <f t="shared" si="18"/>
        <v>113514.318</v>
      </c>
      <c r="H62" s="53">
        <f t="shared" si="18"/>
        <v>164566.03200000001</v>
      </c>
      <c r="I62" s="53">
        <f t="shared" si="13"/>
        <v>257458.57800000001</v>
      </c>
      <c r="J62" s="53">
        <f t="shared" si="14"/>
        <v>394542.924</v>
      </c>
      <c r="K62" s="53">
        <f t="shared" si="15"/>
        <v>527603.68200000003</v>
      </c>
      <c r="L62" s="53">
        <f t="shared" si="16"/>
        <v>637292.04599999997</v>
      </c>
      <c r="M62" s="53"/>
      <c r="O62" s="159" t="s">
        <v>224</v>
      </c>
    </row>
    <row r="63" spans="1:15" x14ac:dyDescent="0.25">
      <c r="A63" s="157">
        <v>41</v>
      </c>
      <c r="C63" s="149">
        <v>362</v>
      </c>
      <c r="D63" s="150">
        <v>1.61E-2</v>
      </c>
      <c r="E63" s="126"/>
      <c r="F63" s="126"/>
      <c r="G63" s="126"/>
      <c r="H63" s="126"/>
      <c r="I63" s="126"/>
      <c r="J63" s="126"/>
      <c r="K63" s="126"/>
      <c r="L63" s="126"/>
      <c r="M63" s="53"/>
      <c r="O63" s="159"/>
    </row>
    <row r="64" spans="1:15" x14ac:dyDescent="0.25">
      <c r="A64" s="157">
        <v>42</v>
      </c>
      <c r="C64" s="149">
        <v>364</v>
      </c>
      <c r="D64" s="150">
        <v>2.06E-2</v>
      </c>
      <c r="E64" s="126"/>
      <c r="F64" s="126"/>
      <c r="G64" s="126"/>
      <c r="H64" s="126"/>
      <c r="I64" s="126"/>
      <c r="J64" s="126"/>
      <c r="K64" s="126"/>
      <c r="L64" s="126"/>
      <c r="M64" s="53"/>
      <c r="O64" s="159"/>
    </row>
    <row r="65" spans="1:15" x14ac:dyDescent="0.25">
      <c r="A65" s="157">
        <v>43</v>
      </c>
      <c r="C65" s="149">
        <v>365</v>
      </c>
      <c r="D65" s="150">
        <v>2.35E-2</v>
      </c>
      <c r="E65" s="126"/>
      <c r="F65" s="126"/>
      <c r="G65" s="126"/>
      <c r="H65" s="126"/>
      <c r="I65" s="126"/>
      <c r="J65" s="126"/>
      <c r="K65" s="126"/>
      <c r="L65" s="126"/>
      <c r="M65" s="53"/>
      <c r="O65" s="159"/>
    </row>
    <row r="66" spans="1:15" x14ac:dyDescent="0.25">
      <c r="A66" s="157">
        <v>44</v>
      </c>
      <c r="C66" s="149">
        <v>366</v>
      </c>
      <c r="D66" s="150">
        <v>2.6200000000000001E-2</v>
      </c>
      <c r="E66" s="126"/>
      <c r="F66" s="126"/>
      <c r="G66" s="126"/>
      <c r="H66" s="126"/>
      <c r="I66" s="126"/>
      <c r="J66" s="126"/>
      <c r="K66" s="126"/>
      <c r="L66" s="126"/>
      <c r="M66" s="53"/>
      <c r="O66" s="159"/>
    </row>
    <row r="67" spans="1:15" x14ac:dyDescent="0.25">
      <c r="A67" s="157">
        <v>45</v>
      </c>
      <c r="C67" s="149">
        <v>367</v>
      </c>
      <c r="D67" s="150">
        <v>2.5499999999999998E-2</v>
      </c>
      <c r="E67" s="126"/>
      <c r="F67" s="126"/>
      <c r="G67" s="126"/>
      <c r="H67" s="126"/>
      <c r="I67" s="126"/>
      <c r="J67" s="126"/>
      <c r="K67" s="126"/>
      <c r="L67" s="126"/>
      <c r="M67" s="53"/>
      <c r="O67" s="159"/>
    </row>
    <row r="68" spans="1:15" x14ac:dyDescent="0.25">
      <c r="A68" s="157">
        <v>46</v>
      </c>
      <c r="C68" s="149">
        <v>368</v>
      </c>
      <c r="D68" s="150">
        <v>6.4999999999999997E-3</v>
      </c>
      <c r="E68" s="126"/>
      <c r="F68" s="126"/>
      <c r="G68" s="126"/>
      <c r="H68" s="126"/>
      <c r="I68" s="126"/>
      <c r="J68" s="126"/>
      <c r="K68" s="126"/>
      <c r="L68" s="126"/>
      <c r="M68" s="53"/>
      <c r="O68" s="159"/>
    </row>
    <row r="69" spans="1:15" x14ac:dyDescent="0.25">
      <c r="A69" s="157">
        <v>47</v>
      </c>
      <c r="C69" s="149">
        <v>370.01</v>
      </c>
      <c r="D69" s="150">
        <v>0.19350000000000001</v>
      </c>
      <c r="E69" s="127"/>
      <c r="F69" s="127"/>
      <c r="G69" s="127"/>
      <c r="H69" s="127"/>
      <c r="I69" s="127"/>
      <c r="J69" s="127"/>
      <c r="K69" s="127"/>
      <c r="L69" s="127"/>
      <c r="M69" s="53"/>
      <c r="O69" s="159"/>
    </row>
    <row r="70" spans="1:15" x14ac:dyDescent="0.25">
      <c r="A70" s="157">
        <v>48</v>
      </c>
      <c r="C70" s="130" t="s">
        <v>140</v>
      </c>
      <c r="D70" s="19"/>
      <c r="E70" s="53">
        <f t="shared" ref="E70" si="19">SUM(E59:E69)</f>
        <v>0</v>
      </c>
      <c r="F70" s="53">
        <f t="shared" ref="F70:K70" si="20">SUM(F59:F69)</f>
        <v>167391.84868365497</v>
      </c>
      <c r="G70" s="53">
        <f t="shared" si="20"/>
        <v>600321.67213213199</v>
      </c>
      <c r="H70" s="53">
        <f t="shared" si="20"/>
        <v>1141058.6759899422</v>
      </c>
      <c r="I70" s="53">
        <f t="shared" si="20"/>
        <v>1786557.1866932628</v>
      </c>
      <c r="J70" s="53">
        <f t="shared" si="20"/>
        <v>2533782.2185773943</v>
      </c>
      <c r="K70" s="53">
        <f t="shared" si="20"/>
        <v>3312213.9564402443</v>
      </c>
      <c r="L70" s="53">
        <f t="shared" ref="L70" si="21">SUM(L59:L69)</f>
        <v>4014001.238081031</v>
      </c>
      <c r="M70" s="53"/>
    </row>
    <row r="71" spans="1:15" x14ac:dyDescent="0.25">
      <c r="A71" s="157"/>
      <c r="C71" s="130"/>
      <c r="D71" s="19"/>
      <c r="E71" s="124"/>
      <c r="F71" s="53"/>
      <c r="G71" s="53"/>
      <c r="H71" s="53"/>
      <c r="I71" s="53"/>
      <c r="J71" s="53"/>
      <c r="K71" s="53"/>
      <c r="L71" s="53"/>
      <c r="M71" s="53"/>
    </row>
    <row r="72" spans="1:15" x14ac:dyDescent="0.25">
      <c r="A72" s="157"/>
      <c r="C72" s="148" t="s">
        <v>136</v>
      </c>
      <c r="D72" s="19"/>
      <c r="E72" s="124"/>
      <c r="F72" s="53"/>
      <c r="G72" s="53"/>
      <c r="H72" s="53"/>
      <c r="I72" s="53"/>
      <c r="J72" s="53"/>
      <c r="K72" s="53"/>
      <c r="L72" s="53"/>
      <c r="M72" s="53"/>
    </row>
    <row r="73" spans="1:15" x14ac:dyDescent="0.25">
      <c r="A73" s="157"/>
      <c r="C73" s="130" t="s">
        <v>165</v>
      </c>
      <c r="D73" s="19"/>
      <c r="E73" s="131" t="s">
        <v>151</v>
      </c>
      <c r="F73" s="131" t="s">
        <v>152</v>
      </c>
      <c r="G73" s="131" t="s">
        <v>153</v>
      </c>
      <c r="H73" s="131" t="s">
        <v>154</v>
      </c>
      <c r="I73" s="131" t="s">
        <v>155</v>
      </c>
      <c r="J73" s="131" t="s">
        <v>156</v>
      </c>
      <c r="K73" s="131" t="s">
        <v>157</v>
      </c>
      <c r="L73" s="151" t="s">
        <v>275</v>
      </c>
      <c r="M73" s="19"/>
    </row>
    <row r="74" spans="1:15" x14ac:dyDescent="0.25">
      <c r="A74" s="157"/>
      <c r="C74" s="2" t="s">
        <v>21</v>
      </c>
      <c r="D74" s="2" t="s">
        <v>295</v>
      </c>
      <c r="E74" s="161" t="s">
        <v>284</v>
      </c>
      <c r="F74" s="161">
        <v>44286</v>
      </c>
      <c r="G74" s="161">
        <v>44651</v>
      </c>
      <c r="H74" s="161">
        <v>45016</v>
      </c>
      <c r="I74" s="161">
        <v>45382</v>
      </c>
      <c r="J74" s="161">
        <v>45747</v>
      </c>
      <c r="K74" s="161">
        <v>46112</v>
      </c>
      <c r="L74" s="161" t="s">
        <v>286</v>
      </c>
      <c r="M74" s="19"/>
      <c r="O74" s="2" t="s">
        <v>121</v>
      </c>
    </row>
    <row r="75" spans="1:15" x14ac:dyDescent="0.25">
      <c r="A75" s="157">
        <v>49</v>
      </c>
      <c r="C75" s="149">
        <v>352</v>
      </c>
      <c r="D75" s="150">
        <v>2.4E-2</v>
      </c>
      <c r="E75" s="53">
        <f>-SUM($E59:E59)</f>
        <v>0</v>
      </c>
      <c r="F75" s="53">
        <f>-SUM($E59:F59)</f>
        <v>0</v>
      </c>
      <c r="G75" s="53">
        <f>-SUM($E59:G59)</f>
        <v>0</v>
      </c>
      <c r="H75" s="53">
        <f>-SUM($E59:H59)</f>
        <v>0</v>
      </c>
      <c r="I75" s="53">
        <f>-SUM($E59:I59)</f>
        <v>0</v>
      </c>
      <c r="J75" s="53">
        <f>-SUM($E59:J59)</f>
        <v>-34139.279999999999</v>
      </c>
      <c r="K75" s="53">
        <f>-SUM($E59:K59)</f>
        <v>-130022.45999999999</v>
      </c>
      <c r="L75" s="53">
        <f>-SUM($E59:L59)</f>
        <v>-285101.64</v>
      </c>
      <c r="M75" s="53"/>
      <c r="O75" s="42" t="s">
        <v>225</v>
      </c>
    </row>
    <row r="76" spans="1:15" x14ac:dyDescent="0.25">
      <c r="A76" s="157">
        <v>50</v>
      </c>
      <c r="C76" s="149">
        <v>353</v>
      </c>
      <c r="D76" s="150">
        <v>2.53E-2</v>
      </c>
      <c r="E76" s="53">
        <f>-SUM($E60:E60)</f>
        <v>0</v>
      </c>
      <c r="F76" s="53">
        <f>-SUM($E60:F60)</f>
        <v>-113769.65853365498</v>
      </c>
      <c r="G76" s="53">
        <f>-SUM($E60:G60)</f>
        <v>-573172.69716578699</v>
      </c>
      <c r="H76" s="53">
        <f>-SUM($E60:H60)</f>
        <v>-1509018.4412557292</v>
      </c>
      <c r="I76" s="53">
        <f>-SUM($E60:I60)</f>
        <v>-2991642.2248489922</v>
      </c>
      <c r="J76" s="53">
        <f>-SUM($E60:J60)</f>
        <v>-5050267.4143263865</v>
      </c>
      <c r="K76" s="53">
        <f>-SUM($E60:K60)</f>
        <v>-7692519.6836666306</v>
      </c>
      <c r="L76" s="53">
        <f>-SUM($E60:L60)</f>
        <v>-10867674.870647661</v>
      </c>
      <c r="M76" s="53"/>
      <c r="O76" s="42" t="s">
        <v>226</v>
      </c>
    </row>
    <row r="77" spans="1:15" x14ac:dyDescent="0.25">
      <c r="A77" s="157">
        <v>51</v>
      </c>
      <c r="C77" s="149">
        <v>354</v>
      </c>
      <c r="D77" s="150">
        <v>1.37E-2</v>
      </c>
      <c r="E77" s="53">
        <f>-SUM($E61:E61)</f>
        <v>0</v>
      </c>
      <c r="F77" s="53">
        <f>-SUM($E61:F61)</f>
        <v>-9994.8281499999994</v>
      </c>
      <c r="G77" s="53">
        <f>-SUM($E61:G61)</f>
        <v>-37399.143649999998</v>
      </c>
      <c r="H77" s="53">
        <f>-SUM($E61:H61)</f>
        <v>-78046.043550000002</v>
      </c>
      <c r="I77" s="53">
        <f>-SUM($E61:I61)</f>
        <v>-124520.86865</v>
      </c>
      <c r="J77" s="53">
        <f>-SUM($E61:J61)</f>
        <v>-170995.69375000001</v>
      </c>
      <c r="K77" s="53">
        <f>-SUM($E61:K61)</f>
        <v>-217470.51884999999</v>
      </c>
      <c r="L77" s="53">
        <f>-SUM($E61:L61)</f>
        <v>-263945.34395000001</v>
      </c>
      <c r="M77" s="53"/>
      <c r="O77" s="42" t="s">
        <v>227</v>
      </c>
    </row>
    <row r="78" spans="1:15" x14ac:dyDescent="0.25">
      <c r="A78" s="157">
        <v>52</v>
      </c>
      <c r="C78" s="149">
        <v>356</v>
      </c>
      <c r="D78" s="150">
        <v>1.2E-2</v>
      </c>
      <c r="E78" s="53">
        <f>-SUM($E62:E62)</f>
        <v>0</v>
      </c>
      <c r="F78" s="53">
        <f>-SUM($E62:F62)</f>
        <v>-43627.362000000001</v>
      </c>
      <c r="G78" s="53">
        <f>-SUM($E62:G62)</f>
        <v>-157141.68</v>
      </c>
      <c r="H78" s="53">
        <f>-SUM($E62:H62)</f>
        <v>-321707.712</v>
      </c>
      <c r="I78" s="53">
        <f>-SUM($E62:I62)</f>
        <v>-579166.29</v>
      </c>
      <c r="J78" s="53">
        <f>-SUM($E62:J62)</f>
        <v>-973709.21400000004</v>
      </c>
      <c r="K78" s="53">
        <f>-SUM($E62:K62)</f>
        <v>-1501312.8960000002</v>
      </c>
      <c r="L78" s="53">
        <f>-SUM($E62:L62)</f>
        <v>-2138604.9420000003</v>
      </c>
      <c r="M78" s="53"/>
      <c r="O78" s="42" t="s">
        <v>228</v>
      </c>
    </row>
    <row r="79" spans="1:15" x14ac:dyDescent="0.25">
      <c r="A79" s="157">
        <v>53</v>
      </c>
      <c r="C79" s="149">
        <v>362</v>
      </c>
      <c r="D79" s="150">
        <v>1.61E-2</v>
      </c>
      <c r="E79" s="126"/>
      <c r="F79" s="126"/>
      <c r="G79" s="126"/>
      <c r="H79" s="126"/>
      <c r="I79" s="126"/>
      <c r="J79" s="126"/>
      <c r="K79" s="126"/>
      <c r="L79" s="126"/>
      <c r="M79" s="53"/>
    </row>
    <row r="80" spans="1:15" x14ac:dyDescent="0.25">
      <c r="A80" s="157">
        <v>54</v>
      </c>
      <c r="C80" s="149">
        <v>364</v>
      </c>
      <c r="D80" s="150">
        <v>2.06E-2</v>
      </c>
      <c r="E80" s="126"/>
      <c r="F80" s="126"/>
      <c r="G80" s="126"/>
      <c r="H80" s="126"/>
      <c r="I80" s="126"/>
      <c r="J80" s="126"/>
      <c r="K80" s="126"/>
      <c r="L80" s="126"/>
      <c r="M80" s="53"/>
    </row>
    <row r="81" spans="1:15" x14ac:dyDescent="0.25">
      <c r="A81" s="157">
        <v>55</v>
      </c>
      <c r="C81" s="149">
        <v>365</v>
      </c>
      <c r="D81" s="150">
        <v>2.35E-2</v>
      </c>
      <c r="E81" s="126"/>
      <c r="F81" s="126"/>
      <c r="G81" s="126"/>
      <c r="H81" s="126"/>
      <c r="I81" s="126"/>
      <c r="J81" s="126"/>
      <c r="K81" s="126"/>
      <c r="L81" s="126"/>
      <c r="M81" s="53"/>
    </row>
    <row r="82" spans="1:15" x14ac:dyDescent="0.25">
      <c r="A82" s="157">
        <v>56</v>
      </c>
      <c r="C82" s="149">
        <v>366</v>
      </c>
      <c r="D82" s="150">
        <v>2.6200000000000001E-2</v>
      </c>
      <c r="E82" s="126"/>
      <c r="F82" s="126"/>
      <c r="G82" s="126"/>
      <c r="H82" s="126"/>
      <c r="I82" s="126"/>
      <c r="J82" s="126"/>
      <c r="K82" s="126"/>
      <c r="L82" s="126"/>
      <c r="M82" s="53"/>
    </row>
    <row r="83" spans="1:15" x14ac:dyDescent="0.25">
      <c r="A83" s="157">
        <v>57</v>
      </c>
      <c r="C83" s="149">
        <v>367</v>
      </c>
      <c r="D83" s="150">
        <v>2.5499999999999998E-2</v>
      </c>
      <c r="E83" s="126"/>
      <c r="F83" s="126"/>
      <c r="G83" s="126"/>
      <c r="H83" s="126"/>
      <c r="I83" s="126"/>
      <c r="J83" s="126"/>
      <c r="K83" s="126"/>
      <c r="L83" s="126"/>
      <c r="M83" s="53"/>
    </row>
    <row r="84" spans="1:15" x14ac:dyDescent="0.25">
      <c r="A84" s="157">
        <v>58</v>
      </c>
      <c r="C84" s="149">
        <v>368</v>
      </c>
      <c r="D84" s="150">
        <v>6.4999999999999997E-3</v>
      </c>
      <c r="E84" s="126"/>
      <c r="F84" s="126"/>
      <c r="G84" s="126"/>
      <c r="H84" s="126"/>
      <c r="I84" s="126"/>
      <c r="J84" s="126"/>
      <c r="K84" s="126"/>
      <c r="L84" s="126"/>
      <c r="M84" s="53"/>
    </row>
    <row r="85" spans="1:15" x14ac:dyDescent="0.25">
      <c r="A85" s="157">
        <v>59</v>
      </c>
      <c r="C85" s="149">
        <v>370.01</v>
      </c>
      <c r="D85" s="150">
        <v>0.19350000000000001</v>
      </c>
      <c r="E85" s="127"/>
      <c r="F85" s="127"/>
      <c r="G85" s="127"/>
      <c r="H85" s="127"/>
      <c r="I85" s="127"/>
      <c r="J85" s="127"/>
      <c r="K85" s="127"/>
      <c r="L85" s="127"/>
      <c r="M85" s="53"/>
    </row>
    <row r="86" spans="1:15" x14ac:dyDescent="0.25">
      <c r="A86" s="157">
        <v>60</v>
      </c>
      <c r="C86" s="130" t="s">
        <v>162</v>
      </c>
      <c r="D86" s="19"/>
      <c r="E86" s="53">
        <f t="shared" ref="E86" si="22">SUM(E75:E85)</f>
        <v>0</v>
      </c>
      <c r="F86" s="53">
        <f t="shared" ref="F86:K86" si="23">SUM(F75:F85)</f>
        <v>-167391.84868365497</v>
      </c>
      <c r="G86" s="53">
        <f t="shared" si="23"/>
        <v>-767713.52081578691</v>
      </c>
      <c r="H86" s="53">
        <f t="shared" si="23"/>
        <v>-1908772.1968057293</v>
      </c>
      <c r="I86" s="53">
        <f t="shared" si="23"/>
        <v>-3695329.3834989923</v>
      </c>
      <c r="J86" s="53">
        <f t="shared" si="23"/>
        <v>-6229111.6020763861</v>
      </c>
      <c r="K86" s="53">
        <f t="shared" si="23"/>
        <v>-9541325.5585166309</v>
      </c>
      <c r="L86" s="53">
        <f t="shared" ref="L86" si="24">SUM(L75:L85)</f>
        <v>-13555326.796597661</v>
      </c>
      <c r="M86" s="53"/>
    </row>
    <row r="87" spans="1:15" x14ac:dyDescent="0.25">
      <c r="A87" s="157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</row>
    <row r="88" spans="1:15" x14ac:dyDescent="0.25">
      <c r="A88" s="157"/>
      <c r="C88" s="148" t="s">
        <v>136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</row>
    <row r="89" spans="1:15" s="7" customFormat="1" x14ac:dyDescent="0.25">
      <c r="A89" s="157">
        <v>61</v>
      </c>
      <c r="C89" s="130" t="s">
        <v>166</v>
      </c>
      <c r="D89" s="130"/>
      <c r="E89" s="147"/>
      <c r="F89" s="147">
        <f t="shared" ref="F89:L89" si="25">+F54+F86+F38</f>
        <v>28217752.910889588</v>
      </c>
      <c r="G89" s="147">
        <f t="shared" si="25"/>
        <v>51642665.745591618</v>
      </c>
      <c r="H89" s="147">
        <f t="shared" si="25"/>
        <v>79713740.847367853</v>
      </c>
      <c r="I89" s="147">
        <f t="shared" si="25"/>
        <v>113501466.59813905</v>
      </c>
      <c r="J89" s="147">
        <f t="shared" si="25"/>
        <v>147620029.96796352</v>
      </c>
      <c r="K89" s="147">
        <f t="shared" si="25"/>
        <v>164985917.77465713</v>
      </c>
      <c r="L89" s="147">
        <f t="shared" si="25"/>
        <v>188841091.90825471</v>
      </c>
      <c r="M89" s="130"/>
      <c r="O89" s="1"/>
    </row>
    <row r="90" spans="1:15" s="7" customFormat="1" x14ac:dyDescent="0.25">
      <c r="C90" s="130"/>
      <c r="D90" s="130"/>
      <c r="E90" s="147"/>
      <c r="F90" s="147"/>
      <c r="G90" s="147"/>
      <c r="H90" s="147"/>
      <c r="I90" s="147"/>
      <c r="J90" s="147"/>
      <c r="K90" s="147"/>
      <c r="L90" s="147"/>
      <c r="M90" s="130"/>
      <c r="O90" s="1"/>
    </row>
    <row r="91" spans="1:15" s="7" customFormat="1" x14ac:dyDescent="0.25">
      <c r="C91" s="144" t="s">
        <v>159</v>
      </c>
      <c r="D91" s="42" t="s">
        <v>81</v>
      </c>
      <c r="E91" s="42" t="s">
        <v>82</v>
      </c>
      <c r="F91" s="139" t="s">
        <v>83</v>
      </c>
      <c r="G91" s="42" t="s">
        <v>84</v>
      </c>
      <c r="H91" s="42" t="s">
        <v>85</v>
      </c>
      <c r="I91" s="42" t="s">
        <v>86</v>
      </c>
      <c r="J91" s="42" t="s">
        <v>87</v>
      </c>
      <c r="K91" s="141" t="s">
        <v>88</v>
      </c>
      <c r="L91" s="140" t="s">
        <v>142</v>
      </c>
      <c r="M91" s="141" t="s">
        <v>143</v>
      </c>
      <c r="N91"/>
      <c r="O91" s="141" t="s">
        <v>287</v>
      </c>
    </row>
    <row r="92" spans="1:15" x14ac:dyDescent="0.25">
      <c r="C92" s="148" t="s">
        <v>138</v>
      </c>
      <c r="D92" s="142"/>
      <c r="E92" s="131" t="s">
        <v>150</v>
      </c>
      <c r="F92" s="131" t="s">
        <v>150</v>
      </c>
      <c r="G92" s="131" t="s">
        <v>150</v>
      </c>
      <c r="H92" s="131" t="s">
        <v>150</v>
      </c>
      <c r="I92" s="131" t="s">
        <v>150</v>
      </c>
      <c r="J92" s="131" t="s">
        <v>150</v>
      </c>
      <c r="K92" s="131" t="s">
        <v>150</v>
      </c>
      <c r="L92" s="141"/>
      <c r="M92" s="143"/>
    </row>
    <row r="93" spans="1:15" x14ac:dyDescent="0.25">
      <c r="C93" s="130" t="s">
        <v>294</v>
      </c>
      <c r="D93" s="19"/>
      <c r="E93" s="131" t="s">
        <v>0</v>
      </c>
      <c r="F93" s="131" t="s">
        <v>1</v>
      </c>
      <c r="G93" s="131" t="s">
        <v>2</v>
      </c>
      <c r="H93" s="131" t="s">
        <v>3</v>
      </c>
      <c r="I93" s="131" t="s">
        <v>4</v>
      </c>
      <c r="J93" s="131" t="s">
        <v>5</v>
      </c>
      <c r="K93" s="131" t="s">
        <v>6</v>
      </c>
      <c r="L93" s="131"/>
      <c r="M93" s="19"/>
    </row>
    <row r="94" spans="1:15" x14ac:dyDescent="0.25">
      <c r="A94" s="2" t="s">
        <v>122</v>
      </c>
      <c r="C94" s="2" t="s">
        <v>21</v>
      </c>
      <c r="D94" s="2" t="s">
        <v>295</v>
      </c>
      <c r="E94" s="2">
        <v>2020</v>
      </c>
      <c r="F94" s="2">
        <v>2021</v>
      </c>
      <c r="G94" s="2">
        <v>2022</v>
      </c>
      <c r="H94" s="2">
        <v>2023</v>
      </c>
      <c r="I94" s="2">
        <v>2024</v>
      </c>
      <c r="J94" s="2">
        <v>2025</v>
      </c>
      <c r="K94" s="2">
        <v>2026</v>
      </c>
      <c r="L94" s="131"/>
      <c r="M94" s="2" t="s">
        <v>7</v>
      </c>
      <c r="O94" s="2" t="s">
        <v>121</v>
      </c>
    </row>
    <row r="95" spans="1:15" ht="15" customHeight="1" x14ac:dyDescent="0.25">
      <c r="A95" s="157">
        <v>1</v>
      </c>
      <c r="C95" s="146">
        <v>352</v>
      </c>
      <c r="D95" s="98">
        <v>2.4E-2</v>
      </c>
      <c r="E95" s="126"/>
      <c r="F95" s="126"/>
      <c r="G95" s="126"/>
      <c r="H95" s="126"/>
      <c r="I95" s="126"/>
      <c r="J95" s="126"/>
      <c r="K95" s="126"/>
      <c r="L95" s="131"/>
      <c r="M95" s="126"/>
      <c r="O95" s="158"/>
    </row>
    <row r="96" spans="1:15" x14ac:dyDescent="0.25">
      <c r="A96" s="157">
        <v>2</v>
      </c>
      <c r="C96" s="146">
        <v>353</v>
      </c>
      <c r="D96" s="98">
        <v>2.53E-2</v>
      </c>
      <c r="E96" s="126"/>
      <c r="F96" s="126"/>
      <c r="G96" s="126"/>
      <c r="H96" s="126"/>
      <c r="I96" s="126"/>
      <c r="J96" s="126"/>
      <c r="K96" s="126"/>
      <c r="L96" s="124"/>
      <c r="M96" s="126"/>
      <c r="O96" s="159"/>
    </row>
    <row r="97" spans="1:15" x14ac:dyDescent="0.25">
      <c r="A97" s="157">
        <v>3</v>
      </c>
      <c r="C97" s="146">
        <v>354</v>
      </c>
      <c r="D97" s="98">
        <v>1.37E-2</v>
      </c>
      <c r="E97" s="126"/>
      <c r="F97" s="126"/>
      <c r="G97" s="126"/>
      <c r="H97" s="126"/>
      <c r="I97" s="126"/>
      <c r="J97" s="126"/>
      <c r="K97" s="126"/>
      <c r="L97" s="124"/>
      <c r="M97" s="126"/>
      <c r="O97" s="159"/>
    </row>
    <row r="98" spans="1:15" x14ac:dyDescent="0.25">
      <c r="A98" s="157">
        <v>4</v>
      </c>
      <c r="C98" s="146">
        <v>356</v>
      </c>
      <c r="D98" s="98">
        <v>1.2E-2</v>
      </c>
      <c r="E98" s="126"/>
      <c r="F98" s="126"/>
      <c r="G98" s="126"/>
      <c r="H98" s="126"/>
      <c r="I98" s="126"/>
      <c r="J98" s="126"/>
      <c r="K98" s="126"/>
      <c r="L98" s="124"/>
      <c r="M98" s="126"/>
      <c r="O98" s="159"/>
    </row>
    <row r="99" spans="1:15" x14ac:dyDescent="0.25">
      <c r="A99" s="157">
        <v>5</v>
      </c>
      <c r="C99" s="146">
        <v>362</v>
      </c>
      <c r="D99" s="98">
        <v>1.61E-2</v>
      </c>
      <c r="E99" s="124">
        <v>3438499.1840588958</v>
      </c>
      <c r="F99" s="124">
        <v>27101919.787011698</v>
      </c>
      <c r="G99" s="124">
        <v>30929644.375686314</v>
      </c>
      <c r="H99" s="124">
        <v>55686252.630793594</v>
      </c>
      <c r="I99" s="124">
        <v>27503277.030193064</v>
      </c>
      <c r="J99" s="124">
        <v>44792342.407775447</v>
      </c>
      <c r="K99" s="124">
        <v>33307964.048253953</v>
      </c>
      <c r="L99" s="124"/>
      <c r="M99" s="53">
        <f t="shared" ref="M99:M105" si="26">SUM(E99:K99)</f>
        <v>222759899.46377295</v>
      </c>
      <c r="O99" s="230" t="s">
        <v>337</v>
      </c>
    </row>
    <row r="100" spans="1:15" x14ac:dyDescent="0.25">
      <c r="A100" s="157">
        <v>6</v>
      </c>
      <c r="C100" s="146">
        <v>364</v>
      </c>
      <c r="D100" s="98">
        <v>2.06E-2</v>
      </c>
      <c r="E100" s="124">
        <v>40546822</v>
      </c>
      <c r="F100" s="124">
        <v>43168111</v>
      </c>
      <c r="G100" s="124">
        <v>47116017</v>
      </c>
      <c r="H100" s="124">
        <v>46901380.5</v>
      </c>
      <c r="I100" s="124">
        <v>42134761</v>
      </c>
      <c r="J100" s="124">
        <v>45064016.5</v>
      </c>
      <c r="K100" s="124">
        <v>42271002</v>
      </c>
      <c r="L100" s="124"/>
      <c r="M100" s="53">
        <f t="shared" si="26"/>
        <v>307202110</v>
      </c>
      <c r="O100" s="230" t="s">
        <v>337</v>
      </c>
    </row>
    <row r="101" spans="1:15" x14ac:dyDescent="0.25">
      <c r="A101" s="157">
        <v>7</v>
      </c>
      <c r="C101" s="146">
        <v>365</v>
      </c>
      <c r="D101" s="98">
        <v>2.35E-2</v>
      </c>
      <c r="E101" s="124">
        <v>24538246</v>
      </c>
      <c r="F101" s="124">
        <v>23968184</v>
      </c>
      <c r="G101" s="124">
        <v>28034268</v>
      </c>
      <c r="H101" s="124">
        <v>28664332</v>
      </c>
      <c r="I101" s="124">
        <v>27156388</v>
      </c>
      <c r="J101" s="124">
        <v>26058344</v>
      </c>
      <c r="K101" s="124">
        <v>25547982</v>
      </c>
      <c r="L101" s="124"/>
      <c r="M101" s="53">
        <f t="shared" si="26"/>
        <v>183967744</v>
      </c>
      <c r="O101" s="230" t="s">
        <v>337</v>
      </c>
    </row>
    <row r="102" spans="1:15" x14ac:dyDescent="0.25">
      <c r="A102" s="157">
        <v>8</v>
      </c>
      <c r="C102" s="146">
        <v>366</v>
      </c>
      <c r="D102" s="98">
        <v>2.6200000000000001E-2</v>
      </c>
      <c r="E102" s="124">
        <v>0</v>
      </c>
      <c r="F102" s="124">
        <v>4596736.4000000004</v>
      </c>
      <c r="G102" s="124">
        <v>1563359</v>
      </c>
      <c r="H102" s="124">
        <v>2690012</v>
      </c>
      <c r="I102" s="124">
        <v>1809774</v>
      </c>
      <c r="J102" s="124">
        <v>2715591</v>
      </c>
      <c r="K102" s="124">
        <v>2769903</v>
      </c>
      <c r="L102" s="124"/>
      <c r="M102" s="53">
        <f t="shared" si="26"/>
        <v>16145375.4</v>
      </c>
      <c r="O102" s="230" t="s">
        <v>337</v>
      </c>
    </row>
    <row r="103" spans="1:15" x14ac:dyDescent="0.25">
      <c r="A103" s="157">
        <v>9</v>
      </c>
      <c r="C103" s="146">
        <v>367</v>
      </c>
      <c r="D103" s="98">
        <v>2.5499999999999998E-2</v>
      </c>
      <c r="E103" s="124">
        <v>13966103</v>
      </c>
      <c r="F103" s="124">
        <v>13407560.272399999</v>
      </c>
      <c r="G103" s="124">
        <v>14564728</v>
      </c>
      <c r="H103" s="124">
        <v>14357364.498862721</v>
      </c>
      <c r="I103" s="124">
        <v>14187073</v>
      </c>
      <c r="J103" s="124">
        <v>15022456</v>
      </c>
      <c r="K103" s="124">
        <v>14593669</v>
      </c>
      <c r="L103" s="124"/>
      <c r="M103" s="53">
        <f t="shared" si="26"/>
        <v>100098953.77126272</v>
      </c>
      <c r="O103" s="230" t="s">
        <v>337</v>
      </c>
    </row>
    <row r="104" spans="1:15" x14ac:dyDescent="0.25">
      <c r="A104" s="157">
        <v>10</v>
      </c>
      <c r="C104" s="146">
        <v>368</v>
      </c>
      <c r="D104" s="98">
        <v>6.4999999999999997E-3</v>
      </c>
      <c r="E104" s="124">
        <v>12674784</v>
      </c>
      <c r="F104" s="124">
        <v>16046332.56728</v>
      </c>
      <c r="G104" s="124">
        <v>15041971</v>
      </c>
      <c r="H104" s="124">
        <v>15843972</v>
      </c>
      <c r="I104" s="124">
        <v>14297712</v>
      </c>
      <c r="J104" s="124">
        <v>14924842</v>
      </c>
      <c r="K104" s="124">
        <v>14307180</v>
      </c>
      <c r="L104" s="124"/>
      <c r="M104" s="53">
        <f t="shared" si="26"/>
        <v>103136793.56727999</v>
      </c>
      <c r="O104" s="230" t="s">
        <v>337</v>
      </c>
    </row>
    <row r="105" spans="1:15" x14ac:dyDescent="0.25">
      <c r="A105" s="157">
        <v>11</v>
      </c>
      <c r="C105" s="146">
        <v>370.01</v>
      </c>
      <c r="D105" s="98">
        <v>0.19350000000000001</v>
      </c>
      <c r="E105" s="125">
        <v>12736644</v>
      </c>
      <c r="F105" s="125">
        <v>10185425</v>
      </c>
      <c r="G105" s="125">
        <v>10389133</v>
      </c>
      <c r="H105" s="125">
        <v>7413292</v>
      </c>
      <c r="I105" s="125">
        <v>0</v>
      </c>
      <c r="J105" s="125">
        <v>0</v>
      </c>
      <c r="K105" s="125">
        <v>0</v>
      </c>
      <c r="L105" s="124"/>
      <c r="M105" s="6">
        <f t="shared" si="26"/>
        <v>40724494</v>
      </c>
      <c r="O105" s="230" t="s">
        <v>337</v>
      </c>
    </row>
    <row r="106" spans="1:15" x14ac:dyDescent="0.25">
      <c r="A106" s="157">
        <v>12</v>
      </c>
      <c r="C106" s="130" t="s">
        <v>296</v>
      </c>
      <c r="D106" s="19"/>
      <c r="E106" s="124">
        <f t="shared" ref="E106:M106" si="27">SUM(E95:E105)</f>
        <v>107901098.1840589</v>
      </c>
      <c r="F106" s="53">
        <f t="shared" si="27"/>
        <v>138474269.0266917</v>
      </c>
      <c r="G106" s="53">
        <f t="shared" si="27"/>
        <v>147639120.37568632</v>
      </c>
      <c r="H106" s="53">
        <f t="shared" si="27"/>
        <v>171556605.62965631</v>
      </c>
      <c r="I106" s="53">
        <f t="shared" si="27"/>
        <v>127088985.03019306</v>
      </c>
      <c r="J106" s="53">
        <f t="shared" si="27"/>
        <v>148577591.90777546</v>
      </c>
      <c r="K106" s="53">
        <f t="shared" si="27"/>
        <v>132797700.04825395</v>
      </c>
      <c r="L106" s="124"/>
      <c r="M106" s="53">
        <f t="shared" si="27"/>
        <v>974035370.20231581</v>
      </c>
    </row>
    <row r="107" spans="1:15" x14ac:dyDescent="0.25">
      <c r="A107" s="157"/>
      <c r="C107" s="130"/>
      <c r="D107" s="19"/>
      <c r="E107" s="19"/>
      <c r="F107" s="19"/>
      <c r="G107" s="19"/>
      <c r="H107" s="19"/>
      <c r="I107" s="19"/>
      <c r="J107" s="19"/>
      <c r="K107" s="19"/>
      <c r="L107" s="124"/>
      <c r="M107" s="9"/>
      <c r="N107" s="19"/>
    </row>
    <row r="108" spans="1:15" x14ac:dyDescent="0.25">
      <c r="C108" s="148" t="s">
        <v>138</v>
      </c>
      <c r="D108" s="142"/>
      <c r="E108" s="1"/>
      <c r="F108" s="1"/>
      <c r="G108" s="1"/>
      <c r="H108" s="1"/>
      <c r="I108" s="1"/>
      <c r="J108" s="1"/>
      <c r="K108" s="1"/>
      <c r="L108" s="1"/>
      <c r="M108" s="143"/>
    </row>
    <row r="109" spans="1:15" x14ac:dyDescent="0.25">
      <c r="C109" s="130" t="s">
        <v>294</v>
      </c>
      <c r="D109" s="19"/>
      <c r="E109" s="131" t="s">
        <v>151</v>
      </c>
      <c r="F109" s="131" t="s">
        <v>152</v>
      </c>
      <c r="G109" s="131" t="s">
        <v>153</v>
      </c>
      <c r="H109" s="131" t="s">
        <v>154</v>
      </c>
      <c r="I109" s="131" t="s">
        <v>155</v>
      </c>
      <c r="J109" s="131" t="s">
        <v>156</v>
      </c>
      <c r="K109" s="131" t="s">
        <v>157</v>
      </c>
      <c r="L109" s="151" t="s">
        <v>275</v>
      </c>
      <c r="M109" s="19"/>
    </row>
    <row r="110" spans="1:15" x14ac:dyDescent="0.25">
      <c r="A110" s="2" t="s">
        <v>122</v>
      </c>
      <c r="C110" s="2" t="s">
        <v>21</v>
      </c>
      <c r="D110" s="2" t="s">
        <v>295</v>
      </c>
      <c r="E110" s="161" t="s">
        <v>277</v>
      </c>
      <c r="F110" s="2" t="s">
        <v>285</v>
      </c>
      <c r="G110" s="2" t="s">
        <v>278</v>
      </c>
      <c r="H110" s="2" t="s">
        <v>279</v>
      </c>
      <c r="I110" s="2" t="s">
        <v>280</v>
      </c>
      <c r="J110" s="2" t="s">
        <v>281</v>
      </c>
      <c r="K110" s="2" t="s">
        <v>282</v>
      </c>
      <c r="L110" s="2" t="s">
        <v>283</v>
      </c>
      <c r="M110" s="2" t="s">
        <v>7</v>
      </c>
      <c r="O110" s="2" t="s">
        <v>121</v>
      </c>
    </row>
    <row r="111" spans="1:15" ht="15" customHeight="1" x14ac:dyDescent="0.25">
      <c r="A111" s="157">
        <v>13</v>
      </c>
      <c r="C111" s="146">
        <v>352</v>
      </c>
      <c r="D111" s="98">
        <v>2.4E-2</v>
      </c>
      <c r="E111" s="126"/>
      <c r="F111" s="126"/>
      <c r="G111" s="126"/>
      <c r="H111" s="126"/>
      <c r="I111" s="126"/>
      <c r="J111" s="126"/>
      <c r="K111" s="126"/>
      <c r="L111" s="126"/>
      <c r="M111" s="126"/>
      <c r="O111" s="158"/>
    </row>
    <row r="112" spans="1:15" x14ac:dyDescent="0.25">
      <c r="A112" s="157">
        <v>14</v>
      </c>
      <c r="C112" s="146">
        <v>353</v>
      </c>
      <c r="D112" s="98">
        <v>2.53E-2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O112" s="159"/>
    </row>
    <row r="113" spans="1:15" x14ac:dyDescent="0.25">
      <c r="A113" s="157">
        <v>15</v>
      </c>
      <c r="C113" s="146">
        <v>354</v>
      </c>
      <c r="D113" s="98">
        <v>1.37E-2</v>
      </c>
      <c r="E113" s="126"/>
      <c r="F113" s="126"/>
      <c r="G113" s="126"/>
      <c r="H113" s="126"/>
      <c r="I113" s="126"/>
      <c r="J113" s="126"/>
      <c r="K113" s="126"/>
      <c r="L113" s="126"/>
      <c r="M113" s="126"/>
      <c r="O113" s="159"/>
    </row>
    <row r="114" spans="1:15" x14ac:dyDescent="0.25">
      <c r="A114" s="157">
        <v>16</v>
      </c>
      <c r="C114" s="146">
        <v>356</v>
      </c>
      <c r="D114" s="98">
        <v>1.2E-2</v>
      </c>
      <c r="E114" s="126"/>
      <c r="F114" s="126"/>
      <c r="G114" s="126"/>
      <c r="H114" s="126"/>
      <c r="I114" s="126"/>
      <c r="J114" s="126"/>
      <c r="K114" s="126"/>
      <c r="L114" s="126"/>
      <c r="M114" s="126"/>
      <c r="O114" s="159"/>
    </row>
    <row r="115" spans="1:15" x14ac:dyDescent="0.25">
      <c r="A115" s="157">
        <v>17</v>
      </c>
      <c r="C115" s="146">
        <v>362</v>
      </c>
      <c r="D115" s="98">
        <v>1.61E-2</v>
      </c>
      <c r="E115" s="124">
        <v>0</v>
      </c>
      <c r="F115" s="124">
        <f>+E99*0.75+F99*0.25+(F99/F$106*(-F$124+E$124))</f>
        <v>8219051.6154232984</v>
      </c>
      <c r="G115" s="124">
        <f t="shared" ref="G115:I115" si="28">+F99*0.75+G99*0.25+(G99/G$106*(-G$124+F$124))</f>
        <v>27694567.750509504</v>
      </c>
      <c r="H115" s="124">
        <f t="shared" si="28"/>
        <v>35645818.359230161</v>
      </c>
      <c r="I115" s="124">
        <f t="shared" si="28"/>
        <v>50466340.015565693</v>
      </c>
      <c r="J115" s="124">
        <f t="shared" ref="J115:J121" si="29">+I99*0.75+J99*0.25+(J99/J$106*(-J$124+I$124))</f>
        <v>30596410.199668802</v>
      </c>
      <c r="K115" s="124">
        <f t="shared" ref="K115:K121" si="30">+J99*0.75+K99*0.25+(K99/K$106*(-K$124+J$124))</f>
        <v>42672181.833067864</v>
      </c>
      <c r="L115" s="124">
        <f>+M99-SUM(E115:K115)</f>
        <v>27465529.690307647</v>
      </c>
      <c r="M115" s="53">
        <f>SUM(E115:L115)</f>
        <v>222759899.46377295</v>
      </c>
      <c r="O115" s="231" t="s">
        <v>229</v>
      </c>
    </row>
    <row r="116" spans="1:15" x14ac:dyDescent="0.25">
      <c r="A116" s="157">
        <v>18</v>
      </c>
      <c r="C116" s="146">
        <v>364</v>
      </c>
      <c r="D116" s="98">
        <v>2.06E-2</v>
      </c>
      <c r="E116" s="124">
        <v>4281117</v>
      </c>
      <c r="F116" s="124">
        <f t="shared" ref="F116:I121" si="31">+E100*0.75+F100*0.25+(F100/F$106*(-F$124+E$124))</f>
        <v>39393826.824751884</v>
      </c>
      <c r="G116" s="124">
        <f t="shared" si="31"/>
        <v>43600164.44733981</v>
      </c>
      <c r="H116" s="124">
        <f t="shared" si="31"/>
        <v>45821751.762263238</v>
      </c>
      <c r="I116" s="124">
        <f t="shared" si="31"/>
        <v>48506881.932303548</v>
      </c>
      <c r="J116" s="124">
        <f t="shared" si="29"/>
        <v>41630486.773153581</v>
      </c>
      <c r="K116" s="124">
        <f t="shared" si="30"/>
        <v>45318770.186141886</v>
      </c>
      <c r="L116" s="124">
        <f t="shared" ref="L116:L121" si="32">+M100-SUM(E116:K116)</f>
        <v>38649111.074046075</v>
      </c>
      <c r="M116" s="53">
        <f t="shared" ref="M116:M121" si="33">SUM(E116:L116)</f>
        <v>307202110</v>
      </c>
      <c r="O116" s="232"/>
    </row>
    <row r="117" spans="1:15" x14ac:dyDescent="0.25">
      <c r="A117" s="157">
        <v>19</v>
      </c>
      <c r="C117" s="146">
        <v>365</v>
      </c>
      <c r="D117" s="98">
        <v>2.35E-2</v>
      </c>
      <c r="E117" s="124">
        <f>12318598-5664</f>
        <v>12312934</v>
      </c>
      <c r="F117" s="124">
        <f t="shared" si="31"/>
        <v>23391700.354257625</v>
      </c>
      <c r="G117" s="124">
        <f t="shared" si="31"/>
        <v>24654522.981905095</v>
      </c>
      <c r="H117" s="124">
        <f t="shared" si="31"/>
        <v>27433572.938457452</v>
      </c>
      <c r="I117" s="124">
        <f t="shared" si="31"/>
        <v>30090148.725706272</v>
      </c>
      <c r="J117" s="124">
        <f t="shared" si="29"/>
        <v>26166817.83202235</v>
      </c>
      <c r="K117" s="124">
        <f t="shared" si="30"/>
        <v>26506737.330024216</v>
      </c>
      <c r="L117" s="124">
        <f t="shared" si="32"/>
        <v>13411309.837626994</v>
      </c>
      <c r="M117" s="53">
        <f t="shared" si="33"/>
        <v>183967744</v>
      </c>
      <c r="O117" s="232"/>
    </row>
    <row r="118" spans="1:15" x14ac:dyDescent="0.25">
      <c r="A118" s="157">
        <v>20</v>
      </c>
      <c r="C118" s="146">
        <v>366</v>
      </c>
      <c r="D118" s="98">
        <v>2.6200000000000001E-2</v>
      </c>
      <c r="E118" s="124">
        <v>250490</v>
      </c>
      <c r="F118" s="124">
        <f t="shared" si="31"/>
        <v>956626.25257896539</v>
      </c>
      <c r="G118" s="124">
        <f t="shared" si="31"/>
        <v>3819979.1194527559</v>
      </c>
      <c r="H118" s="124">
        <f t="shared" si="31"/>
        <v>1773867.7275753298</v>
      </c>
      <c r="I118" s="124">
        <f t="shared" si="31"/>
        <v>2590096.0735898432</v>
      </c>
      <c r="J118" s="124">
        <f t="shared" si="29"/>
        <v>1961710.5354043376</v>
      </c>
      <c r="K118" s="124">
        <f t="shared" si="30"/>
        <v>2791616.9592452967</v>
      </c>
      <c r="L118" s="124">
        <f t="shared" si="32"/>
        <v>2000988.7321534716</v>
      </c>
      <c r="M118" s="53">
        <f t="shared" si="33"/>
        <v>16145375.4</v>
      </c>
      <c r="O118" s="232"/>
    </row>
    <row r="119" spans="1:15" x14ac:dyDescent="0.25">
      <c r="A119" s="157">
        <v>21</v>
      </c>
      <c r="C119" s="146">
        <v>367</v>
      </c>
      <c r="D119" s="98">
        <v>2.5499999999999998E-2</v>
      </c>
      <c r="E119" s="124">
        <v>428901.28</v>
      </c>
      <c r="F119" s="124">
        <f t="shared" si="31"/>
        <v>13264822.985999268</v>
      </c>
      <c r="G119" s="124">
        <f t="shared" si="31"/>
        <v>13525311.742318137</v>
      </c>
      <c r="H119" s="124">
        <f t="shared" si="31"/>
        <v>14133115.058942929</v>
      </c>
      <c r="I119" s="124">
        <f t="shared" si="31"/>
        <v>15256614.000311125</v>
      </c>
      <c r="J119" s="124">
        <f t="shared" si="29"/>
        <v>13983692.060217226</v>
      </c>
      <c r="K119" s="124">
        <f t="shared" si="30"/>
        <v>15244276.131440017</v>
      </c>
      <c r="L119" s="124">
        <f t="shared" si="32"/>
        <v>14262220.512034014</v>
      </c>
      <c r="M119" s="53">
        <f t="shared" si="33"/>
        <v>100098953.77126272</v>
      </c>
      <c r="O119" s="232"/>
    </row>
    <row r="120" spans="1:15" x14ac:dyDescent="0.25">
      <c r="A120" s="157">
        <v>22</v>
      </c>
      <c r="C120" s="146">
        <v>368</v>
      </c>
      <c r="D120" s="98">
        <v>6.4999999999999997E-3</v>
      </c>
      <c r="E120" s="124">
        <v>231365</v>
      </c>
      <c r="F120" s="124">
        <f t="shared" si="31"/>
        <v>12845488.317032075</v>
      </c>
      <c r="G120" s="124">
        <f t="shared" si="31"/>
        <v>15618080.840592792</v>
      </c>
      <c r="H120" s="124">
        <f t="shared" si="31"/>
        <v>14823376.36827834</v>
      </c>
      <c r="I120" s="124">
        <f t="shared" si="31"/>
        <v>16406574.251733303</v>
      </c>
      <c r="J120" s="124">
        <f t="shared" si="29"/>
        <v>14044946.406586317</v>
      </c>
      <c r="K120" s="124">
        <f t="shared" si="30"/>
        <v>15092984.4356227</v>
      </c>
      <c r="L120" s="124">
        <f t="shared" si="32"/>
        <v>14073977.947434455</v>
      </c>
      <c r="M120" s="53">
        <f t="shared" si="33"/>
        <v>103136793.56727999</v>
      </c>
      <c r="O120" s="232"/>
    </row>
    <row r="121" spans="1:15" x14ac:dyDescent="0.25">
      <c r="A121" s="157">
        <v>23</v>
      </c>
      <c r="C121" s="146">
        <v>370.01</v>
      </c>
      <c r="D121" s="98">
        <v>0.19350000000000001</v>
      </c>
      <c r="E121" s="125">
        <v>0</v>
      </c>
      <c r="F121" s="125">
        <f t="shared" si="31"/>
        <v>11672170.556735711</v>
      </c>
      <c r="G121" s="125">
        <f t="shared" si="31"/>
        <v>10113990.863258481</v>
      </c>
      <c r="H121" s="125">
        <f t="shared" si="31"/>
        <v>9449080.9660768695</v>
      </c>
      <c r="I121" s="125">
        <f t="shared" si="31"/>
        <v>5559969</v>
      </c>
      <c r="J121" s="125">
        <f t="shared" si="29"/>
        <v>0</v>
      </c>
      <c r="K121" s="125">
        <f t="shared" si="30"/>
        <v>0</v>
      </c>
      <c r="L121" s="125">
        <f t="shared" si="32"/>
        <v>3929282.6139289439</v>
      </c>
      <c r="M121" s="6">
        <f t="shared" si="33"/>
        <v>40724494</v>
      </c>
      <c r="O121" s="232"/>
    </row>
    <row r="122" spans="1:15" x14ac:dyDescent="0.25">
      <c r="A122" s="157">
        <v>24</v>
      </c>
      <c r="C122" s="130" t="s">
        <v>164</v>
      </c>
      <c r="D122" s="19"/>
      <c r="E122" s="53">
        <f t="shared" ref="E122:M122" si="34">SUM(E111:E121)</f>
        <v>17504807.280000001</v>
      </c>
      <c r="F122" s="53">
        <f t="shared" si="34"/>
        <v>109743686.90677881</v>
      </c>
      <c r="G122" s="53">
        <f t="shared" si="34"/>
        <v>139026617.74537659</v>
      </c>
      <c r="H122" s="53">
        <f t="shared" si="34"/>
        <v>149080583.18082434</v>
      </c>
      <c r="I122" s="53">
        <f t="shared" si="34"/>
        <v>168876623.99920979</v>
      </c>
      <c r="J122" s="53">
        <f t="shared" si="34"/>
        <v>128384063.80705263</v>
      </c>
      <c r="K122" s="53">
        <f t="shared" si="34"/>
        <v>147626566.87554196</v>
      </c>
      <c r="L122" s="53">
        <f t="shared" ref="L122" si="35">SUM(L111:L121)</f>
        <v>113792420.4075316</v>
      </c>
      <c r="M122" s="53">
        <f t="shared" si="34"/>
        <v>974035370.20231581</v>
      </c>
    </row>
    <row r="123" spans="1:15" x14ac:dyDescent="0.25">
      <c r="A123" s="157"/>
      <c r="C123" s="130"/>
      <c r="D123" s="19"/>
      <c r="E123" s="53"/>
      <c r="F123" s="53"/>
      <c r="G123" s="53"/>
      <c r="H123" s="53"/>
      <c r="I123" s="53"/>
      <c r="J123" s="53"/>
      <c r="K123" s="53"/>
      <c r="L123" s="53"/>
      <c r="M123" s="9"/>
      <c r="N123" s="9"/>
    </row>
    <row r="124" spans="1:15" x14ac:dyDescent="0.25">
      <c r="A124" s="157"/>
      <c r="C124" s="131" t="s">
        <v>160</v>
      </c>
      <c r="D124" s="19"/>
      <c r="E124" s="53">
        <v>20472274</v>
      </c>
      <c r="F124" s="53">
        <f t="shared" ref="F124:L124" si="36">+E124/E106*F106</f>
        <v>26272977.98793827</v>
      </c>
      <c r="G124" s="53">
        <f t="shared" si="36"/>
        <v>28011842.106502049</v>
      </c>
      <c r="H124" s="53">
        <f t="shared" si="36"/>
        <v>32549750.614856534</v>
      </c>
      <c r="I124" s="53">
        <f t="shared" si="36"/>
        <v>24112827.095437251</v>
      </c>
      <c r="J124" s="53">
        <f t="shared" si="36"/>
        <v>28189900.037973296</v>
      </c>
      <c r="K124" s="53">
        <f t="shared" si="36"/>
        <v>25195952.105326388</v>
      </c>
      <c r="L124" s="53">
        <f t="shared" si="36"/>
        <v>0</v>
      </c>
      <c r="M124" s="9"/>
      <c r="N124" s="9"/>
    </row>
    <row r="125" spans="1:15" x14ac:dyDescent="0.25">
      <c r="A125" s="157"/>
      <c r="C125" s="130"/>
      <c r="D125" s="19"/>
      <c r="E125" s="53"/>
      <c r="F125" s="53"/>
      <c r="G125" s="53"/>
      <c r="H125" s="53"/>
      <c r="I125" s="53"/>
      <c r="J125" s="53"/>
      <c r="K125" s="53"/>
      <c r="L125" s="53"/>
      <c r="M125" s="9"/>
      <c r="N125" s="9"/>
    </row>
    <row r="126" spans="1:15" x14ac:dyDescent="0.25">
      <c r="A126" s="157"/>
      <c r="C126" s="148" t="s">
        <v>138</v>
      </c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5" x14ac:dyDescent="0.25">
      <c r="A127" s="157"/>
      <c r="C127" s="130" t="s">
        <v>158</v>
      </c>
      <c r="D127" s="19"/>
      <c r="E127" s="131" t="s">
        <v>151</v>
      </c>
      <c r="F127" s="131" t="s">
        <v>152</v>
      </c>
      <c r="G127" s="131" t="s">
        <v>153</v>
      </c>
      <c r="H127" s="131" t="s">
        <v>154</v>
      </c>
      <c r="I127" s="131" t="s">
        <v>155</v>
      </c>
      <c r="J127" s="131" t="s">
        <v>156</v>
      </c>
      <c r="K127" s="131" t="s">
        <v>157</v>
      </c>
      <c r="L127" s="151" t="s">
        <v>275</v>
      </c>
      <c r="M127" s="19"/>
      <c r="N127" s="19"/>
    </row>
    <row r="128" spans="1:15" x14ac:dyDescent="0.25">
      <c r="A128" s="157"/>
      <c r="C128" s="2" t="s">
        <v>21</v>
      </c>
      <c r="D128" s="2" t="s">
        <v>295</v>
      </c>
      <c r="E128" s="161" t="s">
        <v>284</v>
      </c>
      <c r="F128" s="161">
        <v>44286</v>
      </c>
      <c r="G128" s="161">
        <v>44651</v>
      </c>
      <c r="H128" s="161">
        <v>45016</v>
      </c>
      <c r="I128" s="161">
        <v>45382</v>
      </c>
      <c r="J128" s="161">
        <v>45747</v>
      </c>
      <c r="K128" s="161">
        <v>46112</v>
      </c>
      <c r="L128" s="161" t="s">
        <v>286</v>
      </c>
      <c r="M128" s="19"/>
      <c r="N128" s="19"/>
      <c r="O128" s="2" t="s">
        <v>121</v>
      </c>
    </row>
    <row r="129" spans="1:15" x14ac:dyDescent="0.25">
      <c r="A129" s="157">
        <v>25</v>
      </c>
      <c r="C129" s="146">
        <v>352</v>
      </c>
      <c r="D129" s="98">
        <v>2.4E-2</v>
      </c>
      <c r="E129" s="126"/>
      <c r="F129" s="126"/>
      <c r="G129" s="126"/>
      <c r="H129" s="126"/>
      <c r="I129" s="126"/>
      <c r="J129" s="126"/>
      <c r="K129" s="126"/>
      <c r="L129" s="126"/>
      <c r="M129" s="53"/>
    </row>
    <row r="130" spans="1:15" x14ac:dyDescent="0.25">
      <c r="A130" s="157">
        <v>26</v>
      </c>
      <c r="C130" s="146">
        <v>353</v>
      </c>
      <c r="D130" s="98">
        <v>2.53E-2</v>
      </c>
      <c r="E130" s="126"/>
      <c r="F130" s="126"/>
      <c r="G130" s="126"/>
      <c r="H130" s="126"/>
      <c r="I130" s="126"/>
      <c r="J130" s="126"/>
      <c r="K130" s="126"/>
      <c r="L130" s="126"/>
      <c r="M130" s="53"/>
    </row>
    <row r="131" spans="1:15" x14ac:dyDescent="0.25">
      <c r="A131" s="157">
        <v>27</v>
      </c>
      <c r="C131" s="146">
        <v>354</v>
      </c>
      <c r="D131" s="98">
        <v>1.37E-2</v>
      </c>
      <c r="E131" s="126"/>
      <c r="F131" s="126"/>
      <c r="G131" s="126"/>
      <c r="H131" s="126"/>
      <c r="I131" s="126"/>
      <c r="J131" s="126"/>
      <c r="K131" s="126"/>
      <c r="L131" s="126"/>
      <c r="M131" s="53"/>
    </row>
    <row r="132" spans="1:15" x14ac:dyDescent="0.25">
      <c r="A132" s="157">
        <v>28</v>
      </c>
      <c r="C132" s="146">
        <v>356</v>
      </c>
      <c r="D132" s="98">
        <v>1.2E-2</v>
      </c>
      <c r="E132" s="126"/>
      <c r="F132" s="126"/>
      <c r="G132" s="126"/>
      <c r="H132" s="126"/>
      <c r="I132" s="126"/>
      <c r="J132" s="126"/>
      <c r="K132" s="126"/>
      <c r="L132" s="126"/>
      <c r="M132" s="53"/>
    </row>
    <row r="133" spans="1:15" x14ac:dyDescent="0.25">
      <c r="A133" s="157">
        <v>29</v>
      </c>
      <c r="C133" s="146">
        <v>362</v>
      </c>
      <c r="D133" s="98">
        <v>1.61E-2</v>
      </c>
      <c r="E133" s="53">
        <f>SUM($E115:E115)</f>
        <v>0</v>
      </c>
      <c r="F133" s="53">
        <f>SUM($E115:F115)</f>
        <v>8219051.6154232984</v>
      </c>
      <c r="G133" s="53">
        <f>SUM($E115:G115)</f>
        <v>35913619.3659328</v>
      </c>
      <c r="H133" s="53">
        <f>SUM($E115:H115)</f>
        <v>71559437.725162953</v>
      </c>
      <c r="I133" s="53">
        <f>SUM($E115:I115)</f>
        <v>122025777.74072865</v>
      </c>
      <c r="J133" s="53">
        <f>SUM($E115:J115)</f>
        <v>152622187.94039744</v>
      </c>
      <c r="K133" s="53">
        <f>SUM($E115:K115)</f>
        <v>195294369.77346531</v>
      </c>
      <c r="L133" s="53">
        <f>SUM($E115:L115)</f>
        <v>222759899.46377295</v>
      </c>
      <c r="M133" s="53"/>
      <c r="O133" s="42" t="s">
        <v>230</v>
      </c>
    </row>
    <row r="134" spans="1:15" x14ac:dyDescent="0.25">
      <c r="A134" s="157">
        <v>30</v>
      </c>
      <c r="C134" s="146">
        <v>364</v>
      </c>
      <c r="D134" s="98">
        <v>2.06E-2</v>
      </c>
      <c r="E134" s="53">
        <f>SUM($E116:E116)</f>
        <v>4281117</v>
      </c>
      <c r="F134" s="53">
        <f>SUM($E116:F116)</f>
        <v>43674943.824751884</v>
      </c>
      <c r="G134" s="53">
        <f>SUM($E116:G116)</f>
        <v>87275108.272091687</v>
      </c>
      <c r="H134" s="53">
        <f>SUM($E116:H116)</f>
        <v>133096860.03435493</v>
      </c>
      <c r="I134" s="53">
        <f>SUM($E116:I116)</f>
        <v>181603741.96665847</v>
      </c>
      <c r="J134" s="53">
        <f>SUM($E116:J116)</f>
        <v>223234228.73981205</v>
      </c>
      <c r="K134" s="53">
        <f>SUM($E116:K116)</f>
        <v>268552998.92595392</v>
      </c>
      <c r="L134" s="53">
        <f>SUM($E116:L116)</f>
        <v>307202110</v>
      </c>
      <c r="M134" s="53"/>
      <c r="O134" s="42" t="s">
        <v>231</v>
      </c>
    </row>
    <row r="135" spans="1:15" x14ac:dyDescent="0.25">
      <c r="A135" s="157">
        <v>31</v>
      </c>
      <c r="C135" s="146">
        <v>365</v>
      </c>
      <c r="D135" s="98">
        <v>2.35E-2</v>
      </c>
      <c r="E135" s="53">
        <f>SUM($E117:E117)</f>
        <v>12312934</v>
      </c>
      <c r="F135" s="53">
        <f>SUM($E117:F117)</f>
        <v>35704634.354257628</v>
      </c>
      <c r="G135" s="53">
        <f>SUM($E117:G117)</f>
        <v>60359157.336162724</v>
      </c>
      <c r="H135" s="53">
        <f>SUM($E117:H117)</f>
        <v>87792730.274620175</v>
      </c>
      <c r="I135" s="53">
        <f>SUM($E117:I117)</f>
        <v>117882879.00032645</v>
      </c>
      <c r="J135" s="53">
        <f>SUM($E117:J117)</f>
        <v>144049696.83234879</v>
      </c>
      <c r="K135" s="53">
        <f>SUM($E117:K117)</f>
        <v>170556434.16237301</v>
      </c>
      <c r="L135" s="53">
        <f>SUM($E117:L117)</f>
        <v>183967744</v>
      </c>
      <c r="M135" s="53"/>
      <c r="O135" s="42" t="s">
        <v>232</v>
      </c>
    </row>
    <row r="136" spans="1:15" x14ac:dyDescent="0.25">
      <c r="A136" s="157">
        <v>32</v>
      </c>
      <c r="C136" s="146">
        <v>366</v>
      </c>
      <c r="D136" s="98">
        <v>2.6200000000000001E-2</v>
      </c>
      <c r="E136" s="53">
        <f>SUM($E118:E118)</f>
        <v>250490</v>
      </c>
      <c r="F136" s="53">
        <f>SUM($E118:F118)</f>
        <v>1207116.2525789654</v>
      </c>
      <c r="G136" s="53">
        <f>SUM($E118:G118)</f>
        <v>5027095.3720317213</v>
      </c>
      <c r="H136" s="53">
        <f>SUM($E118:H118)</f>
        <v>6800963.0996070514</v>
      </c>
      <c r="I136" s="53">
        <f>SUM($E118:I118)</f>
        <v>9391059.173196895</v>
      </c>
      <c r="J136" s="53">
        <f>SUM($E118:J118)</f>
        <v>11352769.708601233</v>
      </c>
      <c r="K136" s="53">
        <f>SUM($E118:K118)</f>
        <v>14144386.667846529</v>
      </c>
      <c r="L136" s="53">
        <f>SUM($E118:L118)</f>
        <v>16145375.4</v>
      </c>
      <c r="M136" s="53"/>
      <c r="O136" s="42" t="s">
        <v>233</v>
      </c>
    </row>
    <row r="137" spans="1:15" x14ac:dyDescent="0.25">
      <c r="A137" s="157">
        <v>33</v>
      </c>
      <c r="C137" s="146">
        <v>367</v>
      </c>
      <c r="D137" s="98">
        <v>2.5499999999999998E-2</v>
      </c>
      <c r="E137" s="53">
        <f>SUM($E119:E119)</f>
        <v>428901.28</v>
      </c>
      <c r="F137" s="53">
        <f>SUM($E119:F119)</f>
        <v>13693724.265999267</v>
      </c>
      <c r="G137" s="53">
        <f>SUM($E119:G119)</f>
        <v>27219036.008317403</v>
      </c>
      <c r="H137" s="53">
        <f>SUM($E119:H119)</f>
        <v>41352151.067260332</v>
      </c>
      <c r="I137" s="53">
        <f>SUM($E119:I119)</f>
        <v>56608765.067571461</v>
      </c>
      <c r="J137" s="53">
        <f>SUM($E119:J119)</f>
        <v>70592457.127788693</v>
      </c>
      <c r="K137" s="53">
        <f>SUM($E119:K119)</f>
        <v>85836733.259228706</v>
      </c>
      <c r="L137" s="53">
        <f>SUM($E119:L119)</f>
        <v>100098953.77126272</v>
      </c>
      <c r="M137" s="53"/>
      <c r="O137" s="42" t="s">
        <v>234</v>
      </c>
    </row>
    <row r="138" spans="1:15" x14ac:dyDescent="0.25">
      <c r="A138" s="157">
        <v>34</v>
      </c>
      <c r="C138" s="146">
        <v>368</v>
      </c>
      <c r="D138" s="98">
        <v>6.4999999999999997E-3</v>
      </c>
      <c r="E138" s="53">
        <f>SUM($E120:E120)</f>
        <v>231365</v>
      </c>
      <c r="F138" s="53">
        <f>SUM($E120:F120)</f>
        <v>13076853.317032075</v>
      </c>
      <c r="G138" s="53">
        <f>SUM($E120:G120)</f>
        <v>28694934.157624867</v>
      </c>
      <c r="H138" s="53">
        <f>SUM($E120:H120)</f>
        <v>43518310.52590321</v>
      </c>
      <c r="I138" s="53">
        <f>SUM($E120:I120)</f>
        <v>59924884.777636513</v>
      </c>
      <c r="J138" s="53">
        <f>SUM($E120:J120)</f>
        <v>73969831.184222832</v>
      </c>
      <c r="K138" s="53">
        <f>SUM($E120:K120)</f>
        <v>89062815.619845539</v>
      </c>
      <c r="L138" s="53">
        <f>SUM($E120:L120)</f>
        <v>103136793.56727999</v>
      </c>
      <c r="M138" s="53"/>
      <c r="O138" s="42" t="s">
        <v>235</v>
      </c>
    </row>
    <row r="139" spans="1:15" x14ac:dyDescent="0.25">
      <c r="A139" s="157">
        <v>35</v>
      </c>
      <c r="C139" s="146">
        <v>370.01</v>
      </c>
      <c r="D139" s="98">
        <v>0.19350000000000001</v>
      </c>
      <c r="E139" s="6">
        <f>SUM($E121:E121)</f>
        <v>0</v>
      </c>
      <c r="F139" s="6">
        <f>SUM($E121:F121)</f>
        <v>11672170.556735711</v>
      </c>
      <c r="G139" s="6">
        <f>SUM($E121:G121)</f>
        <v>21786161.41999419</v>
      </c>
      <c r="H139" s="6">
        <f>SUM($E121:H121)</f>
        <v>31235242.38607106</v>
      </c>
      <c r="I139" s="6">
        <f>SUM($E121:I121)</f>
        <v>36795211.386071056</v>
      </c>
      <c r="J139" s="6">
        <f>SUM($E121:J121)</f>
        <v>36795211.386071056</v>
      </c>
      <c r="K139" s="6">
        <f>SUM($E121:K121)</f>
        <v>36795211.386071056</v>
      </c>
      <c r="L139" s="6">
        <f>SUM($E121:L121)</f>
        <v>40724494</v>
      </c>
      <c r="M139" s="53"/>
      <c r="O139" s="42" t="s">
        <v>236</v>
      </c>
    </row>
    <row r="140" spans="1:15" x14ac:dyDescent="0.25">
      <c r="A140" s="157">
        <v>36</v>
      </c>
      <c r="C140" s="130" t="s">
        <v>161</v>
      </c>
      <c r="D140" s="19"/>
      <c r="E140" s="53">
        <f t="shared" ref="E140:K140" si="37">SUM(E129:E139)</f>
        <v>17504807.280000001</v>
      </c>
      <c r="F140" s="53">
        <f t="shared" si="37"/>
        <v>127248494.18677883</v>
      </c>
      <c r="G140" s="53">
        <f t="shared" si="37"/>
        <v>266275111.93215537</v>
      </c>
      <c r="H140" s="53">
        <f t="shared" si="37"/>
        <v>415355695.11297977</v>
      </c>
      <c r="I140" s="53">
        <f t="shared" si="37"/>
        <v>584232319.11218953</v>
      </c>
      <c r="J140" s="53">
        <f t="shared" si="37"/>
        <v>712616382.91924214</v>
      </c>
      <c r="K140" s="53">
        <f t="shared" si="37"/>
        <v>860242949.79478419</v>
      </c>
      <c r="L140" s="53">
        <f t="shared" ref="L140" si="38">SUM(L129:L139)</f>
        <v>974035370.20231581</v>
      </c>
      <c r="M140" s="53"/>
    </row>
    <row r="141" spans="1:15" x14ac:dyDescent="0.25">
      <c r="A141" s="157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</row>
    <row r="142" spans="1:15" x14ac:dyDescent="0.25">
      <c r="A142" s="157"/>
      <c r="C142" s="148" t="s">
        <v>138</v>
      </c>
      <c r="D142" s="19"/>
      <c r="E142" s="53"/>
      <c r="F142" s="53"/>
      <c r="G142" s="53"/>
      <c r="H142" s="53"/>
      <c r="I142" s="53"/>
      <c r="J142" s="53"/>
      <c r="K142" s="53"/>
      <c r="L142" s="53"/>
      <c r="M142" s="19"/>
    </row>
    <row r="143" spans="1:15" x14ac:dyDescent="0.25">
      <c r="A143" s="157"/>
      <c r="C143" s="130" t="s">
        <v>135</v>
      </c>
      <c r="D143" s="19"/>
      <c r="E143" s="131" t="s">
        <v>151</v>
      </c>
      <c r="F143" s="131" t="s">
        <v>152</v>
      </c>
      <c r="G143" s="131" t="s">
        <v>153</v>
      </c>
      <c r="H143" s="131" t="s">
        <v>154</v>
      </c>
      <c r="I143" s="131" t="s">
        <v>155</v>
      </c>
      <c r="J143" s="131" t="s">
        <v>156</v>
      </c>
      <c r="K143" s="131" t="s">
        <v>157</v>
      </c>
      <c r="L143" s="151" t="s">
        <v>275</v>
      </c>
      <c r="M143" s="19"/>
    </row>
    <row r="144" spans="1:15" x14ac:dyDescent="0.25">
      <c r="A144" s="157"/>
      <c r="C144" s="2" t="s">
        <v>21</v>
      </c>
      <c r="D144" s="2" t="s">
        <v>295</v>
      </c>
      <c r="E144" s="161" t="s">
        <v>277</v>
      </c>
      <c r="F144" s="2" t="s">
        <v>285</v>
      </c>
      <c r="G144" s="2" t="s">
        <v>278</v>
      </c>
      <c r="H144" s="2" t="s">
        <v>279</v>
      </c>
      <c r="I144" s="2" t="s">
        <v>280</v>
      </c>
      <c r="J144" s="2" t="s">
        <v>281</v>
      </c>
      <c r="K144" s="2" t="s">
        <v>282</v>
      </c>
      <c r="L144" s="2" t="s">
        <v>283</v>
      </c>
      <c r="M144" s="19"/>
      <c r="O144" s="2" t="s">
        <v>121</v>
      </c>
    </row>
    <row r="145" spans="1:15" x14ac:dyDescent="0.25">
      <c r="A145" s="157">
        <v>37</v>
      </c>
      <c r="C145" s="146">
        <v>352</v>
      </c>
      <c r="D145" s="98">
        <v>2.4E-2</v>
      </c>
      <c r="E145" s="126"/>
      <c r="F145" s="126"/>
      <c r="G145" s="126"/>
      <c r="H145" s="126"/>
      <c r="I145" s="126"/>
      <c r="J145" s="126"/>
      <c r="K145" s="126"/>
      <c r="L145" s="126"/>
      <c r="M145" s="53"/>
    </row>
    <row r="146" spans="1:15" x14ac:dyDescent="0.25">
      <c r="A146" s="157">
        <v>38</v>
      </c>
      <c r="C146" s="146">
        <v>353</v>
      </c>
      <c r="D146" s="98">
        <v>2.53E-2</v>
      </c>
      <c r="E146" s="126"/>
      <c r="F146" s="126"/>
      <c r="G146" s="126"/>
      <c r="H146" s="126"/>
      <c r="I146" s="126"/>
      <c r="J146" s="126"/>
      <c r="K146" s="126"/>
      <c r="L146" s="126"/>
      <c r="M146" s="53"/>
    </row>
    <row r="147" spans="1:15" x14ac:dyDescent="0.25">
      <c r="A147" s="157">
        <v>39</v>
      </c>
      <c r="C147" s="146">
        <v>354</v>
      </c>
      <c r="D147" s="98">
        <v>1.37E-2</v>
      </c>
      <c r="E147" s="126"/>
      <c r="F147" s="126"/>
      <c r="G147" s="126"/>
      <c r="H147" s="126"/>
      <c r="I147" s="126"/>
      <c r="J147" s="126"/>
      <c r="K147" s="126"/>
      <c r="L147" s="126"/>
      <c r="M147" s="53"/>
    </row>
    <row r="148" spans="1:15" x14ac:dyDescent="0.25">
      <c r="A148" s="157">
        <v>40</v>
      </c>
      <c r="C148" s="146">
        <v>356</v>
      </c>
      <c r="D148" s="98">
        <v>1.2E-2</v>
      </c>
      <c r="E148" s="126"/>
      <c r="F148" s="126"/>
      <c r="G148" s="126"/>
      <c r="H148" s="126"/>
      <c r="I148" s="126"/>
      <c r="J148" s="126"/>
      <c r="K148" s="126"/>
      <c r="L148" s="126"/>
      <c r="M148" s="53"/>
      <c r="O148" s="140"/>
    </row>
    <row r="149" spans="1:15" x14ac:dyDescent="0.25">
      <c r="A149" s="157">
        <v>41</v>
      </c>
      <c r="C149" s="146">
        <v>362</v>
      </c>
      <c r="D149" s="98">
        <v>1.61E-2</v>
      </c>
      <c r="E149" s="124">
        <f>+E115*$D149*0.5</f>
        <v>0</v>
      </c>
      <c r="F149" s="53">
        <f>+F115*$D149*0.5+E133*$D115</f>
        <v>66163.365504157555</v>
      </c>
      <c r="G149" s="53">
        <f t="shared" ref="G149:L149" si="39">+G115*$D149*0.5+F133*$D115</f>
        <v>355268.0013999166</v>
      </c>
      <c r="H149" s="53">
        <f t="shared" si="39"/>
        <v>865158.10958332079</v>
      </c>
      <c r="I149" s="53">
        <f t="shared" si="39"/>
        <v>1558360.9845004275</v>
      </c>
      <c r="J149" s="53">
        <f t="shared" si="39"/>
        <v>2210916.1237330651</v>
      </c>
      <c r="K149" s="53">
        <f t="shared" si="39"/>
        <v>2800728.2895965949</v>
      </c>
      <c r="L149" s="53">
        <f t="shared" si="39"/>
        <v>3365336.8673597677</v>
      </c>
      <c r="M149" s="53"/>
      <c r="O149" s="181" t="s">
        <v>237</v>
      </c>
    </row>
    <row r="150" spans="1:15" x14ac:dyDescent="0.25">
      <c r="A150" s="157">
        <v>42</v>
      </c>
      <c r="C150" s="146">
        <v>364</v>
      </c>
      <c r="D150" s="98">
        <v>2.06E-2</v>
      </c>
      <c r="E150" s="124">
        <f t="shared" ref="E150:E155" si="40">+E116*$D150*0.5</f>
        <v>44095.505100000002</v>
      </c>
      <c r="F150" s="53">
        <f t="shared" ref="F150:L155" si="41">+F116*$D150*0.5+E134*$D116</f>
        <v>493947.42649494443</v>
      </c>
      <c r="G150" s="53">
        <f t="shared" si="41"/>
        <v>1348785.5365974889</v>
      </c>
      <c r="H150" s="53">
        <f t="shared" si="41"/>
        <v>2269831.2735564001</v>
      </c>
      <c r="I150" s="53">
        <f t="shared" si="41"/>
        <v>3241416.2006104384</v>
      </c>
      <c r="J150" s="53">
        <f t="shared" si="41"/>
        <v>4169831.0982766463</v>
      </c>
      <c r="K150" s="53">
        <f t="shared" si="41"/>
        <v>5065408.4449573904</v>
      </c>
      <c r="L150" s="53">
        <f t="shared" si="41"/>
        <v>5930277.6219373262</v>
      </c>
      <c r="M150" s="53"/>
      <c r="O150" s="159" t="s">
        <v>238</v>
      </c>
    </row>
    <row r="151" spans="1:15" x14ac:dyDescent="0.25">
      <c r="A151" s="157">
        <v>43</v>
      </c>
      <c r="C151" s="146">
        <v>365</v>
      </c>
      <c r="D151" s="98">
        <v>2.35E-2</v>
      </c>
      <c r="E151" s="124">
        <f t="shared" si="40"/>
        <v>144676.97450000001</v>
      </c>
      <c r="F151" s="53">
        <f t="shared" si="41"/>
        <v>564206.42816252704</v>
      </c>
      <c r="G151" s="53">
        <f t="shared" si="41"/>
        <v>1128749.5523624392</v>
      </c>
      <c r="H151" s="53">
        <f t="shared" si="41"/>
        <v>1740784.6794266989</v>
      </c>
      <c r="I151" s="53">
        <f t="shared" si="41"/>
        <v>2416688.4089806229</v>
      </c>
      <c r="J151" s="53">
        <f t="shared" si="41"/>
        <v>3077707.7660339344</v>
      </c>
      <c r="K151" s="53">
        <f t="shared" si="41"/>
        <v>3696622.0391879813</v>
      </c>
      <c r="L151" s="53">
        <f t="shared" si="41"/>
        <v>4165659.0934078828</v>
      </c>
      <c r="M151" s="53"/>
      <c r="O151" s="159" t="s">
        <v>239</v>
      </c>
    </row>
    <row r="152" spans="1:15" x14ac:dyDescent="0.25">
      <c r="A152" s="157">
        <v>44</v>
      </c>
      <c r="C152" s="146">
        <v>366</v>
      </c>
      <c r="D152" s="98">
        <v>2.6200000000000001E-2</v>
      </c>
      <c r="E152" s="124">
        <f t="shared" si="40"/>
        <v>3281.4190000000003</v>
      </c>
      <c r="F152" s="53">
        <f t="shared" si="41"/>
        <v>19094.641908784448</v>
      </c>
      <c r="G152" s="53">
        <f t="shared" si="41"/>
        <v>81668.172282400003</v>
      </c>
      <c r="H152" s="53">
        <f t="shared" si="41"/>
        <v>154947.56597846793</v>
      </c>
      <c r="I152" s="53">
        <f t="shared" si="41"/>
        <v>212115.49177373169</v>
      </c>
      <c r="J152" s="53">
        <f t="shared" si="41"/>
        <v>271744.15835155547</v>
      </c>
      <c r="K152" s="53">
        <f t="shared" si="41"/>
        <v>334012.74853146571</v>
      </c>
      <c r="L152" s="53">
        <f t="shared" si="41"/>
        <v>396795.88308878953</v>
      </c>
      <c r="M152" s="53"/>
      <c r="O152" s="159" t="s">
        <v>240</v>
      </c>
    </row>
    <row r="153" spans="1:15" x14ac:dyDescent="0.25">
      <c r="A153" s="157">
        <v>45</v>
      </c>
      <c r="C153" s="146">
        <v>367</v>
      </c>
      <c r="D153" s="98">
        <v>2.5499999999999998E-2</v>
      </c>
      <c r="E153" s="124">
        <f t="shared" si="40"/>
        <v>5468.4913200000001</v>
      </c>
      <c r="F153" s="53">
        <f t="shared" si="41"/>
        <v>180063.47571149064</v>
      </c>
      <c r="G153" s="53">
        <f t="shared" si="41"/>
        <v>521637.69349753752</v>
      </c>
      <c r="H153" s="53">
        <f t="shared" si="41"/>
        <v>874282.63521361607</v>
      </c>
      <c r="I153" s="53">
        <f t="shared" si="41"/>
        <v>1249001.6807191053</v>
      </c>
      <c r="J153" s="53">
        <f t="shared" si="41"/>
        <v>1621815.5829908417</v>
      </c>
      <c r="K153" s="53">
        <f t="shared" si="41"/>
        <v>1994472.1774344717</v>
      </c>
      <c r="L153" s="53">
        <f t="shared" si="41"/>
        <v>2370680.0096387654</v>
      </c>
      <c r="M153" s="53"/>
      <c r="O153" s="159" t="s">
        <v>241</v>
      </c>
    </row>
    <row r="154" spans="1:15" x14ac:dyDescent="0.25">
      <c r="A154" s="157">
        <v>46</v>
      </c>
      <c r="C154" s="146">
        <v>368</v>
      </c>
      <c r="D154" s="98">
        <v>6.4999999999999997E-3</v>
      </c>
      <c r="E154" s="124">
        <f t="shared" si="40"/>
        <v>751.93624999999997</v>
      </c>
      <c r="F154" s="53">
        <f t="shared" si="41"/>
        <v>43251.709530354237</v>
      </c>
      <c r="G154" s="53">
        <f t="shared" si="41"/>
        <v>135758.30929263507</v>
      </c>
      <c r="H154" s="53">
        <f t="shared" si="41"/>
        <v>234693.04522146625</v>
      </c>
      <c r="I154" s="53">
        <f t="shared" si="41"/>
        <v>336190.38473650411</v>
      </c>
      <c r="J154" s="53">
        <f t="shared" si="41"/>
        <v>435157.82687604282</v>
      </c>
      <c r="K154" s="53">
        <f t="shared" si="41"/>
        <v>529856.10211322212</v>
      </c>
      <c r="L154" s="53">
        <f t="shared" si="41"/>
        <v>624648.72985815792</v>
      </c>
      <c r="M154" s="53"/>
      <c r="O154" s="159" t="s">
        <v>242</v>
      </c>
    </row>
    <row r="155" spans="1:15" x14ac:dyDescent="0.25">
      <c r="A155" s="157">
        <v>47</v>
      </c>
      <c r="C155" s="146">
        <v>370.01</v>
      </c>
      <c r="D155" s="98">
        <v>0.19350000000000001</v>
      </c>
      <c r="E155" s="125">
        <f t="shared" si="40"/>
        <v>0</v>
      </c>
      <c r="F155" s="6">
        <f t="shared" si="41"/>
        <v>1129282.5013641801</v>
      </c>
      <c r="G155" s="6">
        <f t="shared" si="41"/>
        <v>3237093.6187486183</v>
      </c>
      <c r="H155" s="6">
        <f t="shared" si="41"/>
        <v>5129820.8182368129</v>
      </c>
      <c r="I155" s="6">
        <f t="shared" si="41"/>
        <v>6581946.4024547497</v>
      </c>
      <c r="J155" s="6">
        <f t="shared" si="41"/>
        <v>7119873.4032047493</v>
      </c>
      <c r="K155" s="6">
        <f t="shared" si="41"/>
        <v>7119873.4032047493</v>
      </c>
      <c r="L155" s="6">
        <f t="shared" si="41"/>
        <v>7500031.496102375</v>
      </c>
      <c r="M155" s="53"/>
      <c r="O155" s="159" t="s">
        <v>243</v>
      </c>
    </row>
    <row r="156" spans="1:15" x14ac:dyDescent="0.25">
      <c r="A156" s="157">
        <v>48</v>
      </c>
      <c r="C156" s="130" t="s">
        <v>140</v>
      </c>
      <c r="D156" s="19"/>
      <c r="E156" s="53">
        <f t="shared" ref="E156:K156" si="42">SUM(E145:E155)</f>
        <v>198274.32617000001</v>
      </c>
      <c r="F156" s="53">
        <f t="shared" si="42"/>
        <v>2496009.5486764386</v>
      </c>
      <c r="G156" s="53">
        <f t="shared" si="42"/>
        <v>6808960.8841810357</v>
      </c>
      <c r="H156" s="53">
        <f t="shared" si="42"/>
        <v>11269518.127216782</v>
      </c>
      <c r="I156" s="53">
        <f t="shared" si="42"/>
        <v>15595719.553775579</v>
      </c>
      <c r="J156" s="53">
        <f t="shared" si="42"/>
        <v>18907045.959466834</v>
      </c>
      <c r="K156" s="53">
        <f t="shared" si="42"/>
        <v>21540973.205025878</v>
      </c>
      <c r="L156" s="53">
        <f t="shared" ref="L156" si="43">SUM(L145:L155)</f>
        <v>24353429.701393064</v>
      </c>
      <c r="M156" s="53"/>
    </row>
    <row r="157" spans="1:15" x14ac:dyDescent="0.25">
      <c r="A157" s="157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</row>
    <row r="158" spans="1:15" x14ac:dyDescent="0.25">
      <c r="A158" s="157"/>
      <c r="C158" s="148" t="s">
        <v>138</v>
      </c>
      <c r="D158" s="19"/>
      <c r="E158" s="53"/>
      <c r="F158" s="53"/>
      <c r="G158" s="53"/>
      <c r="H158" s="53"/>
      <c r="I158" s="53"/>
      <c r="J158" s="53"/>
      <c r="K158" s="53"/>
      <c r="L158" s="53"/>
      <c r="M158" s="19"/>
    </row>
    <row r="159" spans="1:15" x14ac:dyDescent="0.25">
      <c r="A159" s="157"/>
      <c r="C159" s="130" t="s">
        <v>165</v>
      </c>
      <c r="D159" s="19"/>
      <c r="E159" s="131" t="s">
        <v>151</v>
      </c>
      <c r="F159" s="131" t="s">
        <v>152</v>
      </c>
      <c r="G159" s="131" t="s">
        <v>153</v>
      </c>
      <c r="H159" s="131" t="s">
        <v>154</v>
      </c>
      <c r="I159" s="131" t="s">
        <v>155</v>
      </c>
      <c r="J159" s="131" t="s">
        <v>156</v>
      </c>
      <c r="K159" s="131" t="s">
        <v>157</v>
      </c>
      <c r="L159" s="151" t="s">
        <v>275</v>
      </c>
      <c r="M159" s="19"/>
    </row>
    <row r="160" spans="1:15" x14ac:dyDescent="0.25">
      <c r="A160" s="157"/>
      <c r="C160" s="2" t="s">
        <v>21</v>
      </c>
      <c r="D160" s="2" t="s">
        <v>295</v>
      </c>
      <c r="E160" s="161" t="s">
        <v>284</v>
      </c>
      <c r="F160" s="161">
        <v>44286</v>
      </c>
      <c r="G160" s="161">
        <v>44651</v>
      </c>
      <c r="H160" s="161">
        <v>45016</v>
      </c>
      <c r="I160" s="161">
        <v>45382</v>
      </c>
      <c r="J160" s="161">
        <v>45747</v>
      </c>
      <c r="K160" s="161">
        <v>46112</v>
      </c>
      <c r="L160" s="161" t="s">
        <v>286</v>
      </c>
      <c r="M160" s="19"/>
      <c r="O160" s="2" t="s">
        <v>121</v>
      </c>
    </row>
    <row r="161" spans="1:15" x14ac:dyDescent="0.25">
      <c r="A161" s="157">
        <v>49</v>
      </c>
      <c r="C161" s="146">
        <v>352</v>
      </c>
      <c r="D161" s="98">
        <v>2.4E-2</v>
      </c>
      <c r="E161" s="126"/>
      <c r="F161" s="126"/>
      <c r="G161" s="126"/>
      <c r="H161" s="126"/>
      <c r="I161" s="126"/>
      <c r="J161" s="126"/>
      <c r="K161" s="126"/>
      <c r="L161" s="126"/>
      <c r="M161" s="53"/>
    </row>
    <row r="162" spans="1:15" x14ac:dyDescent="0.25">
      <c r="A162" s="157">
        <v>50</v>
      </c>
      <c r="C162" s="146">
        <v>353</v>
      </c>
      <c r="D162" s="98">
        <v>2.53E-2</v>
      </c>
      <c r="E162" s="126"/>
      <c r="F162" s="126"/>
      <c r="G162" s="126"/>
      <c r="H162" s="126"/>
      <c r="I162" s="126"/>
      <c r="J162" s="126"/>
      <c r="K162" s="126"/>
      <c r="L162" s="126"/>
      <c r="M162" s="53"/>
    </row>
    <row r="163" spans="1:15" x14ac:dyDescent="0.25">
      <c r="A163" s="157">
        <v>51</v>
      </c>
      <c r="C163" s="146">
        <v>354</v>
      </c>
      <c r="D163" s="98">
        <v>1.37E-2</v>
      </c>
      <c r="E163" s="126"/>
      <c r="F163" s="126"/>
      <c r="G163" s="126"/>
      <c r="H163" s="126"/>
      <c r="I163" s="126"/>
      <c r="J163" s="126"/>
      <c r="K163" s="126"/>
      <c r="L163" s="126"/>
      <c r="M163" s="53"/>
    </row>
    <row r="164" spans="1:15" x14ac:dyDescent="0.25">
      <c r="A164" s="157">
        <v>52</v>
      </c>
      <c r="C164" s="146">
        <v>356</v>
      </c>
      <c r="D164" s="98">
        <v>1.2E-2</v>
      </c>
      <c r="E164" s="126"/>
      <c r="F164" s="126"/>
      <c r="G164" s="126"/>
      <c r="H164" s="126"/>
      <c r="I164" s="126"/>
      <c r="J164" s="126"/>
      <c r="K164" s="126"/>
      <c r="L164" s="126"/>
      <c r="M164" s="53"/>
    </row>
    <row r="165" spans="1:15" x14ac:dyDescent="0.25">
      <c r="A165" s="157">
        <v>53</v>
      </c>
      <c r="C165" s="146">
        <v>362</v>
      </c>
      <c r="D165" s="98">
        <v>1.61E-2</v>
      </c>
      <c r="E165" s="53">
        <f>-SUM($E149:E149)</f>
        <v>0</v>
      </c>
      <c r="F165" s="53">
        <f>-SUM($E149:F149)</f>
        <v>-66163.365504157555</v>
      </c>
      <c r="G165" s="53">
        <f>-SUM($E149:G149)</f>
        <v>-421431.36690407415</v>
      </c>
      <c r="H165" s="53">
        <f>-SUM($E149:H149)</f>
        <v>-1286589.4764873949</v>
      </c>
      <c r="I165" s="53">
        <f>-SUM($E149:I149)</f>
        <v>-2844950.4609878222</v>
      </c>
      <c r="J165" s="53">
        <f>-SUM($E149:J149)</f>
        <v>-5055866.5847208872</v>
      </c>
      <c r="K165" s="53">
        <f>-SUM($E149:K149)</f>
        <v>-7856594.8743174821</v>
      </c>
      <c r="L165" s="53">
        <f>-SUM($E149:L149)</f>
        <v>-11221931.741677251</v>
      </c>
      <c r="M165" s="53"/>
      <c r="O165" s="42" t="str">
        <f>"Line "&amp;A149&amp; " Accumulated"</f>
        <v>Line 41 Accumulated</v>
      </c>
    </row>
    <row r="166" spans="1:15" x14ac:dyDescent="0.25">
      <c r="A166" s="157">
        <v>54</v>
      </c>
      <c r="C166" s="146">
        <v>364</v>
      </c>
      <c r="D166" s="98">
        <v>2.06E-2</v>
      </c>
      <c r="E166" s="53">
        <f>-SUM($E150:E150)</f>
        <v>-44095.505100000002</v>
      </c>
      <c r="F166" s="53">
        <f>-SUM($E150:F150)</f>
        <v>-538042.93159494444</v>
      </c>
      <c r="G166" s="53">
        <f>-SUM($E150:G150)</f>
        <v>-1886828.4681924335</v>
      </c>
      <c r="H166" s="53">
        <f>-SUM($E150:H150)</f>
        <v>-4156659.7417488336</v>
      </c>
      <c r="I166" s="53">
        <f>-SUM($E150:I150)</f>
        <v>-7398075.9423592724</v>
      </c>
      <c r="J166" s="53">
        <f>-SUM($E150:J150)</f>
        <v>-11567907.040635919</v>
      </c>
      <c r="K166" s="53">
        <f>-SUM($E150:K150)</f>
        <v>-16633315.48559331</v>
      </c>
      <c r="L166" s="53">
        <f>-SUM($E150:L150)</f>
        <v>-22563593.107530635</v>
      </c>
      <c r="M166" s="53"/>
      <c r="O166" s="42" t="str">
        <f t="shared" ref="O166:O171" si="44">"Line "&amp;A150&amp; " Accumulated"</f>
        <v>Line 42 Accumulated</v>
      </c>
    </row>
    <row r="167" spans="1:15" x14ac:dyDescent="0.25">
      <c r="A167" s="157">
        <v>55</v>
      </c>
      <c r="C167" s="146">
        <v>365</v>
      </c>
      <c r="D167" s="98">
        <v>2.35E-2</v>
      </c>
      <c r="E167" s="53">
        <f>-SUM($E151:E151)</f>
        <v>-144676.97450000001</v>
      </c>
      <c r="F167" s="53">
        <f>-SUM($E151:F151)</f>
        <v>-708883.40266252705</v>
      </c>
      <c r="G167" s="53">
        <f>-SUM($E151:G151)</f>
        <v>-1837632.9550249663</v>
      </c>
      <c r="H167" s="53">
        <f>-SUM($E151:H151)</f>
        <v>-3578417.634451665</v>
      </c>
      <c r="I167" s="53">
        <f>-SUM($E151:I151)</f>
        <v>-5995106.0434322879</v>
      </c>
      <c r="J167" s="53">
        <f>-SUM($E151:J151)</f>
        <v>-9072813.8094662223</v>
      </c>
      <c r="K167" s="53">
        <f>-SUM($E151:K151)</f>
        <v>-12769435.848654203</v>
      </c>
      <c r="L167" s="53">
        <f>-SUM($E151:L151)</f>
        <v>-16935094.942062087</v>
      </c>
      <c r="M167" s="53"/>
      <c r="O167" s="42" t="str">
        <f t="shared" si="44"/>
        <v>Line 43 Accumulated</v>
      </c>
    </row>
    <row r="168" spans="1:15" x14ac:dyDescent="0.25">
      <c r="A168" s="157">
        <v>56</v>
      </c>
      <c r="C168" s="146">
        <v>366</v>
      </c>
      <c r="D168" s="98">
        <v>2.6200000000000001E-2</v>
      </c>
      <c r="E168" s="53">
        <f>-SUM($E152:E152)</f>
        <v>-3281.4190000000003</v>
      </c>
      <c r="F168" s="53">
        <f>-SUM($E152:F152)</f>
        <v>-22376.06090878445</v>
      </c>
      <c r="G168" s="53">
        <f>-SUM($E152:G152)</f>
        <v>-104044.23319118445</v>
      </c>
      <c r="H168" s="53">
        <f>-SUM($E152:H152)</f>
        <v>-258991.7991696524</v>
      </c>
      <c r="I168" s="53">
        <f>-SUM($E152:I152)</f>
        <v>-471107.29094338405</v>
      </c>
      <c r="J168" s="53">
        <f>-SUM($E152:J152)</f>
        <v>-742851.44929493952</v>
      </c>
      <c r="K168" s="53">
        <f>-SUM($E152:K152)</f>
        <v>-1076864.1978264053</v>
      </c>
      <c r="L168" s="53">
        <f>-SUM($E152:L152)</f>
        <v>-1473660.0809151949</v>
      </c>
      <c r="M168" s="53"/>
      <c r="O168" s="42" t="str">
        <f t="shared" si="44"/>
        <v>Line 44 Accumulated</v>
      </c>
    </row>
    <row r="169" spans="1:15" x14ac:dyDescent="0.25">
      <c r="A169" s="157">
        <v>57</v>
      </c>
      <c r="C169" s="146">
        <v>367</v>
      </c>
      <c r="D169" s="98">
        <v>2.5499999999999998E-2</v>
      </c>
      <c r="E169" s="53">
        <f>-SUM($E153:E153)</f>
        <v>-5468.4913200000001</v>
      </c>
      <c r="F169" s="53">
        <f>-SUM($E153:F153)</f>
        <v>-185531.96703149064</v>
      </c>
      <c r="G169" s="53">
        <f>-SUM($E153:G153)</f>
        <v>-707169.66052902816</v>
      </c>
      <c r="H169" s="53">
        <f>-SUM($E153:H153)</f>
        <v>-1581452.2957426442</v>
      </c>
      <c r="I169" s="53">
        <f>-SUM($E153:I153)</f>
        <v>-2830453.9764617495</v>
      </c>
      <c r="J169" s="53">
        <f>-SUM($E153:J153)</f>
        <v>-4452269.5594525915</v>
      </c>
      <c r="K169" s="53">
        <f>-SUM($E153:K153)</f>
        <v>-6446741.7368870629</v>
      </c>
      <c r="L169" s="53">
        <f>-SUM($E153:L153)</f>
        <v>-8817421.7465258278</v>
      </c>
      <c r="M169" s="53"/>
      <c r="O169" s="42" t="str">
        <f t="shared" si="44"/>
        <v>Line 45 Accumulated</v>
      </c>
    </row>
    <row r="170" spans="1:15" x14ac:dyDescent="0.25">
      <c r="A170" s="157">
        <v>58</v>
      </c>
      <c r="C170" s="146">
        <v>368</v>
      </c>
      <c r="D170" s="98">
        <v>6.4999999999999997E-3</v>
      </c>
      <c r="E170" s="53">
        <f>-SUM($E154:E154)</f>
        <v>-751.93624999999997</v>
      </c>
      <c r="F170" s="53">
        <f>-SUM($E154:F154)</f>
        <v>-44003.645780354236</v>
      </c>
      <c r="G170" s="53">
        <f>-SUM($E154:G154)</f>
        <v>-179761.95507298931</v>
      </c>
      <c r="H170" s="53">
        <f>-SUM($E154:H154)</f>
        <v>-414455.00029445556</v>
      </c>
      <c r="I170" s="53">
        <f>-SUM($E154:I154)</f>
        <v>-750645.38503095973</v>
      </c>
      <c r="J170" s="53">
        <f>-SUM($E154:J154)</f>
        <v>-1185803.2119070026</v>
      </c>
      <c r="K170" s="53">
        <f>-SUM($E154:K154)</f>
        <v>-1715659.3140202248</v>
      </c>
      <c r="L170" s="53">
        <f>-SUM($E154:L154)</f>
        <v>-2340308.043878383</v>
      </c>
      <c r="M170" s="53"/>
      <c r="O170" s="42" t="str">
        <f t="shared" si="44"/>
        <v>Line 46 Accumulated</v>
      </c>
    </row>
    <row r="171" spans="1:15" x14ac:dyDescent="0.25">
      <c r="A171" s="157">
        <v>59</v>
      </c>
      <c r="C171" s="146">
        <v>370.01</v>
      </c>
      <c r="D171" s="98">
        <v>0.19350000000000001</v>
      </c>
      <c r="E171" s="6">
        <f>-SUM($E155:E155)</f>
        <v>0</v>
      </c>
      <c r="F171" s="6">
        <f>-SUM($E155:F155)</f>
        <v>-1129282.5013641801</v>
      </c>
      <c r="G171" s="6">
        <f>-SUM($E155:G155)</f>
        <v>-4366376.1201127982</v>
      </c>
      <c r="H171" s="6">
        <f>-SUM($E155:H155)</f>
        <v>-9496196.9383496121</v>
      </c>
      <c r="I171" s="6">
        <f>-SUM($E155:I155)</f>
        <v>-16078143.340804361</v>
      </c>
      <c r="J171" s="6">
        <f>-SUM($E155:J155)</f>
        <v>-23198016.744009111</v>
      </c>
      <c r="K171" s="6">
        <f>-SUM($E155:K155)</f>
        <v>-30317890.147213861</v>
      </c>
      <c r="L171" s="6">
        <f>-SUM($E155:L155)</f>
        <v>-37817921.643316239</v>
      </c>
      <c r="M171" s="53"/>
      <c r="O171" s="42" t="str">
        <f t="shared" si="44"/>
        <v>Line 47 Accumulated</v>
      </c>
    </row>
    <row r="172" spans="1:15" x14ac:dyDescent="0.25">
      <c r="A172" s="157">
        <v>60</v>
      </c>
      <c r="C172" s="130" t="s">
        <v>162</v>
      </c>
      <c r="D172" s="19"/>
      <c r="E172" s="53">
        <f t="shared" ref="E172:K172" si="45">SUM(E161:E171)</f>
        <v>-198274.32617000001</v>
      </c>
      <c r="F172" s="53">
        <f t="shared" si="45"/>
        <v>-2694283.8748464389</v>
      </c>
      <c r="G172" s="53">
        <f t="shared" si="45"/>
        <v>-9503244.7590274736</v>
      </c>
      <c r="H172" s="53">
        <f t="shared" si="45"/>
        <v>-20772762.88624426</v>
      </c>
      <c r="I172" s="53">
        <f t="shared" si="45"/>
        <v>-36368482.440019831</v>
      </c>
      <c r="J172" s="53">
        <f t="shared" si="45"/>
        <v>-55275528.399486676</v>
      </c>
      <c r="K172" s="53">
        <f t="shared" si="45"/>
        <v>-76816501.604512542</v>
      </c>
      <c r="L172" s="53">
        <f t="shared" ref="L172" si="46">SUM(L161:L171)</f>
        <v>-101169931.30590561</v>
      </c>
      <c r="M172" s="53"/>
    </row>
    <row r="173" spans="1:15" x14ac:dyDescent="0.25">
      <c r="A173" s="157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</row>
    <row r="174" spans="1:15" x14ac:dyDescent="0.25">
      <c r="A174" s="157"/>
      <c r="C174" s="148" t="s">
        <v>138</v>
      </c>
      <c r="D174" s="19"/>
      <c r="E174" s="19"/>
      <c r="F174" s="19"/>
      <c r="G174" s="19"/>
      <c r="H174" s="19"/>
      <c r="I174" s="19"/>
      <c r="J174" s="19"/>
      <c r="K174" s="19"/>
      <c r="L174" s="19"/>
      <c r="M174" s="19"/>
    </row>
    <row r="175" spans="1:15" x14ac:dyDescent="0.25">
      <c r="A175" s="157">
        <v>61</v>
      </c>
      <c r="C175" s="130" t="s">
        <v>167</v>
      </c>
      <c r="D175" s="130"/>
      <c r="E175" s="147"/>
      <c r="F175" s="147">
        <f t="shared" ref="F175:L175" si="47">+F140+F172+F124</f>
        <v>150827188.29987067</v>
      </c>
      <c r="G175" s="147">
        <f t="shared" si="47"/>
        <v>284783709.27962995</v>
      </c>
      <c r="H175" s="147">
        <f t="shared" si="47"/>
        <v>427132682.84159207</v>
      </c>
      <c r="I175" s="147">
        <f t="shared" si="47"/>
        <v>571976663.76760697</v>
      </c>
      <c r="J175" s="147">
        <f t="shared" si="47"/>
        <v>685530754.55772877</v>
      </c>
      <c r="K175" s="147">
        <f t="shared" si="47"/>
        <v>808622400.29559803</v>
      </c>
      <c r="L175" s="147">
        <f t="shared" si="47"/>
        <v>872865438.89641023</v>
      </c>
      <c r="M175" s="19"/>
    </row>
    <row r="176" spans="1:15" x14ac:dyDescent="0.25">
      <c r="C176" s="130"/>
      <c r="D176" s="42" t="s">
        <v>81</v>
      </c>
      <c r="E176" s="42" t="s">
        <v>82</v>
      </c>
      <c r="F176" s="139" t="s">
        <v>83</v>
      </c>
      <c r="G176" s="42" t="s">
        <v>84</v>
      </c>
      <c r="H176" s="42" t="s">
        <v>85</v>
      </c>
      <c r="I176" s="42" t="s">
        <v>86</v>
      </c>
      <c r="J176" s="42" t="s">
        <v>87</v>
      </c>
      <c r="K176" s="141" t="s">
        <v>88</v>
      </c>
      <c r="L176" s="140" t="s">
        <v>142</v>
      </c>
      <c r="M176" s="141" t="s">
        <v>143</v>
      </c>
      <c r="O176" s="141" t="s">
        <v>287</v>
      </c>
    </row>
    <row r="177" spans="1:15" x14ac:dyDescent="0.25">
      <c r="C177" s="148" t="s">
        <v>139</v>
      </c>
      <c r="D177" s="142"/>
      <c r="E177" s="131" t="s">
        <v>150</v>
      </c>
      <c r="F177" s="131" t="s">
        <v>150</v>
      </c>
      <c r="G177" s="131" t="s">
        <v>150</v>
      </c>
      <c r="H177" s="131" t="s">
        <v>150</v>
      </c>
      <c r="I177" s="131" t="s">
        <v>150</v>
      </c>
      <c r="J177" s="131" t="s">
        <v>150</v>
      </c>
      <c r="K177" s="131" t="s">
        <v>150</v>
      </c>
      <c r="L177" s="131"/>
      <c r="M177" s="143"/>
    </row>
    <row r="178" spans="1:15" x14ac:dyDescent="0.25">
      <c r="C178" s="130" t="s">
        <v>294</v>
      </c>
      <c r="D178" s="19"/>
      <c r="E178" s="131" t="s">
        <v>0</v>
      </c>
      <c r="F178" s="131" t="s">
        <v>1</v>
      </c>
      <c r="G178" s="131" t="s">
        <v>2</v>
      </c>
      <c r="H178" s="131" t="s">
        <v>3</v>
      </c>
      <c r="I178" s="131" t="s">
        <v>4</v>
      </c>
      <c r="J178" s="131" t="s">
        <v>5</v>
      </c>
      <c r="K178" s="131" t="s">
        <v>6</v>
      </c>
      <c r="L178" s="131"/>
      <c r="M178" s="19"/>
    </row>
    <row r="179" spans="1:15" x14ac:dyDescent="0.25">
      <c r="A179" s="2" t="s">
        <v>122</v>
      </c>
      <c r="C179" s="2" t="s">
        <v>21</v>
      </c>
      <c r="D179" s="2" t="s">
        <v>295</v>
      </c>
      <c r="E179" s="2">
        <v>2020</v>
      </c>
      <c r="F179" s="2">
        <v>2021</v>
      </c>
      <c r="G179" s="2">
        <v>2022</v>
      </c>
      <c r="H179" s="2">
        <v>2023</v>
      </c>
      <c r="I179" s="2">
        <v>2024</v>
      </c>
      <c r="J179" s="2">
        <v>2025</v>
      </c>
      <c r="K179" s="2">
        <v>2026</v>
      </c>
      <c r="L179" s="2"/>
      <c r="M179" s="2" t="s">
        <v>7</v>
      </c>
      <c r="O179" s="2" t="s">
        <v>121</v>
      </c>
    </row>
    <row r="180" spans="1:15" ht="15" customHeight="1" x14ac:dyDescent="0.25">
      <c r="A180" s="157">
        <v>1</v>
      </c>
      <c r="C180" s="146">
        <v>352</v>
      </c>
      <c r="D180" s="98">
        <v>2.4E-2</v>
      </c>
      <c r="E180" s="124">
        <f t="shared" ref="E180:K190" si="48">+E9+E95</f>
        <v>0</v>
      </c>
      <c r="F180" s="124">
        <f t="shared" si="48"/>
        <v>0</v>
      </c>
      <c r="G180" s="124">
        <f t="shared" si="48"/>
        <v>0</v>
      </c>
      <c r="H180" s="124">
        <f t="shared" si="48"/>
        <v>0</v>
      </c>
      <c r="I180" s="124">
        <f t="shared" si="48"/>
        <v>2844940</v>
      </c>
      <c r="J180" s="124">
        <f t="shared" si="48"/>
        <v>2300385</v>
      </c>
      <c r="K180" s="124">
        <f t="shared" si="48"/>
        <v>2632615</v>
      </c>
      <c r="L180" s="124"/>
      <c r="M180" s="53">
        <f t="shared" ref="M180:M190" si="49">SUM(E180:K180)</f>
        <v>7777940</v>
      </c>
      <c r="O180" s="42" t="s">
        <v>244</v>
      </c>
    </row>
    <row r="181" spans="1:15" x14ac:dyDescent="0.25">
      <c r="A181" s="157">
        <v>2</v>
      </c>
      <c r="C181" s="146">
        <v>353</v>
      </c>
      <c r="D181" s="98">
        <v>2.53E-2</v>
      </c>
      <c r="E181" s="124">
        <f t="shared" si="48"/>
        <v>8993648.8959411047</v>
      </c>
      <c r="F181" s="124">
        <f t="shared" si="48"/>
        <v>18329147.949788302</v>
      </c>
      <c r="G181" s="124">
        <f t="shared" si="48"/>
        <v>19334307.027113684</v>
      </c>
      <c r="H181" s="124">
        <f t="shared" si="48"/>
        <v>23889253.407931428</v>
      </c>
      <c r="I181" s="124">
        <f t="shared" si="48"/>
        <v>21644454.567098748</v>
      </c>
      <c r="J181" s="124">
        <f t="shared" si="48"/>
        <v>24492073.485300466</v>
      </c>
      <c r="K181" s="124">
        <f t="shared" si="48"/>
        <v>17634639.371678643</v>
      </c>
      <c r="L181" s="124"/>
      <c r="M181" s="53">
        <f t="shared" si="49"/>
        <v>134317524.70485237</v>
      </c>
      <c r="O181" s="42" t="s">
        <v>244</v>
      </c>
    </row>
    <row r="182" spans="1:15" x14ac:dyDescent="0.25">
      <c r="A182" s="157">
        <v>3</v>
      </c>
      <c r="C182" s="146">
        <v>354</v>
      </c>
      <c r="D182" s="98">
        <v>1.37E-2</v>
      </c>
      <c r="E182" s="124">
        <f t="shared" si="48"/>
        <v>1459099</v>
      </c>
      <c r="F182" s="124">
        <f t="shared" si="48"/>
        <v>1082432</v>
      </c>
      <c r="G182" s="124">
        <f t="shared" si="48"/>
        <v>850792</v>
      </c>
      <c r="H182" s="124">
        <f t="shared" si="48"/>
        <v>0</v>
      </c>
      <c r="I182" s="124">
        <f t="shared" si="48"/>
        <v>0</v>
      </c>
      <c r="J182" s="124">
        <f t="shared" si="48"/>
        <v>0</v>
      </c>
      <c r="K182" s="124">
        <f t="shared" si="48"/>
        <v>0</v>
      </c>
      <c r="L182" s="124"/>
      <c r="M182" s="53">
        <f t="shared" si="49"/>
        <v>3392323</v>
      </c>
      <c r="O182" s="42" t="s">
        <v>244</v>
      </c>
    </row>
    <row r="183" spans="1:15" x14ac:dyDescent="0.25">
      <c r="A183" s="157">
        <v>4</v>
      </c>
      <c r="C183" s="146">
        <v>356</v>
      </c>
      <c r="D183" s="98">
        <v>1.2E-2</v>
      </c>
      <c r="E183" s="124">
        <f t="shared" si="48"/>
        <v>7271227</v>
      </c>
      <c r="F183" s="124">
        <f t="shared" si="48"/>
        <v>4376599</v>
      </c>
      <c r="G183" s="124">
        <f t="shared" si="48"/>
        <v>4132020</v>
      </c>
      <c r="H183" s="124">
        <f t="shared" si="48"/>
        <v>11350071</v>
      </c>
      <c r="I183" s="124">
        <f t="shared" si="48"/>
        <v>11497320</v>
      </c>
      <c r="J183" s="124">
        <f t="shared" si="48"/>
        <v>10679473</v>
      </c>
      <c r="K183" s="124">
        <f t="shared" si="48"/>
        <v>7601921</v>
      </c>
      <c r="L183" s="124"/>
      <c r="M183" s="53">
        <f t="shared" si="49"/>
        <v>56908631</v>
      </c>
      <c r="O183" s="42" t="s">
        <v>244</v>
      </c>
    </row>
    <row r="184" spans="1:15" x14ac:dyDescent="0.25">
      <c r="A184" s="157">
        <v>5</v>
      </c>
      <c r="C184" s="146">
        <v>362</v>
      </c>
      <c r="D184" s="98">
        <v>1.61E-2</v>
      </c>
      <c r="E184" s="124">
        <f t="shared" si="48"/>
        <v>3438499.1840588958</v>
      </c>
      <c r="F184" s="124">
        <f t="shared" si="48"/>
        <v>27101919.787011698</v>
      </c>
      <c r="G184" s="124">
        <f t="shared" si="48"/>
        <v>30929644.375686314</v>
      </c>
      <c r="H184" s="124">
        <f t="shared" si="48"/>
        <v>55686252.630793594</v>
      </c>
      <c r="I184" s="124">
        <f t="shared" si="48"/>
        <v>27503277.030193064</v>
      </c>
      <c r="J184" s="124">
        <f t="shared" si="48"/>
        <v>44792342.407775447</v>
      </c>
      <c r="K184" s="124">
        <f t="shared" si="48"/>
        <v>33307964.048253953</v>
      </c>
      <c r="L184" s="124"/>
      <c r="M184" s="53">
        <f t="shared" si="49"/>
        <v>222759899.46377295</v>
      </c>
      <c r="O184" s="42" t="s">
        <v>244</v>
      </c>
    </row>
    <row r="185" spans="1:15" x14ac:dyDescent="0.25">
      <c r="A185" s="157">
        <v>6</v>
      </c>
      <c r="C185" s="146">
        <v>364</v>
      </c>
      <c r="D185" s="98">
        <v>2.06E-2</v>
      </c>
      <c r="E185" s="124">
        <f t="shared" si="48"/>
        <v>40546822</v>
      </c>
      <c r="F185" s="124">
        <f t="shared" si="48"/>
        <v>43168111</v>
      </c>
      <c r="G185" s="124">
        <f t="shared" si="48"/>
        <v>47116017</v>
      </c>
      <c r="H185" s="124">
        <f t="shared" si="48"/>
        <v>46901380.5</v>
      </c>
      <c r="I185" s="124">
        <f t="shared" si="48"/>
        <v>42134761</v>
      </c>
      <c r="J185" s="124">
        <f t="shared" si="48"/>
        <v>45064016.5</v>
      </c>
      <c r="K185" s="124">
        <f t="shared" si="48"/>
        <v>42271002</v>
      </c>
      <c r="L185" s="124"/>
      <c r="M185" s="53">
        <f t="shared" si="49"/>
        <v>307202110</v>
      </c>
      <c r="O185" s="42" t="s">
        <v>244</v>
      </c>
    </row>
    <row r="186" spans="1:15" x14ac:dyDescent="0.25">
      <c r="A186" s="157">
        <v>7</v>
      </c>
      <c r="C186" s="146">
        <v>365</v>
      </c>
      <c r="D186" s="98">
        <v>2.35E-2</v>
      </c>
      <c r="E186" s="124">
        <f t="shared" si="48"/>
        <v>24538246</v>
      </c>
      <c r="F186" s="124">
        <f t="shared" si="48"/>
        <v>23968184</v>
      </c>
      <c r="G186" s="124">
        <f t="shared" si="48"/>
        <v>28034268</v>
      </c>
      <c r="H186" s="124">
        <f t="shared" si="48"/>
        <v>28664332</v>
      </c>
      <c r="I186" s="124">
        <f t="shared" si="48"/>
        <v>27156388</v>
      </c>
      <c r="J186" s="124">
        <f t="shared" si="48"/>
        <v>26058344</v>
      </c>
      <c r="K186" s="124">
        <f t="shared" si="48"/>
        <v>25547982</v>
      </c>
      <c r="L186" s="124"/>
      <c r="M186" s="53">
        <f t="shared" si="49"/>
        <v>183967744</v>
      </c>
      <c r="O186" s="42" t="s">
        <v>244</v>
      </c>
    </row>
    <row r="187" spans="1:15" x14ac:dyDescent="0.25">
      <c r="A187" s="157">
        <v>8</v>
      </c>
      <c r="C187" s="146">
        <v>366</v>
      </c>
      <c r="D187" s="98">
        <v>2.6200000000000001E-2</v>
      </c>
      <c r="E187" s="124">
        <f t="shared" si="48"/>
        <v>0</v>
      </c>
      <c r="F187" s="124">
        <f t="shared" si="48"/>
        <v>4596736.4000000004</v>
      </c>
      <c r="G187" s="124">
        <f t="shared" si="48"/>
        <v>1563359</v>
      </c>
      <c r="H187" s="124">
        <f t="shared" si="48"/>
        <v>2690012</v>
      </c>
      <c r="I187" s="124">
        <f t="shared" si="48"/>
        <v>1809774</v>
      </c>
      <c r="J187" s="124">
        <f t="shared" si="48"/>
        <v>2715591</v>
      </c>
      <c r="K187" s="124">
        <f t="shared" si="48"/>
        <v>2769903</v>
      </c>
      <c r="L187" s="124"/>
      <c r="M187" s="53">
        <f t="shared" si="49"/>
        <v>16145375.4</v>
      </c>
      <c r="O187" s="42" t="s">
        <v>244</v>
      </c>
    </row>
    <row r="188" spans="1:15" x14ac:dyDescent="0.25">
      <c r="A188" s="157">
        <v>9</v>
      </c>
      <c r="C188" s="146">
        <v>367</v>
      </c>
      <c r="D188" s="98">
        <v>2.5499999999999998E-2</v>
      </c>
      <c r="E188" s="124">
        <f t="shared" si="48"/>
        <v>13966103</v>
      </c>
      <c r="F188" s="124">
        <f t="shared" si="48"/>
        <v>13407560.272399999</v>
      </c>
      <c r="G188" s="124">
        <f t="shared" si="48"/>
        <v>14564728</v>
      </c>
      <c r="H188" s="124">
        <f t="shared" si="48"/>
        <v>14357364.498862721</v>
      </c>
      <c r="I188" s="124">
        <f t="shared" si="48"/>
        <v>14187073</v>
      </c>
      <c r="J188" s="124">
        <f t="shared" si="48"/>
        <v>15022456</v>
      </c>
      <c r="K188" s="124">
        <f t="shared" si="48"/>
        <v>14593669</v>
      </c>
      <c r="L188" s="124"/>
      <c r="M188" s="53">
        <f t="shared" si="49"/>
        <v>100098953.77126272</v>
      </c>
      <c r="O188" s="42" t="s">
        <v>244</v>
      </c>
    </row>
    <row r="189" spans="1:15" x14ac:dyDescent="0.25">
      <c r="A189" s="157">
        <v>10</v>
      </c>
      <c r="C189" s="146">
        <v>368</v>
      </c>
      <c r="D189" s="98">
        <v>6.4999999999999997E-3</v>
      </c>
      <c r="E189" s="124">
        <f t="shared" si="48"/>
        <v>12674784</v>
      </c>
      <c r="F189" s="124">
        <f t="shared" si="48"/>
        <v>16046332.56728</v>
      </c>
      <c r="G189" s="124">
        <f t="shared" si="48"/>
        <v>15041971</v>
      </c>
      <c r="H189" s="124">
        <f t="shared" si="48"/>
        <v>15843972</v>
      </c>
      <c r="I189" s="124">
        <f t="shared" si="48"/>
        <v>14297712</v>
      </c>
      <c r="J189" s="124">
        <f t="shared" si="48"/>
        <v>14924842</v>
      </c>
      <c r="K189" s="124">
        <f t="shared" si="48"/>
        <v>14307180</v>
      </c>
      <c r="L189" s="124"/>
      <c r="M189" s="53">
        <f t="shared" si="49"/>
        <v>103136793.56727999</v>
      </c>
      <c r="O189" s="42" t="s">
        <v>244</v>
      </c>
    </row>
    <row r="190" spans="1:15" x14ac:dyDescent="0.25">
      <c r="A190" s="157">
        <v>11</v>
      </c>
      <c r="C190" s="146">
        <v>370.01</v>
      </c>
      <c r="D190" s="98">
        <v>0.19350000000000001</v>
      </c>
      <c r="E190" s="125">
        <f t="shared" si="48"/>
        <v>12736644</v>
      </c>
      <c r="F190" s="125">
        <f t="shared" si="48"/>
        <v>10185425</v>
      </c>
      <c r="G190" s="125">
        <f t="shared" si="48"/>
        <v>10389133</v>
      </c>
      <c r="H190" s="125">
        <f t="shared" si="48"/>
        <v>7413292</v>
      </c>
      <c r="I190" s="125">
        <f t="shared" si="48"/>
        <v>0</v>
      </c>
      <c r="J190" s="125">
        <f t="shared" si="48"/>
        <v>0</v>
      </c>
      <c r="K190" s="125">
        <f t="shared" si="48"/>
        <v>0</v>
      </c>
      <c r="L190" s="125"/>
      <c r="M190" s="6">
        <f t="shared" si="49"/>
        <v>40724494</v>
      </c>
      <c r="O190" s="42" t="s">
        <v>244</v>
      </c>
    </row>
    <row r="191" spans="1:15" x14ac:dyDescent="0.25">
      <c r="A191" s="157">
        <v>12</v>
      </c>
      <c r="C191" s="130" t="s">
        <v>296</v>
      </c>
      <c r="D191" s="19"/>
      <c r="E191" s="53">
        <f t="shared" ref="E191:M191" si="50">SUM(E180:E190)</f>
        <v>125625073.08</v>
      </c>
      <c r="F191" s="53">
        <f t="shared" si="50"/>
        <v>162262447.97648001</v>
      </c>
      <c r="G191" s="53">
        <f t="shared" si="50"/>
        <v>171956239.40279999</v>
      </c>
      <c r="H191" s="53">
        <f t="shared" si="50"/>
        <v>206795930.03758773</v>
      </c>
      <c r="I191" s="53">
        <f t="shared" si="50"/>
        <v>163075699.59729183</v>
      </c>
      <c r="J191" s="53">
        <f t="shared" si="50"/>
        <v>186049523.39307591</v>
      </c>
      <c r="K191" s="53">
        <f t="shared" si="50"/>
        <v>160666875.4199326</v>
      </c>
      <c r="L191" s="53"/>
      <c r="M191" s="53">
        <f t="shared" si="50"/>
        <v>1176431788.9071681</v>
      </c>
    </row>
    <row r="192" spans="1:15" x14ac:dyDescent="0.25">
      <c r="A192" s="157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5" x14ac:dyDescent="0.25">
      <c r="C193" s="148" t="s">
        <v>139</v>
      </c>
      <c r="D193" s="142"/>
      <c r="E193" s="1" t="s">
        <v>163</v>
      </c>
      <c r="F193" s="1" t="s">
        <v>163</v>
      </c>
      <c r="G193" s="1" t="s">
        <v>163</v>
      </c>
      <c r="H193" s="1" t="s">
        <v>163</v>
      </c>
      <c r="I193" s="1" t="s">
        <v>163</v>
      </c>
      <c r="J193" s="1" t="s">
        <v>163</v>
      </c>
      <c r="K193" s="1" t="s">
        <v>163</v>
      </c>
      <c r="L193" s="1"/>
      <c r="M193" s="143"/>
    </row>
    <row r="194" spans="1:15" x14ac:dyDescent="0.25">
      <c r="C194" s="130" t="s">
        <v>294</v>
      </c>
      <c r="D194" s="19"/>
      <c r="E194" s="131" t="s">
        <v>151</v>
      </c>
      <c r="F194" s="131" t="s">
        <v>152</v>
      </c>
      <c r="G194" s="131" t="s">
        <v>153</v>
      </c>
      <c r="H194" s="131" t="s">
        <v>154</v>
      </c>
      <c r="I194" s="131" t="s">
        <v>155</v>
      </c>
      <c r="J194" s="131" t="s">
        <v>156</v>
      </c>
      <c r="K194" s="131" t="s">
        <v>157</v>
      </c>
      <c r="L194" s="151" t="s">
        <v>275</v>
      </c>
      <c r="M194" s="19"/>
    </row>
    <row r="195" spans="1:15" x14ac:dyDescent="0.25">
      <c r="A195" s="2" t="s">
        <v>122</v>
      </c>
      <c r="C195" s="2" t="s">
        <v>21</v>
      </c>
      <c r="D195" s="2" t="s">
        <v>295</v>
      </c>
      <c r="E195" s="161" t="s">
        <v>277</v>
      </c>
      <c r="F195" s="2" t="s">
        <v>285</v>
      </c>
      <c r="G195" s="2" t="s">
        <v>278</v>
      </c>
      <c r="H195" s="2" t="s">
        <v>279</v>
      </c>
      <c r="I195" s="2" t="s">
        <v>280</v>
      </c>
      <c r="J195" s="2" t="s">
        <v>281</v>
      </c>
      <c r="K195" s="2" t="s">
        <v>282</v>
      </c>
      <c r="L195" s="2" t="s">
        <v>283</v>
      </c>
      <c r="M195" s="2" t="s">
        <v>7</v>
      </c>
      <c r="O195" s="2" t="s">
        <v>121</v>
      </c>
    </row>
    <row r="196" spans="1:15" ht="15" customHeight="1" x14ac:dyDescent="0.25">
      <c r="A196" s="157">
        <v>13</v>
      </c>
      <c r="C196" s="146">
        <v>352</v>
      </c>
      <c r="D196" s="98">
        <v>2.4E-2</v>
      </c>
      <c r="E196" s="124">
        <f t="shared" ref="E196:K206" si="51">+E25+E111</f>
        <v>0</v>
      </c>
      <c r="F196" s="124">
        <f t="shared" si="51"/>
        <v>0</v>
      </c>
      <c r="G196" s="124">
        <f t="shared" si="51"/>
        <v>0</v>
      </c>
      <c r="H196" s="124">
        <f t="shared" si="51"/>
        <v>0</v>
      </c>
      <c r="I196" s="124">
        <f t="shared" si="51"/>
        <v>0</v>
      </c>
      <c r="J196" s="124">
        <f t="shared" si="51"/>
        <v>2844940</v>
      </c>
      <c r="K196" s="124">
        <f t="shared" si="51"/>
        <v>2300385</v>
      </c>
      <c r="L196" s="124">
        <f t="shared" ref="L196" si="52">+L25+L111</f>
        <v>2632615</v>
      </c>
      <c r="M196" s="53">
        <f>SUM(E196:L196)</f>
        <v>7777940</v>
      </c>
      <c r="O196" s="42" t="s">
        <v>244</v>
      </c>
    </row>
    <row r="197" spans="1:15" x14ac:dyDescent="0.25">
      <c r="A197" s="157">
        <v>14</v>
      </c>
      <c r="C197" s="146">
        <v>353</v>
      </c>
      <c r="D197" s="98">
        <v>2.53E-2</v>
      </c>
      <c r="E197" s="124">
        <f t="shared" si="51"/>
        <v>0</v>
      </c>
      <c r="F197" s="124">
        <f t="shared" si="51"/>
        <v>8993648.8959411047</v>
      </c>
      <c r="G197" s="124">
        <f t="shared" si="51"/>
        <v>18329147.949788302</v>
      </c>
      <c r="H197" s="124">
        <f t="shared" si="51"/>
        <v>19334307.027113684</v>
      </c>
      <c r="I197" s="124">
        <f t="shared" si="51"/>
        <v>23889253.407931428</v>
      </c>
      <c r="J197" s="124">
        <f t="shared" si="51"/>
        <v>21644454.567098748</v>
      </c>
      <c r="K197" s="124">
        <f t="shared" si="51"/>
        <v>24492073.485300466</v>
      </c>
      <c r="L197" s="124">
        <f t="shared" ref="L197" si="53">+L26+L112</f>
        <v>17634639.371678643</v>
      </c>
      <c r="M197" s="53">
        <f t="shared" ref="M197:M206" si="54">SUM(E197:L197)</f>
        <v>134317524.70485237</v>
      </c>
      <c r="O197" s="42" t="s">
        <v>244</v>
      </c>
    </row>
    <row r="198" spans="1:15" x14ac:dyDescent="0.25">
      <c r="A198" s="157">
        <v>15</v>
      </c>
      <c r="C198" s="146">
        <v>354</v>
      </c>
      <c r="D198" s="98">
        <v>1.37E-2</v>
      </c>
      <c r="E198" s="124">
        <f t="shared" si="51"/>
        <v>0</v>
      </c>
      <c r="F198" s="124">
        <f t="shared" si="51"/>
        <v>1459099</v>
      </c>
      <c r="G198" s="124">
        <f t="shared" si="51"/>
        <v>1082432</v>
      </c>
      <c r="H198" s="124">
        <f t="shared" si="51"/>
        <v>850792</v>
      </c>
      <c r="I198" s="124">
        <f t="shared" si="51"/>
        <v>0</v>
      </c>
      <c r="J198" s="124">
        <f t="shared" si="51"/>
        <v>0</v>
      </c>
      <c r="K198" s="124">
        <f t="shared" si="51"/>
        <v>0</v>
      </c>
      <c r="L198" s="124">
        <f t="shared" ref="L198" si="55">+L27+L113</f>
        <v>0</v>
      </c>
      <c r="M198" s="53">
        <f t="shared" si="54"/>
        <v>3392323</v>
      </c>
      <c r="O198" s="42" t="s">
        <v>244</v>
      </c>
    </row>
    <row r="199" spans="1:15" x14ac:dyDescent="0.25">
      <c r="A199" s="157">
        <v>16</v>
      </c>
      <c r="C199" s="146">
        <v>356</v>
      </c>
      <c r="D199" s="98">
        <v>1.2E-2</v>
      </c>
      <c r="E199" s="124">
        <f t="shared" si="51"/>
        <v>0</v>
      </c>
      <c r="F199" s="124">
        <f t="shared" si="51"/>
        <v>7271227</v>
      </c>
      <c r="G199" s="124">
        <f t="shared" si="51"/>
        <v>4376599</v>
      </c>
      <c r="H199" s="124">
        <f t="shared" si="51"/>
        <v>4132020</v>
      </c>
      <c r="I199" s="124">
        <f t="shared" si="51"/>
        <v>11350071</v>
      </c>
      <c r="J199" s="124">
        <f t="shared" si="51"/>
        <v>11497320</v>
      </c>
      <c r="K199" s="124">
        <f t="shared" si="51"/>
        <v>10679473</v>
      </c>
      <c r="L199" s="124">
        <f t="shared" ref="L199" si="56">+L28+L114</f>
        <v>7601921</v>
      </c>
      <c r="M199" s="53">
        <f t="shared" si="54"/>
        <v>56908631</v>
      </c>
      <c r="O199" s="42" t="s">
        <v>244</v>
      </c>
    </row>
    <row r="200" spans="1:15" x14ac:dyDescent="0.25">
      <c r="A200" s="157">
        <v>17</v>
      </c>
      <c r="C200" s="146">
        <v>362</v>
      </c>
      <c r="D200" s="98">
        <v>1.61E-2</v>
      </c>
      <c r="E200" s="124">
        <f t="shared" si="51"/>
        <v>0</v>
      </c>
      <c r="F200" s="124">
        <f t="shared" si="51"/>
        <v>8219051.6154232984</v>
      </c>
      <c r="G200" s="124">
        <f t="shared" si="51"/>
        <v>27694567.750509504</v>
      </c>
      <c r="H200" s="124">
        <f t="shared" si="51"/>
        <v>35645818.359230161</v>
      </c>
      <c r="I200" s="124">
        <f t="shared" si="51"/>
        <v>50466340.015565693</v>
      </c>
      <c r="J200" s="124">
        <f t="shared" si="51"/>
        <v>30596410.199668802</v>
      </c>
      <c r="K200" s="124">
        <f t="shared" si="51"/>
        <v>42672181.833067864</v>
      </c>
      <c r="L200" s="124">
        <f t="shared" ref="L200" si="57">+L29+L115</f>
        <v>27465529.690307647</v>
      </c>
      <c r="M200" s="53">
        <f t="shared" si="54"/>
        <v>222759899.46377295</v>
      </c>
      <c r="O200" s="42" t="s">
        <v>244</v>
      </c>
    </row>
    <row r="201" spans="1:15" x14ac:dyDescent="0.25">
      <c r="A201" s="157">
        <v>18</v>
      </c>
      <c r="C201" s="146">
        <v>364</v>
      </c>
      <c r="D201" s="98">
        <v>2.06E-2</v>
      </c>
      <c r="E201" s="124">
        <f t="shared" si="51"/>
        <v>4281117</v>
      </c>
      <c r="F201" s="124">
        <f t="shared" si="51"/>
        <v>39393826.824751884</v>
      </c>
      <c r="G201" s="124">
        <f t="shared" si="51"/>
        <v>43600164.44733981</v>
      </c>
      <c r="H201" s="124">
        <f t="shared" si="51"/>
        <v>45821751.762263238</v>
      </c>
      <c r="I201" s="124">
        <f t="shared" si="51"/>
        <v>48506881.932303548</v>
      </c>
      <c r="J201" s="124">
        <f t="shared" si="51"/>
        <v>41630486.773153581</v>
      </c>
      <c r="K201" s="124">
        <f t="shared" si="51"/>
        <v>45318770.186141886</v>
      </c>
      <c r="L201" s="124">
        <f t="shared" ref="L201" si="58">+L30+L116</f>
        <v>38649111.074046075</v>
      </c>
      <c r="M201" s="53">
        <f t="shared" si="54"/>
        <v>307202110</v>
      </c>
      <c r="O201" s="42" t="s">
        <v>244</v>
      </c>
    </row>
    <row r="202" spans="1:15" x14ac:dyDescent="0.25">
      <c r="A202" s="157">
        <v>19</v>
      </c>
      <c r="C202" s="146">
        <v>365</v>
      </c>
      <c r="D202" s="98">
        <v>2.35E-2</v>
      </c>
      <c r="E202" s="124">
        <f t="shared" si="51"/>
        <v>12312934</v>
      </c>
      <c r="F202" s="124">
        <f t="shared" si="51"/>
        <v>23391700.354257625</v>
      </c>
      <c r="G202" s="124">
        <f t="shared" si="51"/>
        <v>24654522.981905095</v>
      </c>
      <c r="H202" s="124">
        <f t="shared" si="51"/>
        <v>27433572.938457452</v>
      </c>
      <c r="I202" s="124">
        <f t="shared" si="51"/>
        <v>30090148.725706272</v>
      </c>
      <c r="J202" s="124">
        <f t="shared" si="51"/>
        <v>26166817.83202235</v>
      </c>
      <c r="K202" s="124">
        <f t="shared" si="51"/>
        <v>26506737.330024216</v>
      </c>
      <c r="L202" s="124">
        <f t="shared" ref="L202" si="59">+L31+L117</f>
        <v>13411309.837626994</v>
      </c>
      <c r="M202" s="53">
        <f t="shared" si="54"/>
        <v>183967744</v>
      </c>
      <c r="O202" s="42" t="s">
        <v>244</v>
      </c>
    </row>
    <row r="203" spans="1:15" x14ac:dyDescent="0.25">
      <c r="A203" s="157">
        <v>20</v>
      </c>
      <c r="C203" s="146">
        <v>366</v>
      </c>
      <c r="D203" s="98">
        <v>2.6200000000000001E-2</v>
      </c>
      <c r="E203" s="124">
        <f t="shared" si="51"/>
        <v>250490</v>
      </c>
      <c r="F203" s="124">
        <f t="shared" si="51"/>
        <v>956626.25257896539</v>
      </c>
      <c r="G203" s="124">
        <f t="shared" si="51"/>
        <v>3819979.1194527559</v>
      </c>
      <c r="H203" s="124">
        <f t="shared" si="51"/>
        <v>1773867.7275753298</v>
      </c>
      <c r="I203" s="124">
        <f t="shared" si="51"/>
        <v>2590096.0735898432</v>
      </c>
      <c r="J203" s="124">
        <f t="shared" si="51"/>
        <v>1961710.5354043376</v>
      </c>
      <c r="K203" s="124">
        <f t="shared" si="51"/>
        <v>2791616.9592452967</v>
      </c>
      <c r="L203" s="124">
        <f t="shared" ref="L203" si="60">+L32+L118</f>
        <v>2000988.7321534716</v>
      </c>
      <c r="M203" s="53">
        <f t="shared" si="54"/>
        <v>16145375.4</v>
      </c>
      <c r="O203" s="42" t="s">
        <v>244</v>
      </c>
    </row>
    <row r="204" spans="1:15" x14ac:dyDescent="0.25">
      <c r="A204" s="157">
        <v>21</v>
      </c>
      <c r="C204" s="146">
        <v>367</v>
      </c>
      <c r="D204" s="98">
        <v>2.5499999999999998E-2</v>
      </c>
      <c r="E204" s="124">
        <f t="shared" si="51"/>
        <v>428901.28</v>
      </c>
      <c r="F204" s="124">
        <f t="shared" si="51"/>
        <v>13264822.985999268</v>
      </c>
      <c r="G204" s="124">
        <f t="shared" si="51"/>
        <v>13525311.742318137</v>
      </c>
      <c r="H204" s="124">
        <f t="shared" si="51"/>
        <v>14133115.058942929</v>
      </c>
      <c r="I204" s="124">
        <f t="shared" si="51"/>
        <v>15256614.000311125</v>
      </c>
      <c r="J204" s="124">
        <f t="shared" si="51"/>
        <v>13983692.060217226</v>
      </c>
      <c r="K204" s="124">
        <f t="shared" si="51"/>
        <v>15244276.131440017</v>
      </c>
      <c r="L204" s="124">
        <f t="shared" ref="L204" si="61">+L33+L119</f>
        <v>14262220.512034014</v>
      </c>
      <c r="M204" s="53">
        <f t="shared" si="54"/>
        <v>100098953.77126272</v>
      </c>
      <c r="O204" s="42" t="s">
        <v>244</v>
      </c>
    </row>
    <row r="205" spans="1:15" x14ac:dyDescent="0.25">
      <c r="A205" s="157">
        <v>22</v>
      </c>
      <c r="C205" s="146">
        <v>368</v>
      </c>
      <c r="D205" s="98">
        <v>6.4999999999999997E-3</v>
      </c>
      <c r="E205" s="124">
        <f t="shared" si="51"/>
        <v>231365</v>
      </c>
      <c r="F205" s="124">
        <f t="shared" si="51"/>
        <v>12845488.317032075</v>
      </c>
      <c r="G205" s="124">
        <f t="shared" si="51"/>
        <v>15618080.840592792</v>
      </c>
      <c r="H205" s="124">
        <f t="shared" si="51"/>
        <v>14823376.36827834</v>
      </c>
      <c r="I205" s="124">
        <f t="shared" si="51"/>
        <v>16406574.251733303</v>
      </c>
      <c r="J205" s="124">
        <f t="shared" si="51"/>
        <v>14044946.406586317</v>
      </c>
      <c r="K205" s="124">
        <f t="shared" si="51"/>
        <v>15092984.4356227</v>
      </c>
      <c r="L205" s="124">
        <f t="shared" ref="L205" si="62">+L34+L120</f>
        <v>14073977.947434455</v>
      </c>
      <c r="M205" s="53">
        <f t="shared" si="54"/>
        <v>103136793.56727999</v>
      </c>
      <c r="O205" s="42" t="s">
        <v>244</v>
      </c>
    </row>
    <row r="206" spans="1:15" x14ac:dyDescent="0.25">
      <c r="A206" s="157">
        <v>23</v>
      </c>
      <c r="C206" s="146">
        <v>370.01</v>
      </c>
      <c r="D206" s="98">
        <v>0.19350000000000001</v>
      </c>
      <c r="E206" s="125">
        <f t="shared" si="51"/>
        <v>0</v>
      </c>
      <c r="F206" s="125">
        <f t="shared" si="51"/>
        <v>11672170.556735711</v>
      </c>
      <c r="G206" s="125">
        <f t="shared" si="51"/>
        <v>10113990.863258481</v>
      </c>
      <c r="H206" s="125">
        <f t="shared" si="51"/>
        <v>9449080.9660768695</v>
      </c>
      <c r="I206" s="125">
        <f t="shared" si="51"/>
        <v>5559969</v>
      </c>
      <c r="J206" s="125">
        <f t="shared" si="51"/>
        <v>0</v>
      </c>
      <c r="K206" s="125">
        <f t="shared" si="51"/>
        <v>0</v>
      </c>
      <c r="L206" s="125">
        <f t="shared" ref="L206" si="63">+L35+L121</f>
        <v>3929282.6139289439</v>
      </c>
      <c r="M206" s="6">
        <f t="shared" si="54"/>
        <v>40724494</v>
      </c>
      <c r="O206" s="42" t="s">
        <v>244</v>
      </c>
    </row>
    <row r="207" spans="1:15" x14ac:dyDescent="0.25">
      <c r="A207" s="157">
        <v>24</v>
      </c>
      <c r="C207" s="130" t="s">
        <v>164</v>
      </c>
      <c r="D207" s="19"/>
      <c r="E207" s="53">
        <f t="shared" ref="E207:M207" si="64">SUM(E196:E206)</f>
        <v>17504807.280000001</v>
      </c>
      <c r="F207" s="53">
        <f t="shared" si="64"/>
        <v>127467661.80271992</v>
      </c>
      <c r="G207" s="53">
        <f t="shared" si="64"/>
        <v>162814796.69516489</v>
      </c>
      <c r="H207" s="53">
        <f t="shared" si="64"/>
        <v>173397702.20793799</v>
      </c>
      <c r="I207" s="53">
        <f t="shared" si="64"/>
        <v>204115948.40714121</v>
      </c>
      <c r="J207" s="53">
        <f t="shared" si="64"/>
        <v>164370778.37415135</v>
      </c>
      <c r="K207" s="53">
        <f t="shared" si="64"/>
        <v>185098498.36084244</v>
      </c>
      <c r="L207" s="53">
        <f t="shared" ref="L207" si="65">SUM(L196:L206)</f>
        <v>141661595.77921024</v>
      </c>
      <c r="M207" s="53">
        <f t="shared" si="64"/>
        <v>1176431788.9071681</v>
      </c>
    </row>
    <row r="208" spans="1:15" x14ac:dyDescent="0.25">
      <c r="A208" s="157"/>
      <c r="C208" s="130"/>
      <c r="D208" s="19"/>
      <c r="E208" s="53"/>
      <c r="F208" s="53"/>
      <c r="G208" s="53"/>
      <c r="H208" s="53"/>
      <c r="I208" s="53"/>
      <c r="J208" s="53"/>
      <c r="K208" s="53"/>
      <c r="L208" s="53"/>
      <c r="M208" s="53"/>
    </row>
    <row r="209" spans="1:15" x14ac:dyDescent="0.25">
      <c r="A209" s="157"/>
      <c r="C209" s="131" t="s">
        <v>160</v>
      </c>
      <c r="D209" s="19"/>
      <c r="E209" s="53">
        <f t="shared" ref="E209:K209" si="66">+E38+E124</f>
        <v>28415644</v>
      </c>
      <c r="F209" s="53">
        <f t="shared" si="66"/>
        <v>36934147.851570413</v>
      </c>
      <c r="G209" s="53">
        <f t="shared" si="66"/>
        <v>38910067.527180046</v>
      </c>
      <c r="H209" s="53">
        <f t="shared" si="66"/>
        <v>48342990.78618703</v>
      </c>
      <c r="I209" s="53">
        <f t="shared" si="66"/>
        <v>40241025.796300784</v>
      </c>
      <c r="J209" s="53">
        <f t="shared" si="66"/>
        <v>44983729.760139942</v>
      </c>
      <c r="K209" s="53">
        <f t="shared" si="66"/>
        <v>25195952.105326388</v>
      </c>
      <c r="L209" s="53">
        <f t="shared" ref="L209" si="67">+L38+L124</f>
        <v>0</v>
      </c>
      <c r="M209" s="9"/>
      <c r="N209" s="9"/>
    </row>
    <row r="210" spans="1:15" x14ac:dyDescent="0.25">
      <c r="A210" s="157"/>
      <c r="C210" s="130"/>
      <c r="D210" s="19"/>
      <c r="E210" s="53"/>
      <c r="F210" s="53"/>
      <c r="G210" s="53"/>
      <c r="H210" s="53"/>
      <c r="I210" s="53"/>
      <c r="J210" s="53"/>
      <c r="K210" s="53"/>
      <c r="L210" s="53"/>
      <c r="M210" s="9"/>
      <c r="N210" s="9"/>
    </row>
    <row r="211" spans="1:15" x14ac:dyDescent="0.25">
      <c r="A211" s="157"/>
      <c r="C211" s="148" t="s">
        <v>139</v>
      </c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</row>
    <row r="212" spans="1:15" x14ac:dyDescent="0.25">
      <c r="A212" s="157"/>
      <c r="C212" s="130" t="s">
        <v>158</v>
      </c>
      <c r="D212" s="19"/>
      <c r="E212" s="131" t="s">
        <v>151</v>
      </c>
      <c r="F212" s="131" t="s">
        <v>152</v>
      </c>
      <c r="G212" s="131" t="s">
        <v>153</v>
      </c>
      <c r="H212" s="131" t="s">
        <v>154</v>
      </c>
      <c r="I212" s="131" t="s">
        <v>155</v>
      </c>
      <c r="J212" s="131" t="s">
        <v>156</v>
      </c>
      <c r="K212" s="131" t="s">
        <v>157</v>
      </c>
      <c r="L212" s="151" t="s">
        <v>275</v>
      </c>
      <c r="M212" s="19"/>
      <c r="N212" s="19"/>
    </row>
    <row r="213" spans="1:15" x14ac:dyDescent="0.25">
      <c r="A213" s="157"/>
      <c r="C213" s="2" t="s">
        <v>21</v>
      </c>
      <c r="D213" s="2" t="s">
        <v>295</v>
      </c>
      <c r="E213" s="161" t="s">
        <v>284</v>
      </c>
      <c r="F213" s="161">
        <v>44286</v>
      </c>
      <c r="G213" s="161">
        <v>44651</v>
      </c>
      <c r="H213" s="161">
        <v>45016</v>
      </c>
      <c r="I213" s="161">
        <v>45382</v>
      </c>
      <c r="J213" s="161">
        <v>45747</v>
      </c>
      <c r="K213" s="161">
        <v>46112</v>
      </c>
      <c r="L213" s="161" t="s">
        <v>286</v>
      </c>
      <c r="M213" s="19"/>
      <c r="N213" s="19"/>
      <c r="O213" s="2" t="s">
        <v>121</v>
      </c>
    </row>
    <row r="214" spans="1:15" x14ac:dyDescent="0.25">
      <c r="A214" s="157">
        <v>25</v>
      </c>
      <c r="C214" s="146">
        <v>352</v>
      </c>
      <c r="D214" s="98">
        <v>2.4E-2</v>
      </c>
      <c r="E214" s="124">
        <f t="shared" ref="E214:K224" si="68">+E43+E129</f>
        <v>0</v>
      </c>
      <c r="F214" s="124">
        <f t="shared" si="68"/>
        <v>0</v>
      </c>
      <c r="G214" s="124">
        <f t="shared" si="68"/>
        <v>0</v>
      </c>
      <c r="H214" s="124">
        <f t="shared" si="68"/>
        <v>0</v>
      </c>
      <c r="I214" s="124">
        <f t="shared" si="68"/>
        <v>0</v>
      </c>
      <c r="J214" s="124">
        <f t="shared" si="68"/>
        <v>2844940</v>
      </c>
      <c r="K214" s="124">
        <f t="shared" si="68"/>
        <v>5145325</v>
      </c>
      <c r="L214" s="124">
        <f t="shared" ref="L214" si="69">+L43+L129</f>
        <v>7777940</v>
      </c>
      <c r="M214" s="53"/>
      <c r="O214" s="42" t="s">
        <v>244</v>
      </c>
    </row>
    <row r="215" spans="1:15" x14ac:dyDescent="0.25">
      <c r="A215" s="157">
        <v>26</v>
      </c>
      <c r="C215" s="146">
        <v>353</v>
      </c>
      <c r="D215" s="98">
        <v>2.53E-2</v>
      </c>
      <c r="E215" s="53">
        <f t="shared" si="68"/>
        <v>0</v>
      </c>
      <c r="F215" s="53">
        <f t="shared" si="68"/>
        <v>8993648.8959411047</v>
      </c>
      <c r="G215" s="53">
        <f t="shared" si="68"/>
        <v>27322796.845729407</v>
      </c>
      <c r="H215" s="53">
        <f t="shared" si="68"/>
        <v>46657103.872843087</v>
      </c>
      <c r="I215" s="53">
        <f t="shared" si="68"/>
        <v>70546357.280774519</v>
      </c>
      <c r="J215" s="53">
        <f t="shared" si="68"/>
        <v>92190811.847873271</v>
      </c>
      <c r="K215" s="53">
        <f t="shared" si="68"/>
        <v>116682885.33317374</v>
      </c>
      <c r="L215" s="53">
        <f t="shared" ref="L215" si="70">+L44+L130</f>
        <v>134317524.70485237</v>
      </c>
      <c r="M215" s="53"/>
      <c r="O215" s="42" t="s">
        <v>244</v>
      </c>
    </row>
    <row r="216" spans="1:15" x14ac:dyDescent="0.25">
      <c r="A216" s="157">
        <v>27</v>
      </c>
      <c r="C216" s="146">
        <v>354</v>
      </c>
      <c r="D216" s="98">
        <v>1.37E-2</v>
      </c>
      <c r="E216" s="53">
        <f t="shared" si="68"/>
        <v>0</v>
      </c>
      <c r="F216" s="53">
        <f t="shared" si="68"/>
        <v>1459099</v>
      </c>
      <c r="G216" s="53">
        <f t="shared" si="68"/>
        <v>2541531</v>
      </c>
      <c r="H216" s="53">
        <f t="shared" si="68"/>
        <v>3392323</v>
      </c>
      <c r="I216" s="53">
        <f t="shared" si="68"/>
        <v>3392323</v>
      </c>
      <c r="J216" s="53">
        <f t="shared" si="68"/>
        <v>3392323</v>
      </c>
      <c r="K216" s="53">
        <f t="shared" si="68"/>
        <v>3392323</v>
      </c>
      <c r="L216" s="53">
        <f t="shared" ref="L216" si="71">+L45+L131</f>
        <v>3392323</v>
      </c>
      <c r="M216" s="53"/>
      <c r="O216" s="42" t="s">
        <v>244</v>
      </c>
    </row>
    <row r="217" spans="1:15" x14ac:dyDescent="0.25">
      <c r="A217" s="157">
        <v>28</v>
      </c>
      <c r="C217" s="146">
        <v>356</v>
      </c>
      <c r="D217" s="98">
        <v>1.2E-2</v>
      </c>
      <c r="E217" s="53">
        <f t="shared" si="68"/>
        <v>0</v>
      </c>
      <c r="F217" s="53">
        <f t="shared" si="68"/>
        <v>7271227</v>
      </c>
      <c r="G217" s="53">
        <f t="shared" si="68"/>
        <v>11647826</v>
      </c>
      <c r="H217" s="53">
        <f t="shared" si="68"/>
        <v>15779846</v>
      </c>
      <c r="I217" s="53">
        <f t="shared" si="68"/>
        <v>27129917</v>
      </c>
      <c r="J217" s="53">
        <f t="shared" si="68"/>
        <v>38627237</v>
      </c>
      <c r="K217" s="53">
        <f t="shared" si="68"/>
        <v>49306710</v>
      </c>
      <c r="L217" s="53">
        <f t="shared" ref="L217" si="72">+L46+L132</f>
        <v>56908631</v>
      </c>
      <c r="M217" s="53"/>
      <c r="O217" s="42" t="s">
        <v>244</v>
      </c>
    </row>
    <row r="218" spans="1:15" x14ac:dyDescent="0.25">
      <c r="A218" s="157">
        <v>29</v>
      </c>
      <c r="C218" s="146">
        <v>362</v>
      </c>
      <c r="D218" s="98">
        <v>1.61E-2</v>
      </c>
      <c r="E218" s="53">
        <f t="shared" si="68"/>
        <v>0</v>
      </c>
      <c r="F218" s="53">
        <f t="shared" si="68"/>
        <v>8219051.6154232984</v>
      </c>
      <c r="G218" s="53">
        <f t="shared" si="68"/>
        <v>35913619.3659328</v>
      </c>
      <c r="H218" s="53">
        <f t="shared" si="68"/>
        <v>71559437.725162953</v>
      </c>
      <c r="I218" s="53">
        <f t="shared" si="68"/>
        <v>122025777.74072865</v>
      </c>
      <c r="J218" s="53">
        <f t="shared" si="68"/>
        <v>152622187.94039744</v>
      </c>
      <c r="K218" s="53">
        <f t="shared" si="68"/>
        <v>195294369.77346531</v>
      </c>
      <c r="L218" s="53">
        <f t="shared" ref="L218" si="73">+L47+L133</f>
        <v>222759899.46377295</v>
      </c>
      <c r="M218" s="53"/>
      <c r="O218" s="42" t="s">
        <v>244</v>
      </c>
    </row>
    <row r="219" spans="1:15" x14ac:dyDescent="0.25">
      <c r="A219" s="157">
        <v>30</v>
      </c>
      <c r="C219" s="146">
        <v>364</v>
      </c>
      <c r="D219" s="98">
        <v>2.06E-2</v>
      </c>
      <c r="E219" s="53">
        <f t="shared" si="68"/>
        <v>4281117</v>
      </c>
      <c r="F219" s="53">
        <f t="shared" si="68"/>
        <v>43674943.824751884</v>
      </c>
      <c r="G219" s="53">
        <f t="shared" si="68"/>
        <v>87275108.272091687</v>
      </c>
      <c r="H219" s="53">
        <f t="shared" si="68"/>
        <v>133096860.03435493</v>
      </c>
      <c r="I219" s="53">
        <f t="shared" si="68"/>
        <v>181603741.96665847</v>
      </c>
      <c r="J219" s="53">
        <f t="shared" si="68"/>
        <v>223234228.73981205</v>
      </c>
      <c r="K219" s="53">
        <f t="shared" si="68"/>
        <v>268552998.92595392</v>
      </c>
      <c r="L219" s="53">
        <f t="shared" ref="L219" si="74">+L48+L134</f>
        <v>307202110</v>
      </c>
      <c r="M219" s="53"/>
      <c r="O219" s="42" t="s">
        <v>244</v>
      </c>
    </row>
    <row r="220" spans="1:15" x14ac:dyDescent="0.25">
      <c r="A220" s="157">
        <v>31</v>
      </c>
      <c r="C220" s="146">
        <v>365</v>
      </c>
      <c r="D220" s="98">
        <v>2.35E-2</v>
      </c>
      <c r="E220" s="53">
        <f t="shared" si="68"/>
        <v>12312934</v>
      </c>
      <c r="F220" s="53">
        <f t="shared" si="68"/>
        <v>35704634.354257628</v>
      </c>
      <c r="G220" s="53">
        <f t="shared" si="68"/>
        <v>60359157.336162724</v>
      </c>
      <c r="H220" s="53">
        <f t="shared" si="68"/>
        <v>87792730.274620175</v>
      </c>
      <c r="I220" s="53">
        <f t="shared" si="68"/>
        <v>117882879.00032645</v>
      </c>
      <c r="J220" s="53">
        <f t="shared" si="68"/>
        <v>144049696.83234879</v>
      </c>
      <c r="K220" s="53">
        <f t="shared" si="68"/>
        <v>170556434.16237301</v>
      </c>
      <c r="L220" s="53">
        <f t="shared" ref="L220" si="75">+L49+L135</f>
        <v>183967744</v>
      </c>
      <c r="M220" s="53"/>
      <c r="O220" s="42" t="s">
        <v>244</v>
      </c>
    </row>
    <row r="221" spans="1:15" x14ac:dyDescent="0.25">
      <c r="A221" s="157">
        <v>32</v>
      </c>
      <c r="C221" s="146">
        <v>366</v>
      </c>
      <c r="D221" s="98">
        <v>2.6200000000000001E-2</v>
      </c>
      <c r="E221" s="53">
        <f t="shared" si="68"/>
        <v>250490</v>
      </c>
      <c r="F221" s="53">
        <f t="shared" si="68"/>
        <v>1207116.2525789654</v>
      </c>
      <c r="G221" s="53">
        <f t="shared" si="68"/>
        <v>5027095.3720317213</v>
      </c>
      <c r="H221" s="53">
        <f t="shared" si="68"/>
        <v>6800963.0996070514</v>
      </c>
      <c r="I221" s="53">
        <f t="shared" si="68"/>
        <v>9391059.173196895</v>
      </c>
      <c r="J221" s="53">
        <f t="shared" si="68"/>
        <v>11352769.708601233</v>
      </c>
      <c r="K221" s="53">
        <f t="shared" si="68"/>
        <v>14144386.667846529</v>
      </c>
      <c r="L221" s="53">
        <f t="shared" ref="L221" si="76">+L50+L136</f>
        <v>16145375.4</v>
      </c>
      <c r="M221" s="53"/>
      <c r="O221" s="42" t="s">
        <v>244</v>
      </c>
    </row>
    <row r="222" spans="1:15" x14ac:dyDescent="0.25">
      <c r="A222" s="157">
        <v>33</v>
      </c>
      <c r="C222" s="146">
        <v>367</v>
      </c>
      <c r="D222" s="98">
        <v>2.5499999999999998E-2</v>
      </c>
      <c r="E222" s="53">
        <f t="shared" si="68"/>
        <v>428901.28</v>
      </c>
      <c r="F222" s="53">
        <f t="shared" si="68"/>
        <v>13693724.265999267</v>
      </c>
      <c r="G222" s="53">
        <f t="shared" si="68"/>
        <v>27219036.008317403</v>
      </c>
      <c r="H222" s="53">
        <f t="shared" si="68"/>
        <v>41352151.067260332</v>
      </c>
      <c r="I222" s="53">
        <f t="shared" si="68"/>
        <v>56608765.067571461</v>
      </c>
      <c r="J222" s="53">
        <f t="shared" si="68"/>
        <v>70592457.127788693</v>
      </c>
      <c r="K222" s="53">
        <f t="shared" si="68"/>
        <v>85836733.259228706</v>
      </c>
      <c r="L222" s="53">
        <f t="shared" ref="L222" si="77">+L51+L137</f>
        <v>100098953.77126272</v>
      </c>
      <c r="M222" s="53"/>
      <c r="O222" s="42" t="s">
        <v>244</v>
      </c>
    </row>
    <row r="223" spans="1:15" x14ac:dyDescent="0.25">
      <c r="A223" s="157">
        <v>34</v>
      </c>
      <c r="C223" s="146">
        <v>368</v>
      </c>
      <c r="D223" s="98">
        <v>6.4999999999999997E-3</v>
      </c>
      <c r="E223" s="53">
        <f t="shared" si="68"/>
        <v>231365</v>
      </c>
      <c r="F223" s="53">
        <f t="shared" si="68"/>
        <v>13076853.317032075</v>
      </c>
      <c r="G223" s="53">
        <f t="shared" si="68"/>
        <v>28694934.157624867</v>
      </c>
      <c r="H223" s="53">
        <f t="shared" si="68"/>
        <v>43518310.52590321</v>
      </c>
      <c r="I223" s="53">
        <f t="shared" si="68"/>
        <v>59924884.777636513</v>
      </c>
      <c r="J223" s="53">
        <f t="shared" si="68"/>
        <v>73969831.184222832</v>
      </c>
      <c r="K223" s="53">
        <f t="shared" si="68"/>
        <v>89062815.619845539</v>
      </c>
      <c r="L223" s="53">
        <f t="shared" ref="L223" si="78">+L52+L138</f>
        <v>103136793.56727999</v>
      </c>
      <c r="M223" s="53"/>
      <c r="O223" s="42" t="s">
        <v>244</v>
      </c>
    </row>
    <row r="224" spans="1:15" x14ac:dyDescent="0.25">
      <c r="A224" s="157">
        <v>35</v>
      </c>
      <c r="C224" s="146">
        <v>370.01</v>
      </c>
      <c r="D224" s="98">
        <v>0.19350000000000001</v>
      </c>
      <c r="E224" s="6">
        <f t="shared" si="68"/>
        <v>0</v>
      </c>
      <c r="F224" s="6">
        <f t="shared" si="68"/>
        <v>11672170.556735711</v>
      </c>
      <c r="G224" s="6">
        <f t="shared" si="68"/>
        <v>21786161.41999419</v>
      </c>
      <c r="H224" s="6">
        <f t="shared" si="68"/>
        <v>31235242.38607106</v>
      </c>
      <c r="I224" s="6">
        <f t="shared" si="68"/>
        <v>36795211.386071056</v>
      </c>
      <c r="J224" s="6">
        <f t="shared" si="68"/>
        <v>36795211.386071056</v>
      </c>
      <c r="K224" s="6">
        <f t="shared" si="68"/>
        <v>36795211.386071056</v>
      </c>
      <c r="L224" s="6">
        <f t="shared" ref="L224" si="79">+L53+L139</f>
        <v>40724494</v>
      </c>
      <c r="M224" s="53"/>
      <c r="O224" s="42" t="s">
        <v>244</v>
      </c>
    </row>
    <row r="225" spans="1:15" x14ac:dyDescent="0.25">
      <c r="A225" s="157">
        <v>36</v>
      </c>
      <c r="C225" s="130" t="s">
        <v>137</v>
      </c>
      <c r="D225" s="19"/>
      <c r="E225" s="53">
        <f t="shared" ref="E225:K225" si="80">SUM(E214:E224)</f>
        <v>17504807.280000001</v>
      </c>
      <c r="F225" s="53">
        <f t="shared" si="80"/>
        <v>144972469.08271992</v>
      </c>
      <c r="G225" s="53">
        <f t="shared" si="80"/>
        <v>307787265.77788478</v>
      </c>
      <c r="H225" s="53">
        <f t="shared" si="80"/>
        <v>481184967.9858228</v>
      </c>
      <c r="I225" s="53">
        <f t="shared" si="80"/>
        <v>685300916.39296401</v>
      </c>
      <c r="J225" s="53">
        <f t="shared" si="80"/>
        <v>849671694.76711535</v>
      </c>
      <c r="K225" s="53">
        <f t="shared" si="80"/>
        <v>1034770193.1279579</v>
      </c>
      <c r="L225" s="53">
        <f t="shared" ref="L225" si="81">SUM(L214:L224)</f>
        <v>1176431788.9071681</v>
      </c>
      <c r="M225" s="53"/>
    </row>
    <row r="226" spans="1:15" x14ac:dyDescent="0.25">
      <c r="A226" s="157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</row>
    <row r="227" spans="1:15" x14ac:dyDescent="0.25">
      <c r="A227" s="157"/>
      <c r="C227" s="148" t="s">
        <v>139</v>
      </c>
      <c r="D227" s="19"/>
      <c r="E227" s="53"/>
      <c r="F227" s="53"/>
      <c r="G227" s="53"/>
      <c r="H227" s="53"/>
      <c r="I227" s="53"/>
      <c r="J227" s="53"/>
      <c r="K227" s="53"/>
      <c r="L227" s="53"/>
      <c r="M227" s="19"/>
    </row>
    <row r="228" spans="1:15" x14ac:dyDescent="0.25">
      <c r="A228" s="157"/>
      <c r="C228" s="130" t="s">
        <v>135</v>
      </c>
      <c r="D228" s="19"/>
      <c r="E228" s="131" t="s">
        <v>151</v>
      </c>
      <c r="F228" s="131" t="s">
        <v>152</v>
      </c>
      <c r="G228" s="131" t="s">
        <v>153</v>
      </c>
      <c r="H228" s="131" t="s">
        <v>154</v>
      </c>
      <c r="I228" s="131" t="s">
        <v>155</v>
      </c>
      <c r="J228" s="131" t="s">
        <v>156</v>
      </c>
      <c r="K228" s="131" t="s">
        <v>157</v>
      </c>
      <c r="L228" s="151" t="s">
        <v>275</v>
      </c>
      <c r="M228" s="19"/>
    </row>
    <row r="229" spans="1:15" x14ac:dyDescent="0.25">
      <c r="A229" s="157"/>
      <c r="C229" s="2" t="s">
        <v>21</v>
      </c>
      <c r="D229" s="2" t="s">
        <v>295</v>
      </c>
      <c r="E229" s="161" t="s">
        <v>277</v>
      </c>
      <c r="F229" s="2" t="s">
        <v>285</v>
      </c>
      <c r="G229" s="2" t="s">
        <v>278</v>
      </c>
      <c r="H229" s="2" t="s">
        <v>279</v>
      </c>
      <c r="I229" s="2" t="s">
        <v>280</v>
      </c>
      <c r="J229" s="2" t="s">
        <v>281</v>
      </c>
      <c r="K229" s="2" t="s">
        <v>282</v>
      </c>
      <c r="L229" s="2" t="s">
        <v>283</v>
      </c>
      <c r="M229" s="19"/>
      <c r="O229" s="2" t="s">
        <v>121</v>
      </c>
    </row>
    <row r="230" spans="1:15" x14ac:dyDescent="0.25">
      <c r="A230" s="157">
        <v>37</v>
      </c>
      <c r="C230" s="146">
        <v>352</v>
      </c>
      <c r="D230" s="98">
        <v>2.4E-2</v>
      </c>
      <c r="E230" s="53">
        <f t="shared" ref="E230:K240" si="82">+E59+E145</f>
        <v>0</v>
      </c>
      <c r="F230" s="53">
        <f t="shared" si="82"/>
        <v>0</v>
      </c>
      <c r="G230" s="53">
        <f t="shared" si="82"/>
        <v>0</v>
      </c>
      <c r="H230" s="53">
        <f t="shared" si="82"/>
        <v>0</v>
      </c>
      <c r="I230" s="53">
        <f t="shared" si="82"/>
        <v>0</v>
      </c>
      <c r="J230" s="53">
        <f t="shared" si="82"/>
        <v>34139.279999999999</v>
      </c>
      <c r="K230" s="53">
        <f t="shared" si="82"/>
        <v>95883.18</v>
      </c>
      <c r="L230" s="53">
        <f t="shared" ref="L230" si="83">+L59+L145</f>
        <v>155079.18</v>
      </c>
      <c r="M230" s="53"/>
      <c r="O230" s="158" t="s">
        <v>244</v>
      </c>
    </row>
    <row r="231" spans="1:15" x14ac:dyDescent="0.25">
      <c r="A231" s="157">
        <v>38</v>
      </c>
      <c r="C231" s="146">
        <v>353</v>
      </c>
      <c r="D231" s="98">
        <v>2.53E-2</v>
      </c>
      <c r="E231" s="53">
        <f t="shared" si="82"/>
        <v>0</v>
      </c>
      <c r="F231" s="53">
        <f t="shared" si="82"/>
        <v>113769.65853365498</v>
      </c>
      <c r="G231" s="53">
        <f t="shared" si="82"/>
        <v>459403.038632132</v>
      </c>
      <c r="H231" s="53">
        <f t="shared" si="82"/>
        <v>935845.74408994208</v>
      </c>
      <c r="I231" s="53">
        <f t="shared" si="82"/>
        <v>1482623.7835932628</v>
      </c>
      <c r="J231" s="53">
        <f t="shared" si="82"/>
        <v>2058625.1894773943</v>
      </c>
      <c r="K231" s="53">
        <f t="shared" si="82"/>
        <v>2642252.2693402441</v>
      </c>
      <c r="L231" s="53">
        <f t="shared" ref="L231" si="84">+L60+L146</f>
        <v>3175155.1869810307</v>
      </c>
      <c r="M231" s="53"/>
      <c r="O231" s="159" t="s">
        <v>244</v>
      </c>
    </row>
    <row r="232" spans="1:15" x14ac:dyDescent="0.25">
      <c r="A232" s="157">
        <v>39</v>
      </c>
      <c r="C232" s="146">
        <v>354</v>
      </c>
      <c r="D232" s="98">
        <v>1.37E-2</v>
      </c>
      <c r="E232" s="53">
        <f t="shared" si="82"/>
        <v>0</v>
      </c>
      <c r="F232" s="53">
        <f t="shared" si="82"/>
        <v>9994.8281499999994</v>
      </c>
      <c r="G232" s="53">
        <f t="shared" si="82"/>
        <v>27404.315499999997</v>
      </c>
      <c r="H232" s="53">
        <f t="shared" si="82"/>
        <v>40646.899899999997</v>
      </c>
      <c r="I232" s="53">
        <f t="shared" si="82"/>
        <v>46474.825100000002</v>
      </c>
      <c r="J232" s="53">
        <f t="shared" si="82"/>
        <v>46474.825100000002</v>
      </c>
      <c r="K232" s="53">
        <f t="shared" si="82"/>
        <v>46474.825100000002</v>
      </c>
      <c r="L232" s="53">
        <f t="shared" ref="L232" si="85">+L61+L147</f>
        <v>46474.825100000002</v>
      </c>
      <c r="M232" s="53"/>
      <c r="O232" s="159" t="s">
        <v>244</v>
      </c>
    </row>
    <row r="233" spans="1:15" x14ac:dyDescent="0.25">
      <c r="A233" s="157">
        <v>40</v>
      </c>
      <c r="C233" s="146">
        <v>356</v>
      </c>
      <c r="D233" s="98">
        <v>1.2E-2</v>
      </c>
      <c r="E233" s="53">
        <f t="shared" si="82"/>
        <v>0</v>
      </c>
      <c r="F233" s="53">
        <f t="shared" si="82"/>
        <v>43627.362000000001</v>
      </c>
      <c r="G233" s="53">
        <f t="shared" si="82"/>
        <v>113514.318</v>
      </c>
      <c r="H233" s="53">
        <f t="shared" si="82"/>
        <v>164566.03200000001</v>
      </c>
      <c r="I233" s="53">
        <f t="shared" si="82"/>
        <v>257458.57800000001</v>
      </c>
      <c r="J233" s="53">
        <f t="shared" si="82"/>
        <v>394542.924</v>
      </c>
      <c r="K233" s="53">
        <f t="shared" si="82"/>
        <v>527603.68200000003</v>
      </c>
      <c r="L233" s="53">
        <f t="shared" ref="L233" si="86">+L62+L148</f>
        <v>637292.04599999997</v>
      </c>
      <c r="M233" s="53"/>
      <c r="O233" s="159" t="s">
        <v>244</v>
      </c>
    </row>
    <row r="234" spans="1:15" x14ac:dyDescent="0.25">
      <c r="A234" s="157">
        <v>41</v>
      </c>
      <c r="C234" s="146">
        <v>362</v>
      </c>
      <c r="D234" s="98">
        <v>1.61E-2</v>
      </c>
      <c r="E234" s="53">
        <f t="shared" si="82"/>
        <v>0</v>
      </c>
      <c r="F234" s="53">
        <f t="shared" si="82"/>
        <v>66163.365504157555</v>
      </c>
      <c r="G234" s="53">
        <f t="shared" si="82"/>
        <v>355268.0013999166</v>
      </c>
      <c r="H234" s="53">
        <f t="shared" si="82"/>
        <v>865158.10958332079</v>
      </c>
      <c r="I234" s="53">
        <f t="shared" si="82"/>
        <v>1558360.9845004275</v>
      </c>
      <c r="J234" s="53">
        <f t="shared" si="82"/>
        <v>2210916.1237330651</v>
      </c>
      <c r="K234" s="53">
        <f t="shared" si="82"/>
        <v>2800728.2895965949</v>
      </c>
      <c r="L234" s="53">
        <f t="shared" ref="L234" si="87">+L63+L149</f>
        <v>3365336.8673597677</v>
      </c>
      <c r="M234" s="53"/>
      <c r="O234" s="159" t="s">
        <v>244</v>
      </c>
    </row>
    <row r="235" spans="1:15" x14ac:dyDescent="0.25">
      <c r="A235" s="157">
        <v>42</v>
      </c>
      <c r="C235" s="146">
        <v>364</v>
      </c>
      <c r="D235" s="98">
        <v>2.06E-2</v>
      </c>
      <c r="E235" s="53">
        <f t="shared" si="82"/>
        <v>44095.505100000002</v>
      </c>
      <c r="F235" s="53">
        <f t="shared" si="82"/>
        <v>493947.42649494443</v>
      </c>
      <c r="G235" s="53">
        <f t="shared" si="82"/>
        <v>1348785.5365974889</v>
      </c>
      <c r="H235" s="53">
        <f t="shared" si="82"/>
        <v>2269831.2735564001</v>
      </c>
      <c r="I235" s="53">
        <f t="shared" si="82"/>
        <v>3241416.2006104384</v>
      </c>
      <c r="J235" s="53">
        <f t="shared" si="82"/>
        <v>4169831.0982766463</v>
      </c>
      <c r="K235" s="53">
        <f t="shared" si="82"/>
        <v>5065408.4449573904</v>
      </c>
      <c r="L235" s="53">
        <f t="shared" ref="L235" si="88">+L64+L150</f>
        <v>5930277.6219373262</v>
      </c>
      <c r="M235" s="53"/>
      <c r="O235" s="159" t="s">
        <v>244</v>
      </c>
    </row>
    <row r="236" spans="1:15" x14ac:dyDescent="0.25">
      <c r="A236" s="157">
        <v>43</v>
      </c>
      <c r="C236" s="146">
        <v>365</v>
      </c>
      <c r="D236" s="98">
        <v>2.35E-2</v>
      </c>
      <c r="E236" s="53">
        <f t="shared" si="82"/>
        <v>144676.97450000001</v>
      </c>
      <c r="F236" s="53">
        <f t="shared" si="82"/>
        <v>564206.42816252704</v>
      </c>
      <c r="G236" s="53">
        <f t="shared" si="82"/>
        <v>1128749.5523624392</v>
      </c>
      <c r="H236" s="53">
        <f t="shared" si="82"/>
        <v>1740784.6794266989</v>
      </c>
      <c r="I236" s="53">
        <f t="shared" si="82"/>
        <v>2416688.4089806229</v>
      </c>
      <c r="J236" s="53">
        <f t="shared" si="82"/>
        <v>3077707.7660339344</v>
      </c>
      <c r="K236" s="53">
        <f t="shared" si="82"/>
        <v>3696622.0391879813</v>
      </c>
      <c r="L236" s="53">
        <f t="shared" ref="L236" si="89">+L65+L151</f>
        <v>4165659.0934078828</v>
      </c>
      <c r="M236" s="53"/>
      <c r="O236" s="159" t="s">
        <v>244</v>
      </c>
    </row>
    <row r="237" spans="1:15" x14ac:dyDescent="0.25">
      <c r="A237" s="157">
        <v>44</v>
      </c>
      <c r="C237" s="146">
        <v>366</v>
      </c>
      <c r="D237" s="98">
        <v>2.6200000000000001E-2</v>
      </c>
      <c r="E237" s="53">
        <f t="shared" si="82"/>
        <v>3281.4190000000003</v>
      </c>
      <c r="F237" s="53">
        <f t="shared" si="82"/>
        <v>19094.641908784448</v>
      </c>
      <c r="G237" s="53">
        <f t="shared" si="82"/>
        <v>81668.172282400003</v>
      </c>
      <c r="H237" s="53">
        <f t="shared" si="82"/>
        <v>154947.56597846793</v>
      </c>
      <c r="I237" s="53">
        <f t="shared" si="82"/>
        <v>212115.49177373169</v>
      </c>
      <c r="J237" s="53">
        <f t="shared" si="82"/>
        <v>271744.15835155547</v>
      </c>
      <c r="K237" s="53">
        <f t="shared" si="82"/>
        <v>334012.74853146571</v>
      </c>
      <c r="L237" s="53">
        <f t="shared" ref="L237" si="90">+L66+L152</f>
        <v>396795.88308878953</v>
      </c>
      <c r="M237" s="53"/>
      <c r="O237" s="159" t="s">
        <v>244</v>
      </c>
    </row>
    <row r="238" spans="1:15" x14ac:dyDescent="0.25">
      <c r="A238" s="157">
        <v>45</v>
      </c>
      <c r="C238" s="146">
        <v>367</v>
      </c>
      <c r="D238" s="98">
        <v>2.5499999999999998E-2</v>
      </c>
      <c r="E238" s="53">
        <f t="shared" si="82"/>
        <v>5468.4913200000001</v>
      </c>
      <c r="F238" s="53">
        <f t="shared" si="82"/>
        <v>180063.47571149064</v>
      </c>
      <c r="G238" s="53">
        <f t="shared" si="82"/>
        <v>521637.69349753752</v>
      </c>
      <c r="H238" s="53">
        <f t="shared" si="82"/>
        <v>874282.63521361607</v>
      </c>
      <c r="I238" s="53">
        <f t="shared" si="82"/>
        <v>1249001.6807191053</v>
      </c>
      <c r="J238" s="53">
        <f t="shared" si="82"/>
        <v>1621815.5829908417</v>
      </c>
      <c r="K238" s="53">
        <f t="shared" si="82"/>
        <v>1994472.1774344717</v>
      </c>
      <c r="L238" s="53">
        <f t="shared" ref="L238" si="91">+L67+L153</f>
        <v>2370680.0096387654</v>
      </c>
      <c r="M238" s="53"/>
      <c r="O238" s="159" t="s">
        <v>244</v>
      </c>
    </row>
    <row r="239" spans="1:15" x14ac:dyDescent="0.25">
      <c r="A239" s="157">
        <v>46</v>
      </c>
      <c r="C239" s="146">
        <v>368</v>
      </c>
      <c r="D239" s="98">
        <v>6.4999999999999997E-3</v>
      </c>
      <c r="E239" s="53">
        <f t="shared" si="82"/>
        <v>751.93624999999997</v>
      </c>
      <c r="F239" s="53">
        <f t="shared" si="82"/>
        <v>43251.709530354237</v>
      </c>
      <c r="G239" s="53">
        <f t="shared" si="82"/>
        <v>135758.30929263507</v>
      </c>
      <c r="H239" s="53">
        <f t="shared" si="82"/>
        <v>234693.04522146625</v>
      </c>
      <c r="I239" s="53">
        <f t="shared" si="82"/>
        <v>336190.38473650411</v>
      </c>
      <c r="J239" s="53">
        <f t="shared" si="82"/>
        <v>435157.82687604282</v>
      </c>
      <c r="K239" s="53">
        <f t="shared" si="82"/>
        <v>529856.10211322212</v>
      </c>
      <c r="L239" s="53">
        <f t="shared" ref="L239" si="92">+L68+L154</f>
        <v>624648.72985815792</v>
      </c>
      <c r="M239" s="53"/>
      <c r="O239" s="159" t="s">
        <v>244</v>
      </c>
    </row>
    <row r="240" spans="1:15" x14ac:dyDescent="0.25">
      <c r="A240" s="157">
        <v>47</v>
      </c>
      <c r="C240" s="146">
        <v>370.01</v>
      </c>
      <c r="D240" s="98">
        <v>0.19350000000000001</v>
      </c>
      <c r="E240" s="6">
        <f t="shared" si="82"/>
        <v>0</v>
      </c>
      <c r="F240" s="6">
        <f t="shared" si="82"/>
        <v>1129282.5013641801</v>
      </c>
      <c r="G240" s="6">
        <f t="shared" si="82"/>
        <v>3237093.6187486183</v>
      </c>
      <c r="H240" s="6">
        <f t="shared" si="82"/>
        <v>5129820.8182368129</v>
      </c>
      <c r="I240" s="6">
        <f t="shared" si="82"/>
        <v>6581946.4024547497</v>
      </c>
      <c r="J240" s="6">
        <f t="shared" si="82"/>
        <v>7119873.4032047493</v>
      </c>
      <c r="K240" s="6">
        <f t="shared" si="82"/>
        <v>7119873.4032047493</v>
      </c>
      <c r="L240" s="6">
        <f t="shared" ref="L240" si="93">+L69+L155</f>
        <v>7500031.496102375</v>
      </c>
      <c r="M240" s="53"/>
      <c r="O240" s="159" t="s">
        <v>244</v>
      </c>
    </row>
    <row r="241" spans="1:15" x14ac:dyDescent="0.25">
      <c r="A241" s="157">
        <v>48</v>
      </c>
      <c r="C241" s="130" t="s">
        <v>140</v>
      </c>
      <c r="D241" s="19"/>
      <c r="E241" s="53">
        <f t="shared" ref="E241:K241" si="94">SUM(E230:E240)</f>
        <v>198274.32617000001</v>
      </c>
      <c r="F241" s="53">
        <f t="shared" si="94"/>
        <v>2663401.3973600934</v>
      </c>
      <c r="G241" s="53">
        <f t="shared" si="94"/>
        <v>7409282.5563131683</v>
      </c>
      <c r="H241" s="53">
        <f t="shared" si="94"/>
        <v>12410576.803206727</v>
      </c>
      <c r="I241" s="53">
        <f t="shared" si="94"/>
        <v>17382276.740468845</v>
      </c>
      <c r="J241" s="53">
        <f t="shared" si="94"/>
        <v>21440828.17804423</v>
      </c>
      <c r="K241" s="53">
        <f t="shared" si="94"/>
        <v>24853187.161466118</v>
      </c>
      <c r="L241" s="53">
        <f t="shared" ref="L241" si="95">SUM(L230:L240)</f>
        <v>28367430.939474095</v>
      </c>
      <c r="M241" s="53"/>
    </row>
    <row r="242" spans="1:15" x14ac:dyDescent="0.25">
      <c r="A242" s="157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</row>
    <row r="243" spans="1:15" x14ac:dyDescent="0.25">
      <c r="A243" s="157"/>
      <c r="C243" s="148" t="s">
        <v>139</v>
      </c>
      <c r="D243" s="19"/>
      <c r="E243" s="53"/>
      <c r="F243" s="53"/>
      <c r="G243" s="53"/>
      <c r="H243" s="53"/>
      <c r="I243" s="53"/>
      <c r="J243" s="53"/>
      <c r="K243" s="53"/>
      <c r="L243" s="53"/>
      <c r="M243" s="19"/>
    </row>
    <row r="244" spans="1:15" x14ac:dyDescent="0.25">
      <c r="A244" s="157"/>
      <c r="C244" s="130" t="s">
        <v>165</v>
      </c>
      <c r="D244" s="19"/>
      <c r="E244" s="131" t="s">
        <v>151</v>
      </c>
      <c r="F244" s="131" t="s">
        <v>152</v>
      </c>
      <c r="G244" s="131" t="s">
        <v>153</v>
      </c>
      <c r="H244" s="131" t="s">
        <v>154</v>
      </c>
      <c r="I244" s="131" t="s">
        <v>155</v>
      </c>
      <c r="J244" s="131" t="s">
        <v>156</v>
      </c>
      <c r="K244" s="131" t="s">
        <v>157</v>
      </c>
      <c r="L244" s="151" t="s">
        <v>275</v>
      </c>
      <c r="M244" s="19"/>
    </row>
    <row r="245" spans="1:15" x14ac:dyDescent="0.25">
      <c r="A245" s="157"/>
      <c r="C245" s="2" t="s">
        <v>21</v>
      </c>
      <c r="D245" s="2" t="s">
        <v>295</v>
      </c>
      <c r="E245" s="161" t="s">
        <v>284</v>
      </c>
      <c r="F245" s="161">
        <v>44286</v>
      </c>
      <c r="G245" s="161">
        <v>44651</v>
      </c>
      <c r="H245" s="161">
        <v>45016</v>
      </c>
      <c r="I245" s="161">
        <v>45382</v>
      </c>
      <c r="J245" s="161">
        <v>45747</v>
      </c>
      <c r="K245" s="161">
        <v>46112</v>
      </c>
      <c r="L245" s="161" t="s">
        <v>286</v>
      </c>
      <c r="M245" s="19"/>
      <c r="O245" s="2" t="s">
        <v>121</v>
      </c>
    </row>
    <row r="246" spans="1:15" x14ac:dyDescent="0.25">
      <c r="A246" s="157">
        <v>49</v>
      </c>
      <c r="C246" s="146">
        <v>352</v>
      </c>
      <c r="D246" s="98">
        <v>2.4E-2</v>
      </c>
      <c r="E246" s="53">
        <f t="shared" ref="E246:K256" si="96">+E75+E161</f>
        <v>0</v>
      </c>
      <c r="F246" s="53">
        <f t="shared" si="96"/>
        <v>0</v>
      </c>
      <c r="G246" s="53">
        <f t="shared" si="96"/>
        <v>0</v>
      </c>
      <c r="H246" s="53">
        <f t="shared" si="96"/>
        <v>0</v>
      </c>
      <c r="I246" s="53">
        <f t="shared" si="96"/>
        <v>0</v>
      </c>
      <c r="J246" s="53">
        <f t="shared" si="96"/>
        <v>-34139.279999999999</v>
      </c>
      <c r="K246" s="53">
        <f t="shared" si="96"/>
        <v>-130022.45999999999</v>
      </c>
      <c r="L246" s="53">
        <f t="shared" ref="L246" si="97">+L75+L161</f>
        <v>-285101.64</v>
      </c>
      <c r="M246" s="53"/>
      <c r="O246" s="42" t="s">
        <v>244</v>
      </c>
    </row>
    <row r="247" spans="1:15" x14ac:dyDescent="0.25">
      <c r="A247" s="157">
        <v>50</v>
      </c>
      <c r="C247" s="146">
        <v>353</v>
      </c>
      <c r="D247" s="98">
        <v>2.53E-2</v>
      </c>
      <c r="E247" s="53">
        <f t="shared" si="96"/>
        <v>0</v>
      </c>
      <c r="F247" s="53">
        <f t="shared" si="96"/>
        <v>-113769.65853365498</v>
      </c>
      <c r="G247" s="53">
        <f t="shared" si="96"/>
        <v>-573172.69716578699</v>
      </c>
      <c r="H247" s="53">
        <f t="shared" si="96"/>
        <v>-1509018.4412557292</v>
      </c>
      <c r="I247" s="53">
        <f t="shared" si="96"/>
        <v>-2991642.2248489922</v>
      </c>
      <c r="J247" s="53">
        <f t="shared" si="96"/>
        <v>-5050267.4143263865</v>
      </c>
      <c r="K247" s="53">
        <f t="shared" si="96"/>
        <v>-7692519.6836666306</v>
      </c>
      <c r="L247" s="53">
        <f t="shared" ref="L247" si="98">+L76+L162</f>
        <v>-10867674.870647661</v>
      </c>
      <c r="M247" s="53"/>
      <c r="O247" s="42" t="s">
        <v>244</v>
      </c>
    </row>
    <row r="248" spans="1:15" x14ac:dyDescent="0.25">
      <c r="A248" s="157">
        <v>51</v>
      </c>
      <c r="C248" s="146">
        <v>354</v>
      </c>
      <c r="D248" s="98">
        <v>1.37E-2</v>
      </c>
      <c r="E248" s="53">
        <f t="shared" si="96"/>
        <v>0</v>
      </c>
      <c r="F248" s="53">
        <f t="shared" si="96"/>
        <v>-9994.8281499999994</v>
      </c>
      <c r="G248" s="53">
        <f t="shared" si="96"/>
        <v>-37399.143649999998</v>
      </c>
      <c r="H248" s="53">
        <f t="shared" si="96"/>
        <v>-78046.043550000002</v>
      </c>
      <c r="I248" s="53">
        <f t="shared" si="96"/>
        <v>-124520.86865</v>
      </c>
      <c r="J248" s="53">
        <f t="shared" si="96"/>
        <v>-170995.69375000001</v>
      </c>
      <c r="K248" s="53">
        <f t="shared" si="96"/>
        <v>-217470.51884999999</v>
      </c>
      <c r="L248" s="53">
        <f t="shared" ref="L248" si="99">+L77+L163</f>
        <v>-263945.34395000001</v>
      </c>
      <c r="M248" s="53"/>
      <c r="O248" s="42" t="s">
        <v>244</v>
      </c>
    </row>
    <row r="249" spans="1:15" x14ac:dyDescent="0.25">
      <c r="A249" s="157">
        <v>52</v>
      </c>
      <c r="C249" s="146">
        <v>356</v>
      </c>
      <c r="D249" s="98">
        <v>1.2E-2</v>
      </c>
      <c r="E249" s="53">
        <f t="shared" si="96"/>
        <v>0</v>
      </c>
      <c r="F249" s="53">
        <f t="shared" si="96"/>
        <v>-43627.362000000001</v>
      </c>
      <c r="G249" s="53">
        <f t="shared" si="96"/>
        <v>-157141.68</v>
      </c>
      <c r="H249" s="53">
        <f t="shared" si="96"/>
        <v>-321707.712</v>
      </c>
      <c r="I249" s="53">
        <f t="shared" si="96"/>
        <v>-579166.29</v>
      </c>
      <c r="J249" s="53">
        <f t="shared" si="96"/>
        <v>-973709.21400000004</v>
      </c>
      <c r="K249" s="53">
        <f t="shared" si="96"/>
        <v>-1501312.8960000002</v>
      </c>
      <c r="L249" s="53">
        <f t="shared" ref="L249" si="100">+L78+L164</f>
        <v>-2138604.9420000003</v>
      </c>
      <c r="M249" s="53"/>
      <c r="O249" s="42" t="s">
        <v>244</v>
      </c>
    </row>
    <row r="250" spans="1:15" x14ac:dyDescent="0.25">
      <c r="A250" s="157">
        <v>53</v>
      </c>
      <c r="C250" s="146">
        <v>362</v>
      </c>
      <c r="D250" s="98">
        <v>1.61E-2</v>
      </c>
      <c r="E250" s="53">
        <f t="shared" si="96"/>
        <v>0</v>
      </c>
      <c r="F250" s="53">
        <f t="shared" si="96"/>
        <v>-66163.365504157555</v>
      </c>
      <c r="G250" s="53">
        <f t="shared" si="96"/>
        <v>-421431.36690407415</v>
      </c>
      <c r="H250" s="53">
        <f t="shared" si="96"/>
        <v>-1286589.4764873949</v>
      </c>
      <c r="I250" s="53">
        <f t="shared" si="96"/>
        <v>-2844950.4609878222</v>
      </c>
      <c r="J250" s="53">
        <f t="shared" si="96"/>
        <v>-5055866.5847208872</v>
      </c>
      <c r="K250" s="53">
        <f t="shared" si="96"/>
        <v>-7856594.8743174821</v>
      </c>
      <c r="L250" s="53">
        <f t="shared" ref="L250" si="101">+L79+L165</f>
        <v>-11221931.741677251</v>
      </c>
      <c r="M250" s="53"/>
      <c r="O250" s="42" t="s">
        <v>244</v>
      </c>
    </row>
    <row r="251" spans="1:15" x14ac:dyDescent="0.25">
      <c r="A251" s="157">
        <v>54</v>
      </c>
      <c r="C251" s="146">
        <v>364</v>
      </c>
      <c r="D251" s="98">
        <v>2.06E-2</v>
      </c>
      <c r="E251" s="53">
        <f t="shared" si="96"/>
        <v>-44095.505100000002</v>
      </c>
      <c r="F251" s="53">
        <f t="shared" si="96"/>
        <v>-538042.93159494444</v>
      </c>
      <c r="G251" s="53">
        <f t="shared" si="96"/>
        <v>-1886828.4681924335</v>
      </c>
      <c r="H251" s="53">
        <f t="shared" si="96"/>
        <v>-4156659.7417488336</v>
      </c>
      <c r="I251" s="53">
        <f t="shared" si="96"/>
        <v>-7398075.9423592724</v>
      </c>
      <c r="J251" s="53">
        <f t="shared" si="96"/>
        <v>-11567907.040635919</v>
      </c>
      <c r="K251" s="53">
        <f t="shared" si="96"/>
        <v>-16633315.48559331</v>
      </c>
      <c r="L251" s="53">
        <f t="shared" ref="L251" si="102">+L80+L166</f>
        <v>-22563593.107530635</v>
      </c>
      <c r="M251" s="53"/>
      <c r="O251" s="42" t="s">
        <v>244</v>
      </c>
    </row>
    <row r="252" spans="1:15" x14ac:dyDescent="0.25">
      <c r="A252" s="157">
        <v>55</v>
      </c>
      <c r="C252" s="146">
        <v>365</v>
      </c>
      <c r="D252" s="98">
        <v>2.35E-2</v>
      </c>
      <c r="E252" s="53">
        <f t="shared" si="96"/>
        <v>-144676.97450000001</v>
      </c>
      <c r="F252" s="53">
        <f t="shared" si="96"/>
        <v>-708883.40266252705</v>
      </c>
      <c r="G252" s="53">
        <f t="shared" si="96"/>
        <v>-1837632.9550249663</v>
      </c>
      <c r="H252" s="53">
        <f t="shared" si="96"/>
        <v>-3578417.634451665</v>
      </c>
      <c r="I252" s="53">
        <f t="shared" si="96"/>
        <v>-5995106.0434322879</v>
      </c>
      <c r="J252" s="53">
        <f t="shared" si="96"/>
        <v>-9072813.8094662223</v>
      </c>
      <c r="K252" s="53">
        <f t="shared" si="96"/>
        <v>-12769435.848654203</v>
      </c>
      <c r="L252" s="53">
        <f t="shared" ref="L252" si="103">+L81+L167</f>
        <v>-16935094.942062087</v>
      </c>
      <c r="M252" s="53"/>
      <c r="O252" s="42" t="s">
        <v>244</v>
      </c>
    </row>
    <row r="253" spans="1:15" x14ac:dyDescent="0.25">
      <c r="A253" s="157">
        <v>56</v>
      </c>
      <c r="C253" s="146">
        <v>366</v>
      </c>
      <c r="D253" s="98">
        <v>2.6200000000000001E-2</v>
      </c>
      <c r="E253" s="53">
        <f t="shared" si="96"/>
        <v>-3281.4190000000003</v>
      </c>
      <c r="F253" s="53">
        <f t="shared" si="96"/>
        <v>-22376.06090878445</v>
      </c>
      <c r="G253" s="53">
        <f t="shared" si="96"/>
        <v>-104044.23319118445</v>
      </c>
      <c r="H253" s="53">
        <f t="shared" si="96"/>
        <v>-258991.7991696524</v>
      </c>
      <c r="I253" s="53">
        <f t="shared" si="96"/>
        <v>-471107.29094338405</v>
      </c>
      <c r="J253" s="53">
        <f t="shared" si="96"/>
        <v>-742851.44929493952</v>
      </c>
      <c r="K253" s="53">
        <f t="shared" si="96"/>
        <v>-1076864.1978264053</v>
      </c>
      <c r="L253" s="53">
        <f t="shared" ref="L253" si="104">+L82+L168</f>
        <v>-1473660.0809151949</v>
      </c>
      <c r="M253" s="53"/>
      <c r="O253" s="42" t="s">
        <v>244</v>
      </c>
    </row>
    <row r="254" spans="1:15" x14ac:dyDescent="0.25">
      <c r="A254" s="157">
        <v>57</v>
      </c>
      <c r="C254" s="146">
        <v>367</v>
      </c>
      <c r="D254" s="98">
        <v>2.5499999999999998E-2</v>
      </c>
      <c r="E254" s="53">
        <f t="shared" si="96"/>
        <v>-5468.4913200000001</v>
      </c>
      <c r="F254" s="53">
        <f t="shared" si="96"/>
        <v>-185531.96703149064</v>
      </c>
      <c r="G254" s="53">
        <f t="shared" si="96"/>
        <v>-707169.66052902816</v>
      </c>
      <c r="H254" s="53">
        <f t="shared" si="96"/>
        <v>-1581452.2957426442</v>
      </c>
      <c r="I254" s="53">
        <f t="shared" si="96"/>
        <v>-2830453.9764617495</v>
      </c>
      <c r="J254" s="53">
        <f t="shared" si="96"/>
        <v>-4452269.5594525915</v>
      </c>
      <c r="K254" s="53">
        <f t="shared" si="96"/>
        <v>-6446741.7368870629</v>
      </c>
      <c r="L254" s="53">
        <f t="shared" ref="L254" si="105">+L83+L169</f>
        <v>-8817421.7465258278</v>
      </c>
      <c r="M254" s="53"/>
      <c r="O254" s="42" t="s">
        <v>244</v>
      </c>
    </row>
    <row r="255" spans="1:15" x14ac:dyDescent="0.25">
      <c r="A255" s="157">
        <v>58</v>
      </c>
      <c r="C255" s="146">
        <v>368</v>
      </c>
      <c r="D255" s="98">
        <v>6.4999999999999997E-3</v>
      </c>
      <c r="E255" s="53">
        <f t="shared" si="96"/>
        <v>-751.93624999999997</v>
      </c>
      <c r="F255" s="53">
        <f t="shared" si="96"/>
        <v>-44003.645780354236</v>
      </c>
      <c r="G255" s="53">
        <f t="shared" si="96"/>
        <v>-179761.95507298931</v>
      </c>
      <c r="H255" s="53">
        <f t="shared" si="96"/>
        <v>-414455.00029445556</v>
      </c>
      <c r="I255" s="53">
        <f t="shared" si="96"/>
        <v>-750645.38503095973</v>
      </c>
      <c r="J255" s="53">
        <f t="shared" si="96"/>
        <v>-1185803.2119070026</v>
      </c>
      <c r="K255" s="53">
        <f t="shared" si="96"/>
        <v>-1715659.3140202248</v>
      </c>
      <c r="L255" s="53">
        <f t="shared" ref="L255" si="106">+L84+L170</f>
        <v>-2340308.043878383</v>
      </c>
      <c r="M255" s="53"/>
      <c r="O255" s="42" t="s">
        <v>244</v>
      </c>
    </row>
    <row r="256" spans="1:15" x14ac:dyDescent="0.25">
      <c r="A256" s="157">
        <v>59</v>
      </c>
      <c r="C256" s="146">
        <v>370.01</v>
      </c>
      <c r="D256" s="98">
        <v>0.19350000000000001</v>
      </c>
      <c r="E256" s="6">
        <f t="shared" si="96"/>
        <v>0</v>
      </c>
      <c r="F256" s="6">
        <f t="shared" si="96"/>
        <v>-1129282.5013641801</v>
      </c>
      <c r="G256" s="6">
        <f t="shared" si="96"/>
        <v>-4366376.1201127982</v>
      </c>
      <c r="H256" s="6">
        <f t="shared" si="96"/>
        <v>-9496196.9383496121</v>
      </c>
      <c r="I256" s="6">
        <f t="shared" si="96"/>
        <v>-16078143.340804361</v>
      </c>
      <c r="J256" s="6">
        <f t="shared" si="96"/>
        <v>-23198016.744009111</v>
      </c>
      <c r="K256" s="6">
        <f t="shared" si="96"/>
        <v>-30317890.147213861</v>
      </c>
      <c r="L256" s="6">
        <f t="shared" ref="L256" si="107">+L85+L171</f>
        <v>-37817921.643316239</v>
      </c>
      <c r="M256" s="53"/>
      <c r="O256" s="42" t="s">
        <v>244</v>
      </c>
    </row>
    <row r="257" spans="1:15" x14ac:dyDescent="0.25">
      <c r="A257" s="157">
        <v>60</v>
      </c>
      <c r="C257" s="130" t="s">
        <v>162</v>
      </c>
      <c r="D257" s="19"/>
      <c r="E257" s="53">
        <f t="shared" ref="E257:K257" si="108">SUM(E246:E256)</f>
        <v>-198274.32617000001</v>
      </c>
      <c r="F257" s="53">
        <f t="shared" si="108"/>
        <v>-2861675.7235300932</v>
      </c>
      <c r="G257" s="53">
        <f t="shared" si="108"/>
        <v>-10270958.27984326</v>
      </c>
      <c r="H257" s="53">
        <f t="shared" si="108"/>
        <v>-22681535.083049987</v>
      </c>
      <c r="I257" s="53">
        <f t="shared" si="108"/>
        <v>-40063811.823518828</v>
      </c>
      <c r="J257" s="53">
        <f t="shared" si="108"/>
        <v>-61504640.001563057</v>
      </c>
      <c r="K257" s="53">
        <f t="shared" si="108"/>
        <v>-86357827.163029179</v>
      </c>
      <c r="L257" s="53">
        <f t="shared" ref="L257" si="109">SUM(L246:L256)</f>
        <v>-114725258.10250328</v>
      </c>
      <c r="M257" s="53"/>
    </row>
    <row r="258" spans="1:15" x14ac:dyDescent="0.25">
      <c r="A258" s="157"/>
      <c r="C258" s="130"/>
      <c r="D258" s="19"/>
      <c r="E258" s="53"/>
      <c r="F258" s="53"/>
      <c r="G258" s="53"/>
      <c r="H258" s="53"/>
      <c r="I258" s="53"/>
      <c r="J258" s="53"/>
      <c r="K258" s="53"/>
      <c r="L258" s="53"/>
      <c r="M258" s="53"/>
    </row>
    <row r="259" spans="1:15" x14ac:dyDescent="0.25">
      <c r="A259" s="157"/>
      <c r="C259" s="148" t="s">
        <v>139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O259" s="1"/>
    </row>
    <row r="260" spans="1:15" s="7" customFormat="1" x14ac:dyDescent="0.25">
      <c r="A260" s="157">
        <v>61</v>
      </c>
      <c r="C260" s="130" t="s">
        <v>166</v>
      </c>
      <c r="D260" s="130"/>
      <c r="E260" s="147"/>
      <c r="F260" s="147">
        <f t="shared" ref="F260:L260" si="110">+F89+F175</f>
        <v>179044941.21076027</v>
      </c>
      <c r="G260" s="147">
        <f t="shared" si="110"/>
        <v>336426375.02522159</v>
      </c>
      <c r="H260" s="147">
        <f t="shared" si="110"/>
        <v>506846423.68895996</v>
      </c>
      <c r="I260" s="147">
        <f t="shared" si="110"/>
        <v>685478130.36574602</v>
      </c>
      <c r="J260" s="147">
        <f t="shared" si="110"/>
        <v>833150784.52569222</v>
      </c>
      <c r="K260" s="147">
        <f t="shared" si="110"/>
        <v>973608318.07025516</v>
      </c>
      <c r="L260" s="147">
        <f t="shared" si="110"/>
        <v>1061706530.804665</v>
      </c>
      <c r="M260" s="130"/>
      <c r="O260" s="42" t="s">
        <v>244</v>
      </c>
    </row>
    <row r="261" spans="1:15" x14ac:dyDescent="0.25">
      <c r="A261" s="7"/>
    </row>
    <row r="262" spans="1:15" x14ac:dyDescent="0.25">
      <c r="A262" s="7"/>
    </row>
    <row r="265" spans="1:15" x14ac:dyDescent="0.25">
      <c r="A265" s="157"/>
    </row>
    <row r="266" spans="1:15" x14ac:dyDescent="0.25">
      <c r="A266" s="157"/>
    </row>
    <row r="267" spans="1:15" x14ac:dyDescent="0.25">
      <c r="A267" s="157"/>
    </row>
    <row r="268" spans="1:15" x14ac:dyDescent="0.25">
      <c r="A268" s="157"/>
    </row>
    <row r="269" spans="1:15" x14ac:dyDescent="0.25">
      <c r="A269" s="157"/>
    </row>
    <row r="270" spans="1:15" x14ac:dyDescent="0.25">
      <c r="A270" s="157"/>
    </row>
    <row r="271" spans="1:15" x14ac:dyDescent="0.25">
      <c r="A271" s="157"/>
    </row>
    <row r="272" spans="1:15" x14ac:dyDescent="0.25">
      <c r="A272" s="157"/>
    </row>
    <row r="273" spans="1:1" x14ac:dyDescent="0.25">
      <c r="A273" s="157"/>
    </row>
    <row r="274" spans="1:1" x14ac:dyDescent="0.25">
      <c r="A274" s="157"/>
    </row>
    <row r="275" spans="1:1" x14ac:dyDescent="0.25">
      <c r="A275" s="157"/>
    </row>
    <row r="276" spans="1:1" x14ac:dyDescent="0.25">
      <c r="A276" s="157"/>
    </row>
    <row r="277" spans="1:1" x14ac:dyDescent="0.25">
      <c r="A277" s="157"/>
    </row>
    <row r="280" spans="1:1" x14ac:dyDescent="0.25">
      <c r="A280" s="157"/>
    </row>
    <row r="281" spans="1:1" x14ac:dyDescent="0.25">
      <c r="A281" s="157"/>
    </row>
    <row r="282" spans="1:1" x14ac:dyDescent="0.25">
      <c r="A282" s="157"/>
    </row>
    <row r="283" spans="1:1" x14ac:dyDescent="0.25">
      <c r="A283" s="157"/>
    </row>
    <row r="284" spans="1:1" x14ac:dyDescent="0.25">
      <c r="A284" s="157"/>
    </row>
    <row r="285" spans="1:1" x14ac:dyDescent="0.25">
      <c r="A285" s="157"/>
    </row>
    <row r="286" spans="1:1" x14ac:dyDescent="0.25">
      <c r="A286" s="157"/>
    </row>
    <row r="287" spans="1:1" x14ac:dyDescent="0.25">
      <c r="A287" s="157"/>
    </row>
    <row r="288" spans="1:1" x14ac:dyDescent="0.25">
      <c r="A288" s="157"/>
    </row>
    <row r="289" spans="1:1" x14ac:dyDescent="0.25">
      <c r="A289" s="157"/>
    </row>
    <row r="290" spans="1:1" x14ac:dyDescent="0.25">
      <c r="A290" s="157"/>
    </row>
    <row r="291" spans="1:1" x14ac:dyDescent="0.25">
      <c r="A291" s="157"/>
    </row>
    <row r="292" spans="1:1" x14ac:dyDescent="0.25">
      <c r="A292" s="157"/>
    </row>
    <row r="293" spans="1:1" x14ac:dyDescent="0.25">
      <c r="A293" s="157"/>
    </row>
    <row r="294" spans="1:1" x14ac:dyDescent="0.25">
      <c r="A294" s="157"/>
    </row>
    <row r="295" spans="1:1" x14ac:dyDescent="0.25">
      <c r="A295" s="157"/>
    </row>
    <row r="296" spans="1:1" x14ac:dyDescent="0.25">
      <c r="A296" s="157"/>
    </row>
    <row r="297" spans="1:1" x14ac:dyDescent="0.25">
      <c r="A297" s="157"/>
    </row>
    <row r="298" spans="1:1" x14ac:dyDescent="0.25">
      <c r="A298" s="157"/>
    </row>
    <row r="299" spans="1:1" x14ac:dyDescent="0.25">
      <c r="A299" s="157"/>
    </row>
    <row r="300" spans="1:1" x14ac:dyDescent="0.25">
      <c r="A300" s="157"/>
    </row>
    <row r="301" spans="1:1" x14ac:dyDescent="0.25">
      <c r="A301" s="157"/>
    </row>
    <row r="302" spans="1:1" x14ac:dyDescent="0.25">
      <c r="A302" s="157"/>
    </row>
    <row r="303" spans="1:1" x14ac:dyDescent="0.25">
      <c r="A303" s="157"/>
    </row>
    <row r="304" spans="1:1" x14ac:dyDescent="0.25">
      <c r="A304" s="157"/>
    </row>
    <row r="305" spans="1:1" x14ac:dyDescent="0.25">
      <c r="A305" s="157"/>
    </row>
    <row r="306" spans="1:1" x14ac:dyDescent="0.25">
      <c r="A306" s="157"/>
    </row>
    <row r="307" spans="1:1" x14ac:dyDescent="0.25">
      <c r="A307" s="157"/>
    </row>
    <row r="308" spans="1:1" x14ac:dyDescent="0.25">
      <c r="A308" s="157"/>
    </row>
    <row r="309" spans="1:1" x14ac:dyDescent="0.25">
      <c r="A309" s="157"/>
    </row>
    <row r="310" spans="1:1" x14ac:dyDescent="0.25">
      <c r="A310" s="157"/>
    </row>
    <row r="311" spans="1:1" x14ac:dyDescent="0.25">
      <c r="A311" s="157"/>
    </row>
    <row r="312" spans="1:1" x14ac:dyDescent="0.25">
      <c r="A312" s="157"/>
    </row>
    <row r="313" spans="1:1" x14ac:dyDescent="0.25">
      <c r="A313" s="157"/>
    </row>
    <row r="314" spans="1:1" x14ac:dyDescent="0.25">
      <c r="A314" s="157"/>
    </row>
    <row r="315" spans="1:1" x14ac:dyDescent="0.25">
      <c r="A315" s="157"/>
    </row>
    <row r="316" spans="1:1" x14ac:dyDescent="0.25">
      <c r="A316" s="157"/>
    </row>
    <row r="317" spans="1:1" x14ac:dyDescent="0.25">
      <c r="A317" s="157"/>
    </row>
    <row r="318" spans="1:1" x14ac:dyDescent="0.25">
      <c r="A318" s="157"/>
    </row>
    <row r="319" spans="1:1" x14ac:dyDescent="0.25">
      <c r="A319" s="157"/>
    </row>
    <row r="320" spans="1:1" x14ac:dyDescent="0.25">
      <c r="A320" s="157"/>
    </row>
    <row r="321" spans="1:1" x14ac:dyDescent="0.25">
      <c r="A321" s="157"/>
    </row>
    <row r="322" spans="1:1" x14ac:dyDescent="0.25">
      <c r="A322" s="157"/>
    </row>
    <row r="323" spans="1:1" x14ac:dyDescent="0.25">
      <c r="A323" s="157"/>
    </row>
    <row r="324" spans="1:1" x14ac:dyDescent="0.25">
      <c r="A324" s="157"/>
    </row>
    <row r="325" spans="1:1" x14ac:dyDescent="0.25">
      <c r="A325" s="157"/>
    </row>
    <row r="326" spans="1:1" x14ac:dyDescent="0.25">
      <c r="A326" s="157"/>
    </row>
    <row r="327" spans="1:1" x14ac:dyDescent="0.25">
      <c r="A327" s="157"/>
    </row>
    <row r="328" spans="1:1" x14ac:dyDescent="0.25">
      <c r="A328" s="157"/>
    </row>
    <row r="329" spans="1:1" x14ac:dyDescent="0.25">
      <c r="A329" s="157"/>
    </row>
    <row r="330" spans="1:1" x14ac:dyDescent="0.25">
      <c r="A330" s="157"/>
    </row>
    <row r="331" spans="1:1" x14ac:dyDescent="0.25">
      <c r="A331" s="157"/>
    </row>
    <row r="332" spans="1:1" x14ac:dyDescent="0.25">
      <c r="A332" s="157"/>
    </row>
    <row r="333" spans="1:1" x14ac:dyDescent="0.25">
      <c r="A333" s="157"/>
    </row>
    <row r="334" spans="1:1" x14ac:dyDescent="0.25">
      <c r="A334" s="157"/>
    </row>
    <row r="335" spans="1:1" x14ac:dyDescent="0.25">
      <c r="A335" s="157"/>
    </row>
    <row r="336" spans="1:1" x14ac:dyDescent="0.25">
      <c r="A336" s="157"/>
    </row>
    <row r="337" spans="1:1" x14ac:dyDescent="0.25">
      <c r="A337" s="157"/>
    </row>
    <row r="338" spans="1:1" x14ac:dyDescent="0.25">
      <c r="A338" s="157"/>
    </row>
    <row r="339" spans="1:1" x14ac:dyDescent="0.25">
      <c r="A339" s="157"/>
    </row>
    <row r="340" spans="1:1" x14ac:dyDescent="0.25">
      <c r="A340" s="157"/>
    </row>
    <row r="341" spans="1:1" x14ac:dyDescent="0.25">
      <c r="A341" s="157"/>
    </row>
    <row r="342" spans="1:1" x14ac:dyDescent="0.25">
      <c r="A342" s="157"/>
    </row>
    <row r="343" spans="1:1" x14ac:dyDescent="0.25">
      <c r="A343" s="157"/>
    </row>
    <row r="344" spans="1:1" x14ac:dyDescent="0.25">
      <c r="A344" s="157"/>
    </row>
  </sheetData>
  <mergeCells count="1">
    <mergeCell ref="O115:O121"/>
  </mergeCells>
  <phoneticPr fontId="14" type="noConversion"/>
  <pageMargins left="0.25" right="0.25" top="0.75" bottom="0.75" header="0.3" footer="0.3"/>
  <pageSetup scale="39" fitToWidth="0" fitToHeight="0" orientation="landscape" horizontalDpi="1200" verticalDpi="1200" r:id="rId1"/>
  <headerFooter>
    <oddHeader>&amp;RIndianapolis Power &amp;&amp; Light Company
IURC Cause No. 45264 - TDSIC 2
IPL Attachment  CAR-2
Page &amp;P of &amp;N</oddHeader>
  </headerFooter>
  <rowBreaks count="2" manualBreakCount="2">
    <brk id="89" max="13" man="1"/>
    <brk id="175" max="13" man="1"/>
  </rowBreaks>
  <ignoredErrors>
    <ignoredError sqref="M99 M100:M10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0"/>
  <sheetViews>
    <sheetView view="pageLayout" zoomScale="70" zoomScaleNormal="70" zoomScaleSheetLayoutView="80" zoomScalePageLayoutView="70" workbookViewId="0">
      <selection activeCell="E38" sqref="E38:J38"/>
    </sheetView>
  </sheetViews>
  <sheetFormatPr defaultRowHeight="15" x14ac:dyDescent="0.25"/>
  <cols>
    <col min="1" max="1" width="7" style="82" customWidth="1"/>
    <col min="2" max="2" width="1.28515625" style="134" customWidth="1"/>
    <col min="3" max="3" width="43.42578125" style="82" bestFit="1" customWidth="1"/>
    <col min="4" max="4" width="17.42578125" style="82" customWidth="1"/>
    <col min="5" max="11" width="17.42578125" style="82" bestFit="1" customWidth="1"/>
    <col min="12" max="12" width="1.140625" style="134" customWidth="1"/>
    <col min="13" max="13" width="36.7109375" style="134" bestFit="1" customWidth="1"/>
    <col min="14" max="14" width="15.28515625" style="82" bestFit="1" customWidth="1"/>
    <col min="15" max="15" width="16.140625" style="82" bestFit="1" customWidth="1"/>
    <col min="16" max="16384" width="9.140625" style="82"/>
  </cols>
  <sheetData>
    <row r="1" spans="1:15" customFormat="1" x14ac:dyDescent="0.25">
      <c r="A1" s="144" t="s">
        <v>133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4"/>
      <c r="O1" s="145"/>
    </row>
    <row r="2" spans="1:15" customFormat="1" x14ac:dyDescent="0.25">
      <c r="A2" s="144" t="s">
        <v>134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4"/>
      <c r="O2" s="145"/>
    </row>
    <row r="3" spans="1:15" customFormat="1" x14ac:dyDescent="0.25">
      <c r="A3" s="144" t="s">
        <v>181</v>
      </c>
      <c r="B3" s="142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2"/>
      <c r="O3" s="143"/>
    </row>
    <row r="4" spans="1:15" customFormat="1" x14ac:dyDescent="0.25">
      <c r="A4" s="144"/>
      <c r="B4" s="142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2"/>
      <c r="O4" s="143"/>
    </row>
    <row r="5" spans="1:15" customFormat="1" x14ac:dyDescent="0.25">
      <c r="A5" s="144"/>
      <c r="B5" s="142"/>
      <c r="C5" s="142"/>
      <c r="D5" s="42" t="s">
        <v>81</v>
      </c>
      <c r="E5" s="42" t="s">
        <v>82</v>
      </c>
      <c r="F5" s="139" t="s">
        <v>83</v>
      </c>
      <c r="G5" s="42" t="s">
        <v>84</v>
      </c>
      <c r="H5" s="42" t="s">
        <v>85</v>
      </c>
      <c r="I5" s="42" t="s">
        <v>86</v>
      </c>
      <c r="J5" s="42" t="s">
        <v>87</v>
      </c>
      <c r="K5" s="141" t="s">
        <v>88</v>
      </c>
      <c r="L5" s="134"/>
      <c r="M5" s="141" t="s">
        <v>142</v>
      </c>
      <c r="N5" s="142"/>
      <c r="O5" s="143"/>
    </row>
    <row r="6" spans="1:15" x14ac:dyDescent="0.25">
      <c r="C6" s="122"/>
      <c r="D6" s="122"/>
      <c r="E6" s="151" t="s">
        <v>1</v>
      </c>
      <c r="F6" s="151" t="s">
        <v>2</v>
      </c>
      <c r="G6" s="151" t="s">
        <v>3</v>
      </c>
      <c r="H6" s="151" t="s">
        <v>4</v>
      </c>
      <c r="I6" s="151" t="s">
        <v>5</v>
      </c>
      <c r="J6" s="151" t="s">
        <v>6</v>
      </c>
      <c r="K6" s="151"/>
    </row>
    <row r="7" spans="1:15" x14ac:dyDescent="0.25">
      <c r="A7" s="2" t="s">
        <v>122</v>
      </c>
      <c r="B7" s="131"/>
      <c r="C7" s="138" t="s">
        <v>123</v>
      </c>
      <c r="D7" s="138"/>
      <c r="E7" s="153">
        <v>2021</v>
      </c>
      <c r="F7" s="153">
        <v>2022</v>
      </c>
      <c r="G7" s="153">
        <v>2023</v>
      </c>
      <c r="H7" s="153">
        <v>2024</v>
      </c>
      <c r="I7" s="153">
        <v>2025</v>
      </c>
      <c r="J7" s="153">
        <v>2026</v>
      </c>
      <c r="K7" s="151"/>
      <c r="M7" s="2" t="s">
        <v>121</v>
      </c>
    </row>
    <row r="8" spans="1:15" x14ac:dyDescent="0.25">
      <c r="A8" s="131"/>
      <c r="B8" s="131"/>
      <c r="C8" s="148" t="s">
        <v>177</v>
      </c>
      <c r="D8" s="216">
        <v>43830</v>
      </c>
      <c r="E8" s="216">
        <v>44196</v>
      </c>
      <c r="F8" s="216">
        <v>44561</v>
      </c>
      <c r="G8" s="216">
        <v>44926</v>
      </c>
      <c r="H8" s="216">
        <v>45291</v>
      </c>
      <c r="I8" s="216">
        <v>45657</v>
      </c>
      <c r="J8" s="216">
        <v>46022</v>
      </c>
      <c r="K8" s="162"/>
    </row>
    <row r="9" spans="1:15" x14ac:dyDescent="0.25">
      <c r="A9" s="160"/>
      <c r="C9" s="152" t="s">
        <v>136</v>
      </c>
      <c r="D9" s="152"/>
      <c r="L9" s="151"/>
    </row>
    <row r="10" spans="1:15" x14ac:dyDescent="0.25">
      <c r="A10" s="160"/>
      <c r="C10" s="122" t="s">
        <v>42</v>
      </c>
      <c r="D10" s="122"/>
      <c r="L10" s="151"/>
      <c r="M10" s="82"/>
    </row>
    <row r="11" spans="1:15" x14ac:dyDescent="0.25">
      <c r="A11" s="160">
        <v>1</v>
      </c>
      <c r="C11" s="122" t="s">
        <v>40</v>
      </c>
      <c r="D11" s="122"/>
      <c r="E11" s="128">
        <f>+E15</f>
        <v>17723974.895941105</v>
      </c>
      <c r="F11" s="128">
        <f>+E11+F15</f>
        <v>41512153.845729411</v>
      </c>
      <c r="G11" s="128">
        <f t="shared" ref="G11:J11" si="0">+F11+G15</f>
        <v>65829272.872843094</v>
      </c>
      <c r="H11" s="128">
        <f t="shared" si="0"/>
        <v>101068597.28077453</v>
      </c>
      <c r="I11" s="128">
        <f t="shared" si="0"/>
        <v>137055311.84787327</v>
      </c>
      <c r="J11" s="128">
        <f t="shared" si="0"/>
        <v>174527243.33317375</v>
      </c>
      <c r="K11" s="128"/>
      <c r="L11" s="128"/>
      <c r="M11" t="s">
        <v>331</v>
      </c>
    </row>
    <row r="12" spans="1:15" x14ac:dyDescent="0.25">
      <c r="A12" s="160">
        <v>2</v>
      </c>
      <c r="C12" s="122" t="s">
        <v>45</v>
      </c>
      <c r="D12" s="122"/>
      <c r="E12" s="154">
        <v>811806.31034779153</v>
      </c>
      <c r="F12" s="154">
        <v>3340122.1966962414</v>
      </c>
      <c r="G12" s="154">
        <v>7657843.7162224101</v>
      </c>
      <c r="H12" s="154">
        <v>14126793.531823732</v>
      </c>
      <c r="I12" s="154">
        <v>23060080.520145711</v>
      </c>
      <c r="J12" s="154">
        <v>34348261.856178492</v>
      </c>
      <c r="K12" s="128"/>
      <c r="L12" s="128"/>
      <c r="M12" t="s">
        <v>328</v>
      </c>
    </row>
    <row r="13" spans="1:15" x14ac:dyDescent="0.25">
      <c r="A13" s="160">
        <v>3</v>
      </c>
      <c r="C13" s="122" t="s">
        <v>43</v>
      </c>
      <c r="D13" s="122"/>
      <c r="E13" s="128">
        <f>+E11-E12</f>
        <v>16912168.585593313</v>
      </c>
      <c r="F13" s="128">
        <f t="shared" ref="F13:J13" si="1">+F11-F12</f>
        <v>38172031.649033166</v>
      </c>
      <c r="G13" s="128">
        <f t="shared" si="1"/>
        <v>58171429.156620681</v>
      </c>
      <c r="H13" s="128">
        <f t="shared" si="1"/>
        <v>86941803.748950809</v>
      </c>
      <c r="I13" s="128">
        <f t="shared" si="1"/>
        <v>113995231.32772756</v>
      </c>
      <c r="J13" s="128">
        <f t="shared" si="1"/>
        <v>140178981.47699526</v>
      </c>
      <c r="K13" s="128"/>
      <c r="L13" s="128"/>
      <c r="M13" s="134" t="s">
        <v>144</v>
      </c>
    </row>
    <row r="14" spans="1:15" x14ac:dyDescent="0.25">
      <c r="A14" s="160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5" x14ac:dyDescent="0.25">
      <c r="A15" s="160">
        <v>4</v>
      </c>
      <c r="C15" s="122" t="s">
        <v>41</v>
      </c>
      <c r="D15" s="122"/>
      <c r="E15" s="128">
        <v>17723974.895941105</v>
      </c>
      <c r="F15" s="128">
        <v>23788178.949788302</v>
      </c>
      <c r="G15" s="128">
        <v>24317119.027113684</v>
      </c>
      <c r="H15" s="128">
        <v>35239324.407931432</v>
      </c>
      <c r="I15" s="128">
        <v>35986714.567098744</v>
      </c>
      <c r="J15" s="128">
        <v>37471931.485300466</v>
      </c>
      <c r="K15" s="128"/>
      <c r="L15" s="128"/>
      <c r="M15" t="s">
        <v>328</v>
      </c>
    </row>
    <row r="16" spans="1:15" x14ac:dyDescent="0.25">
      <c r="A16" s="160">
        <v>5</v>
      </c>
      <c r="C16" s="155" t="s">
        <v>46</v>
      </c>
      <c r="D16" s="217"/>
      <c r="E16" s="154">
        <v>811806.31034779153</v>
      </c>
      <c r="F16" s="154">
        <v>980289.58561706136</v>
      </c>
      <c r="G16" s="154">
        <v>1035515.3010167633</v>
      </c>
      <c r="H16" s="154">
        <v>1493257.9535321365</v>
      </c>
      <c r="I16" s="154">
        <v>1534257.0338549945</v>
      </c>
      <c r="J16" s="154">
        <v>1597253.0212837211</v>
      </c>
      <c r="K16" s="128"/>
      <c r="L16" s="128"/>
      <c r="M16" t="s">
        <v>328</v>
      </c>
    </row>
    <row r="17" spans="1:13" x14ac:dyDescent="0.25">
      <c r="A17" s="160">
        <v>6</v>
      </c>
      <c r="C17" s="155" t="s">
        <v>44</v>
      </c>
      <c r="D17" s="155"/>
      <c r="E17" s="128">
        <f>+E15-E16</f>
        <v>16912168.585593313</v>
      </c>
      <c r="F17" s="128">
        <f t="shared" ref="F17:J17" si="2">+F15-F16</f>
        <v>22807889.36417124</v>
      </c>
      <c r="G17" s="128">
        <f t="shared" si="2"/>
        <v>23281603.726096921</v>
      </c>
      <c r="H17" s="128">
        <f t="shared" si="2"/>
        <v>33746066.454399295</v>
      </c>
      <c r="I17" s="128">
        <f t="shared" si="2"/>
        <v>34452457.533243753</v>
      </c>
      <c r="J17" s="128">
        <f t="shared" si="2"/>
        <v>35874678.464016743</v>
      </c>
      <c r="K17" s="128"/>
      <c r="L17" s="128"/>
      <c r="M17" s="134" t="s">
        <v>145</v>
      </c>
    </row>
    <row r="18" spans="1:13" x14ac:dyDescent="0.25">
      <c r="A18" s="160">
        <v>7</v>
      </c>
      <c r="C18" s="155" t="s">
        <v>141</v>
      </c>
      <c r="D18" s="155"/>
      <c r="E18" s="156">
        <v>0.6</v>
      </c>
      <c r="F18" s="156">
        <v>0.6</v>
      </c>
      <c r="G18" s="156">
        <v>0.6</v>
      </c>
      <c r="H18" s="156">
        <v>0.6</v>
      </c>
      <c r="I18" s="156">
        <v>0.6</v>
      </c>
      <c r="J18" s="156">
        <v>0.6</v>
      </c>
      <c r="K18" s="132"/>
      <c r="L18" s="132"/>
    </row>
    <row r="19" spans="1:13" x14ac:dyDescent="0.25">
      <c r="A19" s="160">
        <v>8</v>
      </c>
      <c r="C19" s="155" t="s">
        <v>47</v>
      </c>
      <c r="D19" s="155"/>
      <c r="E19" s="128">
        <f>+E17*E18</f>
        <v>10147301.151355987</v>
      </c>
      <c r="F19" s="128">
        <f t="shared" ref="F19:J19" si="3">+F17*F18</f>
        <v>13684733.618502744</v>
      </c>
      <c r="G19" s="128">
        <f t="shared" si="3"/>
        <v>13968962.235658152</v>
      </c>
      <c r="H19" s="128">
        <f t="shared" si="3"/>
        <v>20247639.872639578</v>
      </c>
      <c r="I19" s="128">
        <f t="shared" si="3"/>
        <v>20671474.519946251</v>
      </c>
      <c r="J19" s="128">
        <f t="shared" si="3"/>
        <v>21524807.078410044</v>
      </c>
      <c r="K19" s="128"/>
      <c r="L19" s="128"/>
      <c r="M19" s="134" t="s">
        <v>146</v>
      </c>
    </row>
    <row r="20" spans="1:13" x14ac:dyDescent="0.25">
      <c r="A20" s="160">
        <v>9</v>
      </c>
      <c r="C20" s="155" t="s">
        <v>48</v>
      </c>
      <c r="D20" s="155"/>
      <c r="E20" s="128">
        <f>+E13-E19</f>
        <v>6764867.4342373256</v>
      </c>
      <c r="F20" s="128">
        <f t="shared" ref="F20:J20" si="4">+F13-F19</f>
        <v>24487298.030530423</v>
      </c>
      <c r="G20" s="128">
        <f t="shared" si="4"/>
        <v>44202466.920962527</v>
      </c>
      <c r="H20" s="128">
        <f t="shared" si="4"/>
        <v>66694163.876311228</v>
      </c>
      <c r="I20" s="128">
        <f t="shared" si="4"/>
        <v>93323756.807781309</v>
      </c>
      <c r="J20" s="128">
        <f t="shared" si="4"/>
        <v>118654174.39858522</v>
      </c>
      <c r="K20" s="128"/>
      <c r="L20" s="128"/>
      <c r="M20" s="134" t="s">
        <v>147</v>
      </c>
    </row>
    <row r="21" spans="1:13" x14ac:dyDescent="0.25">
      <c r="A21" s="160">
        <v>10</v>
      </c>
      <c r="C21" s="155" t="s">
        <v>49</v>
      </c>
      <c r="D21" s="155"/>
      <c r="E21" s="132">
        <v>0.03</v>
      </c>
      <c r="F21" s="132">
        <v>0.03</v>
      </c>
      <c r="G21" s="132">
        <v>0.03</v>
      </c>
      <c r="H21" s="132">
        <v>0.03</v>
      </c>
      <c r="I21" s="132">
        <v>0.03</v>
      </c>
      <c r="J21" s="132">
        <v>0.03</v>
      </c>
      <c r="K21" s="132"/>
      <c r="L21" s="132"/>
      <c r="M21" s="134" t="s">
        <v>49</v>
      </c>
    </row>
    <row r="22" spans="1:13" x14ac:dyDescent="0.25">
      <c r="A22" s="160">
        <v>11</v>
      </c>
      <c r="C22" s="122" t="s">
        <v>23</v>
      </c>
      <c r="D22" s="122"/>
      <c r="E22" s="124">
        <f>+E20*E21</f>
        <v>202946.02302711975</v>
      </c>
      <c r="F22" s="124">
        <f t="shared" ref="F22:J22" si="5">+F20*F21</f>
        <v>734618.94091591262</v>
      </c>
      <c r="G22" s="124">
        <f t="shared" si="5"/>
        <v>1326074.0076288758</v>
      </c>
      <c r="H22" s="124">
        <f t="shared" si="5"/>
        <v>2000824.9162893367</v>
      </c>
      <c r="I22" s="124">
        <f t="shared" si="5"/>
        <v>2799712.7042334392</v>
      </c>
      <c r="J22" s="124">
        <f t="shared" si="5"/>
        <v>3559625.2319575562</v>
      </c>
      <c r="K22" s="124"/>
      <c r="L22" s="124"/>
      <c r="M22" s="134" t="s">
        <v>132</v>
      </c>
    </row>
    <row r="23" spans="1:13" x14ac:dyDescent="0.25">
      <c r="A23" s="160"/>
      <c r="C23" s="122"/>
      <c r="D23" s="122"/>
      <c r="E23" s="124"/>
      <c r="F23" s="124"/>
      <c r="G23" s="124"/>
      <c r="H23" s="124"/>
      <c r="I23" s="124"/>
      <c r="J23" s="124"/>
      <c r="K23" s="124"/>
      <c r="L23" s="124"/>
    </row>
    <row r="24" spans="1:13" x14ac:dyDescent="0.25">
      <c r="A24" s="160"/>
      <c r="C24" s="122"/>
      <c r="D24" s="131" t="s">
        <v>151</v>
      </c>
      <c r="E24" s="131" t="s">
        <v>152</v>
      </c>
      <c r="F24" s="131" t="s">
        <v>153</v>
      </c>
      <c r="G24" s="131" t="s">
        <v>154</v>
      </c>
      <c r="H24" s="131" t="s">
        <v>155</v>
      </c>
      <c r="I24" s="131" t="s">
        <v>156</v>
      </c>
      <c r="J24" s="131" t="s">
        <v>157</v>
      </c>
      <c r="K24" s="151" t="s">
        <v>275</v>
      </c>
      <c r="L24" s="124"/>
    </row>
    <row r="25" spans="1:13" x14ac:dyDescent="0.25">
      <c r="A25" s="160"/>
      <c r="C25" s="122"/>
      <c r="D25" s="2" t="s">
        <v>306</v>
      </c>
      <c r="E25" s="2" t="s">
        <v>299</v>
      </c>
      <c r="F25" s="2" t="s">
        <v>300</v>
      </c>
      <c r="G25" s="2" t="s">
        <v>301</v>
      </c>
      <c r="H25" s="2" t="s">
        <v>302</v>
      </c>
      <c r="I25" s="2" t="s">
        <v>303</v>
      </c>
      <c r="J25" s="2" t="s">
        <v>304</v>
      </c>
      <c r="K25" s="2" t="s">
        <v>305</v>
      </c>
      <c r="L25" s="124"/>
    </row>
    <row r="26" spans="1:13" x14ac:dyDescent="0.25">
      <c r="A26" s="160">
        <v>12</v>
      </c>
      <c r="C26" s="122"/>
      <c r="D26" s="182">
        <v>0</v>
      </c>
      <c r="E26" s="182">
        <f t="shared" ref="E26:J26" si="6">+E22</f>
        <v>202946.02302711975</v>
      </c>
      <c r="F26" s="182">
        <f t="shared" si="6"/>
        <v>734618.94091591262</v>
      </c>
      <c r="G26" s="182">
        <f t="shared" si="6"/>
        <v>1326074.0076288758</v>
      </c>
      <c r="H26" s="182">
        <f t="shared" si="6"/>
        <v>2000824.9162893367</v>
      </c>
      <c r="I26" s="182">
        <f t="shared" si="6"/>
        <v>2799712.7042334392</v>
      </c>
      <c r="J26" s="182">
        <f t="shared" si="6"/>
        <v>3559625.2319575562</v>
      </c>
      <c r="K26" s="182">
        <f>+J26</f>
        <v>3559625.2319575562</v>
      </c>
      <c r="L26" s="124"/>
      <c r="M26" s="134" t="s">
        <v>245</v>
      </c>
    </row>
    <row r="27" spans="1:13" x14ac:dyDescent="0.25">
      <c r="A27" s="160"/>
      <c r="C27" s="155"/>
      <c r="D27" s="155"/>
      <c r="E27" s="132"/>
      <c r="F27" s="132"/>
      <c r="G27" s="132"/>
      <c r="H27" s="132"/>
      <c r="I27" s="132"/>
      <c r="J27" s="132"/>
      <c r="K27" s="132"/>
      <c r="L27" s="132"/>
    </row>
    <row r="28" spans="1:13" x14ac:dyDescent="0.25">
      <c r="A28" s="160"/>
      <c r="C28" s="155"/>
      <c r="D28" s="155"/>
      <c r="E28" s="151" t="s">
        <v>1</v>
      </c>
      <c r="F28" s="151" t="s">
        <v>2</v>
      </c>
      <c r="G28" s="151" t="s">
        <v>3</v>
      </c>
      <c r="H28" s="151" t="s">
        <v>4</v>
      </c>
      <c r="I28" s="151" t="s">
        <v>5</v>
      </c>
      <c r="J28" s="151" t="s">
        <v>6</v>
      </c>
      <c r="K28" s="151"/>
      <c r="L28" s="132"/>
    </row>
    <row r="29" spans="1:13" x14ac:dyDescent="0.25">
      <c r="A29" s="2" t="s">
        <v>122</v>
      </c>
      <c r="C29" s="138" t="s">
        <v>123</v>
      </c>
      <c r="D29" s="138"/>
      <c r="E29" s="153">
        <v>2021</v>
      </c>
      <c r="F29" s="153">
        <v>2022</v>
      </c>
      <c r="G29" s="153">
        <v>2023</v>
      </c>
      <c r="H29" s="153">
        <v>2024</v>
      </c>
      <c r="I29" s="153">
        <v>2025</v>
      </c>
      <c r="J29" s="153">
        <v>2026</v>
      </c>
      <c r="K29" s="151"/>
      <c r="L29" s="132"/>
      <c r="M29" s="2" t="s">
        <v>121</v>
      </c>
    </row>
    <row r="30" spans="1:13" x14ac:dyDescent="0.25">
      <c r="A30" s="131"/>
      <c r="B30" s="131"/>
      <c r="C30" s="148" t="s">
        <v>177</v>
      </c>
      <c r="D30" s="216">
        <v>43830</v>
      </c>
      <c r="E30" s="216">
        <v>44196</v>
      </c>
      <c r="F30" s="216">
        <v>44561</v>
      </c>
      <c r="G30" s="216">
        <v>44926</v>
      </c>
      <c r="H30" s="216">
        <v>45291</v>
      </c>
      <c r="I30" s="216">
        <v>45657</v>
      </c>
      <c r="J30" s="216">
        <v>46022</v>
      </c>
      <c r="K30" s="162"/>
    </row>
    <row r="31" spans="1:13" x14ac:dyDescent="0.25">
      <c r="A31" s="160"/>
      <c r="C31" s="152" t="s">
        <v>138</v>
      </c>
      <c r="D31" s="152"/>
      <c r="L31" s="151"/>
    </row>
    <row r="32" spans="1:13" x14ac:dyDescent="0.25">
      <c r="A32" s="160"/>
      <c r="C32" s="122" t="s">
        <v>42</v>
      </c>
      <c r="D32" s="122"/>
      <c r="L32" s="151"/>
    </row>
    <row r="33" spans="1:13" x14ac:dyDescent="0.25">
      <c r="A33" s="160">
        <v>13</v>
      </c>
      <c r="C33" s="122" t="s">
        <v>40</v>
      </c>
      <c r="D33" s="122"/>
      <c r="E33" s="128">
        <f>+E37</f>
        <v>107901098.1840589</v>
      </c>
      <c r="F33" s="128">
        <f>+E33+F37</f>
        <v>246375367.21075061</v>
      </c>
      <c r="G33" s="128">
        <f t="shared" ref="G33:J33" si="7">+F33+G37</f>
        <v>394014487.58643693</v>
      </c>
      <c r="H33" s="128">
        <f t="shared" si="7"/>
        <v>565571093.7160933</v>
      </c>
      <c r="I33" s="128">
        <f t="shared" si="7"/>
        <v>692660078.24628639</v>
      </c>
      <c r="J33" s="128">
        <f t="shared" si="7"/>
        <v>841237670.65406179</v>
      </c>
      <c r="K33" s="128"/>
      <c r="L33" s="128"/>
      <c r="M33" t="s">
        <v>332</v>
      </c>
    </row>
    <row r="34" spans="1:13" x14ac:dyDescent="0.25">
      <c r="A34" s="160">
        <v>14</v>
      </c>
      <c r="C34" s="122" t="s">
        <v>45</v>
      </c>
      <c r="D34" s="122"/>
      <c r="E34" s="154">
        <v>5590777.5345022082</v>
      </c>
      <c r="F34" s="154">
        <v>22561332.284210362</v>
      </c>
      <c r="G34" s="154">
        <v>50753960.540155083</v>
      </c>
      <c r="H34" s="154">
        <v>89826327.430244997</v>
      </c>
      <c r="I34" s="154">
        <v>136910645.07702464</v>
      </c>
      <c r="J34" s="154">
        <v>190251490.0150288</v>
      </c>
      <c r="K34" s="128"/>
      <c r="L34" s="128"/>
      <c r="M34" t="s">
        <v>328</v>
      </c>
    </row>
    <row r="35" spans="1:13" x14ac:dyDescent="0.25">
      <c r="A35" s="160">
        <v>15</v>
      </c>
      <c r="C35" s="122" t="s">
        <v>43</v>
      </c>
      <c r="D35" s="122"/>
      <c r="E35" s="128">
        <f>+E33-E34</f>
        <v>102310320.6495567</v>
      </c>
      <c r="F35" s="128">
        <f t="shared" ref="F35:J35" si="8">+F33-F34</f>
        <v>223814034.92654026</v>
      </c>
      <c r="G35" s="128">
        <f t="shared" si="8"/>
        <v>343260527.04628181</v>
      </c>
      <c r="H35" s="128">
        <f t="shared" si="8"/>
        <v>475744766.28584832</v>
      </c>
      <c r="I35" s="128">
        <f t="shared" si="8"/>
        <v>555749433.16926169</v>
      </c>
      <c r="J35" s="128">
        <f t="shared" si="8"/>
        <v>650986180.63903296</v>
      </c>
      <c r="K35" s="128"/>
      <c r="L35" s="128"/>
      <c r="M35" s="134" t="s">
        <v>248</v>
      </c>
    </row>
    <row r="36" spans="1:13" x14ac:dyDescent="0.25">
      <c r="A36" s="160"/>
      <c r="C36" s="134"/>
      <c r="D36" s="134"/>
      <c r="E36" s="134"/>
      <c r="F36" s="134"/>
      <c r="G36" s="134"/>
      <c r="H36" s="134"/>
      <c r="I36" s="134"/>
      <c r="J36" s="134"/>
      <c r="K36" s="134"/>
    </row>
    <row r="37" spans="1:13" x14ac:dyDescent="0.25">
      <c r="A37" s="160">
        <v>16</v>
      </c>
      <c r="C37" s="122" t="s">
        <v>41</v>
      </c>
      <c r="D37" s="122"/>
      <c r="E37" s="128">
        <v>107901098.1840589</v>
      </c>
      <c r="F37" s="128">
        <v>138474269.0266917</v>
      </c>
      <c r="G37" s="128">
        <v>147639120.37568632</v>
      </c>
      <c r="H37" s="128">
        <v>171556606.12965631</v>
      </c>
      <c r="I37" s="128">
        <v>127088984.53019306</v>
      </c>
      <c r="J37" s="128">
        <v>148577592.40777543</v>
      </c>
      <c r="K37" s="128"/>
      <c r="L37" s="128"/>
      <c r="M37" t="s">
        <v>328</v>
      </c>
    </row>
    <row r="38" spans="1:13" x14ac:dyDescent="0.25">
      <c r="A38" s="160">
        <v>17</v>
      </c>
      <c r="C38" s="155" t="s">
        <v>46</v>
      </c>
      <c r="D38" s="155"/>
      <c r="E38" s="154">
        <v>5590777.5345022082</v>
      </c>
      <c r="F38" s="154">
        <v>6612738.6585009387</v>
      </c>
      <c r="G38" s="154">
        <v>6920404.9822882377</v>
      </c>
      <c r="H38" s="154">
        <v>7511141.2741075978</v>
      </c>
      <c r="I38" s="154">
        <v>5074783.4574266355</v>
      </c>
      <c r="J38" s="154">
        <v>5880135.869412479</v>
      </c>
      <c r="K38" s="128"/>
      <c r="L38" s="128"/>
      <c r="M38" t="s">
        <v>328</v>
      </c>
    </row>
    <row r="39" spans="1:13" x14ac:dyDescent="0.25">
      <c r="A39" s="160">
        <v>18</v>
      </c>
      <c r="C39" s="155" t="s">
        <v>44</v>
      </c>
      <c r="D39" s="155"/>
      <c r="E39" s="128">
        <f>+E37-E38</f>
        <v>102310320.6495567</v>
      </c>
      <c r="F39" s="128">
        <f t="shared" ref="F39:J39" si="9">+F37-F38</f>
        <v>131861530.36819077</v>
      </c>
      <c r="G39" s="128">
        <f t="shared" si="9"/>
        <v>140718715.39339808</v>
      </c>
      <c r="H39" s="128">
        <f t="shared" si="9"/>
        <v>164045464.85554871</v>
      </c>
      <c r="I39" s="128">
        <f t="shared" si="9"/>
        <v>122014201.07276642</v>
      </c>
      <c r="J39" s="128">
        <f t="shared" si="9"/>
        <v>142697456.53836295</v>
      </c>
      <c r="K39" s="128"/>
      <c r="L39" s="128"/>
      <c r="M39" s="134" t="s">
        <v>249</v>
      </c>
    </row>
    <row r="40" spans="1:13" x14ac:dyDescent="0.25">
      <c r="A40" s="160">
        <v>19</v>
      </c>
      <c r="C40" s="155" t="s">
        <v>141</v>
      </c>
      <c r="D40" s="155"/>
      <c r="E40" s="156">
        <v>0.6</v>
      </c>
      <c r="F40" s="156">
        <v>0.6</v>
      </c>
      <c r="G40" s="156">
        <v>0.6</v>
      </c>
      <c r="H40" s="156">
        <v>0.6</v>
      </c>
      <c r="I40" s="156">
        <v>0.6</v>
      </c>
      <c r="J40" s="156">
        <v>0.6</v>
      </c>
      <c r="K40" s="132"/>
      <c r="L40" s="132"/>
    </row>
    <row r="41" spans="1:13" x14ac:dyDescent="0.25">
      <c r="A41" s="160">
        <v>20</v>
      </c>
      <c r="C41" s="155" t="s">
        <v>47</v>
      </c>
      <c r="D41" s="155"/>
      <c r="E41" s="128">
        <f>+E39*E40</f>
        <v>61386192.389734015</v>
      </c>
      <c r="F41" s="128">
        <f t="shared" ref="F41:J41" si="10">+F39*F40</f>
        <v>79116918.220914453</v>
      </c>
      <c r="G41" s="128">
        <f t="shared" si="10"/>
        <v>84431229.236038849</v>
      </c>
      <c r="H41" s="128">
        <f t="shared" si="10"/>
        <v>98427278.913329229</v>
      </c>
      <c r="I41" s="128">
        <f t="shared" si="10"/>
        <v>73208520.643659845</v>
      </c>
      <c r="J41" s="128">
        <f t="shared" si="10"/>
        <v>85618473.92301777</v>
      </c>
      <c r="K41" s="128"/>
      <c r="L41" s="128"/>
      <c r="M41" s="134" t="s">
        <v>250</v>
      </c>
    </row>
    <row r="42" spans="1:13" x14ac:dyDescent="0.25">
      <c r="A42" s="160">
        <v>21</v>
      </c>
      <c r="C42" s="155" t="s">
        <v>48</v>
      </c>
      <c r="D42" s="155"/>
      <c r="E42" s="128">
        <f>+E35-E41</f>
        <v>40924128.259822682</v>
      </c>
      <c r="F42" s="128">
        <f t="shared" ref="F42:J42" si="11">+F35-F41</f>
        <v>144697116.7056258</v>
      </c>
      <c r="G42" s="128">
        <f t="shared" si="11"/>
        <v>258829297.81024295</v>
      </c>
      <c r="H42" s="128">
        <f t="shared" si="11"/>
        <v>377317487.37251908</v>
      </c>
      <c r="I42" s="128">
        <f t="shared" si="11"/>
        <v>482540912.52560186</v>
      </c>
      <c r="J42" s="128">
        <f t="shared" si="11"/>
        <v>565367706.71601522</v>
      </c>
      <c r="K42" s="128"/>
      <c r="L42" s="128"/>
      <c r="M42" s="134" t="s">
        <v>251</v>
      </c>
    </row>
    <row r="43" spans="1:13" x14ac:dyDescent="0.25">
      <c r="A43" s="160">
        <v>22</v>
      </c>
      <c r="C43" s="155" t="s">
        <v>49</v>
      </c>
      <c r="D43" s="155"/>
      <c r="E43" s="132">
        <v>0.03</v>
      </c>
      <c r="F43" s="132">
        <v>0.03</v>
      </c>
      <c r="G43" s="132">
        <v>0.03</v>
      </c>
      <c r="H43" s="132">
        <v>0.03</v>
      </c>
      <c r="I43" s="132">
        <v>0.03</v>
      </c>
      <c r="J43" s="132">
        <v>0.03</v>
      </c>
      <c r="K43" s="132"/>
      <c r="L43" s="132"/>
      <c r="M43" s="134" t="s">
        <v>49</v>
      </c>
    </row>
    <row r="44" spans="1:13" x14ac:dyDescent="0.25">
      <c r="A44" s="160">
        <v>23</v>
      </c>
      <c r="C44" s="122" t="s">
        <v>23</v>
      </c>
      <c r="D44" s="122"/>
      <c r="E44" s="124">
        <f>+E42*E43</f>
        <v>1227723.8477946804</v>
      </c>
      <c r="F44" s="124">
        <f t="shared" ref="F44:J44" si="12">+F42*F43</f>
        <v>4340913.5011687735</v>
      </c>
      <c r="G44" s="124">
        <f t="shared" si="12"/>
        <v>7764878.9343072884</v>
      </c>
      <c r="H44" s="124">
        <f t="shared" si="12"/>
        <v>11319524.621175572</v>
      </c>
      <c r="I44" s="124">
        <f t="shared" si="12"/>
        <v>14476227.375768056</v>
      </c>
      <c r="J44" s="124">
        <f t="shared" si="12"/>
        <v>16961031.201480456</v>
      </c>
      <c r="K44" s="124"/>
      <c r="L44" s="124"/>
      <c r="M44" s="134" t="s">
        <v>148</v>
      </c>
    </row>
    <row r="45" spans="1:13" x14ac:dyDescent="0.25">
      <c r="A45" s="160"/>
      <c r="C45" s="122"/>
      <c r="D45" s="122"/>
      <c r="E45" s="124"/>
      <c r="F45" s="124"/>
      <c r="G45" s="124"/>
      <c r="H45" s="124"/>
      <c r="I45" s="124"/>
      <c r="J45" s="124"/>
      <c r="K45" s="124"/>
      <c r="L45" s="124"/>
    </row>
    <row r="46" spans="1:13" x14ac:dyDescent="0.25">
      <c r="A46" s="160"/>
      <c r="C46" s="122"/>
      <c r="D46" s="131" t="s">
        <v>151</v>
      </c>
      <c r="E46" s="131" t="s">
        <v>152</v>
      </c>
      <c r="F46" s="131" t="s">
        <v>153</v>
      </c>
      <c r="G46" s="131" t="s">
        <v>154</v>
      </c>
      <c r="H46" s="131" t="s">
        <v>155</v>
      </c>
      <c r="I46" s="131" t="s">
        <v>156</v>
      </c>
      <c r="J46" s="131" t="s">
        <v>157</v>
      </c>
      <c r="K46" s="151" t="s">
        <v>275</v>
      </c>
      <c r="L46" s="124"/>
    </row>
    <row r="47" spans="1:13" x14ac:dyDescent="0.25">
      <c r="A47" s="160"/>
      <c r="C47" s="122"/>
      <c r="D47" s="2" t="s">
        <v>306</v>
      </c>
      <c r="E47" s="2" t="s">
        <v>299</v>
      </c>
      <c r="F47" s="2" t="s">
        <v>300</v>
      </c>
      <c r="G47" s="2" t="s">
        <v>301</v>
      </c>
      <c r="H47" s="2" t="s">
        <v>302</v>
      </c>
      <c r="I47" s="2" t="s">
        <v>303</v>
      </c>
      <c r="J47" s="2" t="s">
        <v>304</v>
      </c>
      <c r="K47" s="2" t="s">
        <v>305</v>
      </c>
      <c r="L47" s="124"/>
    </row>
    <row r="48" spans="1:13" x14ac:dyDescent="0.25">
      <c r="A48" s="160">
        <v>24</v>
      </c>
      <c r="C48" s="122"/>
      <c r="D48" s="182">
        <v>102502</v>
      </c>
      <c r="E48" s="182">
        <f>+E44+$D$48</f>
        <v>1330225.8477946804</v>
      </c>
      <c r="F48" s="182">
        <f t="shared" ref="F48:J48" si="13">+F44+$D$48</f>
        <v>4443415.5011687735</v>
      </c>
      <c r="G48" s="182">
        <f t="shared" si="13"/>
        <v>7867380.9343072884</v>
      </c>
      <c r="H48" s="182">
        <f t="shared" si="13"/>
        <v>11422026.621175572</v>
      </c>
      <c r="I48" s="182">
        <f t="shared" si="13"/>
        <v>14578729.375768056</v>
      </c>
      <c r="J48" s="182">
        <f t="shared" si="13"/>
        <v>17063533.201480456</v>
      </c>
      <c r="K48" s="182">
        <f>+J48</f>
        <v>17063533.201480456</v>
      </c>
      <c r="L48" s="124"/>
      <c r="M48" s="134" t="s">
        <v>246</v>
      </c>
    </row>
    <row r="49" spans="1:13" x14ac:dyDescent="0.25">
      <c r="A49" s="160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3" x14ac:dyDescent="0.25">
      <c r="A50" s="160"/>
      <c r="C50" s="155"/>
      <c r="D50" s="155"/>
      <c r="E50" s="151" t="s">
        <v>1</v>
      </c>
      <c r="F50" s="151" t="s">
        <v>2</v>
      </c>
      <c r="G50" s="151" t="s">
        <v>3</v>
      </c>
      <c r="H50" s="151" t="s">
        <v>4</v>
      </c>
      <c r="I50" s="151" t="s">
        <v>5</v>
      </c>
      <c r="J50" s="151" t="s">
        <v>6</v>
      </c>
      <c r="K50" s="151"/>
      <c r="L50" s="132"/>
    </row>
    <row r="51" spans="1:13" x14ac:dyDescent="0.25">
      <c r="A51" s="2" t="s">
        <v>122</v>
      </c>
      <c r="C51" s="138" t="s">
        <v>123</v>
      </c>
      <c r="D51" s="138"/>
      <c r="E51" s="153">
        <v>2021</v>
      </c>
      <c r="F51" s="153">
        <v>2022</v>
      </c>
      <c r="G51" s="153">
        <v>2023</v>
      </c>
      <c r="H51" s="153">
        <v>2024</v>
      </c>
      <c r="I51" s="153">
        <v>2025</v>
      </c>
      <c r="J51" s="153">
        <v>2026</v>
      </c>
      <c r="K51" s="151"/>
      <c r="L51" s="132"/>
      <c r="M51" s="2" t="s">
        <v>121</v>
      </c>
    </row>
    <row r="52" spans="1:13" x14ac:dyDescent="0.25">
      <c r="A52" s="131"/>
      <c r="C52" s="134"/>
      <c r="D52" s="134"/>
      <c r="E52" s="151"/>
      <c r="F52" s="151"/>
      <c r="G52" s="151"/>
      <c r="H52" s="151"/>
      <c r="I52" s="151"/>
      <c r="J52" s="151"/>
      <c r="K52" s="151"/>
    </row>
    <row r="53" spans="1:13" x14ac:dyDescent="0.25">
      <c r="A53" s="160"/>
      <c r="C53" s="152" t="s">
        <v>139</v>
      </c>
      <c r="D53" s="152"/>
      <c r="L53" s="151"/>
    </row>
    <row r="54" spans="1:13" x14ac:dyDescent="0.25">
      <c r="A54" s="160"/>
      <c r="C54" s="122" t="s">
        <v>42</v>
      </c>
      <c r="D54" s="122"/>
      <c r="L54" s="151"/>
    </row>
    <row r="55" spans="1:13" x14ac:dyDescent="0.25">
      <c r="A55" s="160">
        <v>25</v>
      </c>
      <c r="C55" s="122" t="s">
        <v>40</v>
      </c>
      <c r="D55" s="122"/>
      <c r="E55" s="128">
        <f>+E11+E33</f>
        <v>125625073.08000001</v>
      </c>
      <c r="F55" s="128">
        <f t="shared" ref="F55:J55" si="14">+F11+F33</f>
        <v>287887521.05648005</v>
      </c>
      <c r="G55" s="128">
        <f t="shared" si="14"/>
        <v>459843760.45928001</v>
      </c>
      <c r="H55" s="128">
        <f t="shared" si="14"/>
        <v>666639690.9968679</v>
      </c>
      <c r="I55" s="128">
        <f t="shared" si="14"/>
        <v>829715390.0941596</v>
      </c>
      <c r="J55" s="128">
        <f t="shared" si="14"/>
        <v>1015764913.9872355</v>
      </c>
      <c r="K55" s="128"/>
      <c r="L55" s="128"/>
      <c r="M55" t="s">
        <v>324</v>
      </c>
    </row>
    <row r="56" spans="1:13" x14ac:dyDescent="0.25">
      <c r="A56" s="160">
        <v>26</v>
      </c>
      <c r="C56" s="122" t="s">
        <v>45</v>
      </c>
      <c r="D56" s="122"/>
      <c r="E56" s="154">
        <f t="shared" ref="E56:J56" si="15">+E12+E34</f>
        <v>6402583.84485</v>
      </c>
      <c r="F56" s="154">
        <f t="shared" si="15"/>
        <v>25901454.480906602</v>
      </c>
      <c r="G56" s="154">
        <f t="shared" si="15"/>
        <v>58411804.256377496</v>
      </c>
      <c r="H56" s="154">
        <f t="shared" si="15"/>
        <v>103953120.96206874</v>
      </c>
      <c r="I56" s="154">
        <f t="shared" si="15"/>
        <v>159970725.59717035</v>
      </c>
      <c r="J56" s="154">
        <f t="shared" si="15"/>
        <v>224599751.8712073</v>
      </c>
      <c r="K56" s="128"/>
      <c r="L56" s="128"/>
      <c r="M56" t="s">
        <v>325</v>
      </c>
    </row>
    <row r="57" spans="1:13" x14ac:dyDescent="0.25">
      <c r="A57" s="160">
        <v>27</v>
      </c>
      <c r="C57" s="122" t="s">
        <v>43</v>
      </c>
      <c r="D57" s="122"/>
      <c r="E57" s="128">
        <f>+E55-E56</f>
        <v>119222489.23515001</v>
      </c>
      <c r="F57" s="128">
        <f t="shared" ref="F57:J57" si="16">+F55-F56</f>
        <v>261986066.57557344</v>
      </c>
      <c r="G57" s="128">
        <f t="shared" si="16"/>
        <v>401431956.2029025</v>
      </c>
      <c r="H57" s="128">
        <f t="shared" si="16"/>
        <v>562686570.0347991</v>
      </c>
      <c r="I57" s="128">
        <f t="shared" si="16"/>
        <v>669744664.49698925</v>
      </c>
      <c r="J57" s="128">
        <f t="shared" si="16"/>
        <v>791165162.11602831</v>
      </c>
      <c r="K57" s="128"/>
      <c r="L57" s="128"/>
      <c r="M57" s="134" t="s">
        <v>252</v>
      </c>
    </row>
    <row r="58" spans="1:13" x14ac:dyDescent="0.25">
      <c r="A58" s="160"/>
      <c r="C58" s="134"/>
      <c r="D58" s="134"/>
      <c r="E58" s="134"/>
      <c r="F58" s="134"/>
      <c r="G58" s="134"/>
      <c r="H58" s="134"/>
      <c r="I58" s="134"/>
      <c r="J58" s="134"/>
      <c r="K58" s="134"/>
    </row>
    <row r="59" spans="1:13" x14ac:dyDescent="0.25">
      <c r="A59" s="160">
        <v>28</v>
      </c>
      <c r="C59" s="122" t="s">
        <v>41</v>
      </c>
      <c r="D59" s="122"/>
      <c r="E59" s="128">
        <f t="shared" ref="E59:J60" si="17">+E15+E37</f>
        <v>125625073.08000001</v>
      </c>
      <c r="F59" s="128">
        <f t="shared" si="17"/>
        <v>162262447.97648001</v>
      </c>
      <c r="G59" s="128">
        <f t="shared" si="17"/>
        <v>171956239.40279999</v>
      </c>
      <c r="H59" s="128">
        <f t="shared" si="17"/>
        <v>206795930.53758776</v>
      </c>
      <c r="I59" s="128">
        <f t="shared" si="17"/>
        <v>163075699.0972918</v>
      </c>
      <c r="J59" s="128">
        <f>+J15+J37</f>
        <v>186049523.89307588</v>
      </c>
      <c r="K59" s="128"/>
      <c r="L59" s="128"/>
      <c r="M59" t="s">
        <v>326</v>
      </c>
    </row>
    <row r="60" spans="1:13" x14ac:dyDescent="0.25">
      <c r="A60" s="160">
        <v>29</v>
      </c>
      <c r="C60" s="155" t="s">
        <v>46</v>
      </c>
      <c r="D60" s="155"/>
      <c r="E60" s="154">
        <f t="shared" si="17"/>
        <v>6402583.84485</v>
      </c>
      <c r="F60" s="154">
        <f t="shared" si="17"/>
        <v>7593028.2441180004</v>
      </c>
      <c r="G60" s="154">
        <f t="shared" si="17"/>
        <v>7955920.2833050005</v>
      </c>
      <c r="H60" s="154">
        <f t="shared" si="17"/>
        <v>9004399.2276397347</v>
      </c>
      <c r="I60" s="154">
        <f t="shared" si="17"/>
        <v>6609040.4912816305</v>
      </c>
      <c r="J60" s="154">
        <f t="shared" si="17"/>
        <v>7477388.8906961996</v>
      </c>
      <c r="K60" s="128"/>
      <c r="L60" s="128"/>
      <c r="M60" t="s">
        <v>327</v>
      </c>
    </row>
    <row r="61" spans="1:13" x14ac:dyDescent="0.25">
      <c r="A61" s="160">
        <v>30</v>
      </c>
      <c r="C61" s="155" t="s">
        <v>44</v>
      </c>
      <c r="D61" s="155"/>
      <c r="E61" s="128">
        <f>+E59-E60</f>
        <v>119222489.23515001</v>
      </c>
      <c r="F61" s="128">
        <f t="shared" ref="F61:J61" si="18">+F59-F60</f>
        <v>154669419.732362</v>
      </c>
      <c r="G61" s="128">
        <f t="shared" si="18"/>
        <v>164000319.119495</v>
      </c>
      <c r="H61" s="128">
        <f t="shared" si="18"/>
        <v>197791531.30994803</v>
      </c>
      <c r="I61" s="128">
        <f t="shared" si="18"/>
        <v>156466658.60601017</v>
      </c>
      <c r="J61" s="128">
        <f t="shared" si="18"/>
        <v>178572135.00237969</v>
      </c>
      <c r="K61" s="128"/>
      <c r="L61" s="128"/>
      <c r="M61" s="134" t="s">
        <v>253</v>
      </c>
    </row>
    <row r="62" spans="1:13" x14ac:dyDescent="0.25">
      <c r="A62" s="160">
        <v>31</v>
      </c>
      <c r="C62" s="155" t="s">
        <v>141</v>
      </c>
      <c r="D62" s="155"/>
      <c r="E62" s="156">
        <v>0.6</v>
      </c>
      <c r="F62" s="156">
        <v>0.6</v>
      </c>
      <c r="G62" s="156">
        <v>0.6</v>
      </c>
      <c r="H62" s="156">
        <v>0.6</v>
      </c>
      <c r="I62" s="156">
        <v>0.6</v>
      </c>
      <c r="J62" s="156">
        <v>0.6</v>
      </c>
      <c r="K62" s="132"/>
      <c r="L62" s="132"/>
    </row>
    <row r="63" spans="1:13" x14ac:dyDescent="0.25">
      <c r="A63" s="160">
        <v>32</v>
      </c>
      <c r="C63" s="155" t="s">
        <v>47</v>
      </c>
      <c r="D63" s="155"/>
      <c r="E63" s="128">
        <f>+E61*E62</f>
        <v>71533493.541089997</v>
      </c>
      <c r="F63" s="128">
        <f t="shared" ref="F63:J63" si="19">+F61*F62</f>
        <v>92801651.839417204</v>
      </c>
      <c r="G63" s="128">
        <f t="shared" si="19"/>
        <v>98400191.471697003</v>
      </c>
      <c r="H63" s="128">
        <f t="shared" si="19"/>
        <v>118674918.78596881</v>
      </c>
      <c r="I63" s="128">
        <f t="shared" si="19"/>
        <v>93879995.163606092</v>
      </c>
      <c r="J63" s="128">
        <f t="shared" si="19"/>
        <v>107143281.00142781</v>
      </c>
      <c r="K63" s="128"/>
      <c r="L63" s="128"/>
      <c r="M63" s="134" t="s">
        <v>254</v>
      </c>
    </row>
    <row r="64" spans="1:13" x14ac:dyDescent="0.25">
      <c r="A64" s="160">
        <v>33</v>
      </c>
      <c r="C64" s="155" t="s">
        <v>48</v>
      </c>
      <c r="D64" s="155"/>
      <c r="E64" s="128">
        <f>+E57-E63</f>
        <v>47688995.694060013</v>
      </c>
      <c r="F64" s="128">
        <f t="shared" ref="F64:J64" si="20">+F57-F63</f>
        <v>169184414.73615623</v>
      </c>
      <c r="G64" s="128">
        <f t="shared" si="20"/>
        <v>303031764.73120546</v>
      </c>
      <c r="H64" s="128">
        <f t="shared" si="20"/>
        <v>444011651.24883032</v>
      </c>
      <c r="I64" s="128">
        <f t="shared" si="20"/>
        <v>575864669.3333832</v>
      </c>
      <c r="J64" s="128">
        <f t="shared" si="20"/>
        <v>684021881.11460054</v>
      </c>
      <c r="K64" s="128"/>
      <c r="L64" s="128"/>
      <c r="M64" s="134" t="s">
        <v>255</v>
      </c>
    </row>
    <row r="65" spans="1:13" x14ac:dyDescent="0.25">
      <c r="A65" s="160">
        <v>34</v>
      </c>
      <c r="C65" s="155" t="s">
        <v>49</v>
      </c>
      <c r="D65" s="155"/>
      <c r="E65" s="132">
        <v>0.03</v>
      </c>
      <c r="F65" s="132">
        <v>0.03</v>
      </c>
      <c r="G65" s="132">
        <v>0.03</v>
      </c>
      <c r="H65" s="132">
        <v>0.03</v>
      </c>
      <c r="I65" s="132">
        <v>0.03</v>
      </c>
      <c r="J65" s="132">
        <v>0.03</v>
      </c>
      <c r="K65" s="132"/>
      <c r="L65" s="132"/>
      <c r="M65" s="134" t="s">
        <v>49</v>
      </c>
    </row>
    <row r="66" spans="1:13" x14ac:dyDescent="0.25">
      <c r="A66" s="160">
        <v>35</v>
      </c>
      <c r="C66" s="122" t="s">
        <v>23</v>
      </c>
      <c r="D66" s="122"/>
      <c r="E66" s="124">
        <f>+E64*E65</f>
        <v>1430669.8708218003</v>
      </c>
      <c r="F66" s="124">
        <f t="shared" ref="F66:J66" si="21">+F64*F65</f>
        <v>5075532.4420846868</v>
      </c>
      <c r="G66" s="124">
        <f t="shared" si="21"/>
        <v>9090952.9419361632</v>
      </c>
      <c r="H66" s="124">
        <f t="shared" si="21"/>
        <v>13320349.537464909</v>
      </c>
      <c r="I66" s="124">
        <f t="shared" si="21"/>
        <v>17275940.080001496</v>
      </c>
      <c r="J66" s="124">
        <f t="shared" si="21"/>
        <v>20520656.433438014</v>
      </c>
      <c r="K66" s="124"/>
      <c r="L66" s="124"/>
      <c r="M66" s="134" t="s">
        <v>256</v>
      </c>
    </row>
    <row r="67" spans="1:13" x14ac:dyDescent="0.25"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3" x14ac:dyDescent="0.25">
      <c r="D68" s="131" t="s">
        <v>151</v>
      </c>
      <c r="E68" s="131" t="s">
        <v>152</v>
      </c>
      <c r="F68" s="131" t="s">
        <v>153</v>
      </c>
      <c r="G68" s="131" t="s">
        <v>154</v>
      </c>
      <c r="H68" s="131" t="s">
        <v>155</v>
      </c>
      <c r="I68" s="131" t="s">
        <v>156</v>
      </c>
      <c r="J68" s="131" t="s">
        <v>157</v>
      </c>
      <c r="K68" s="151" t="s">
        <v>275</v>
      </c>
    </row>
    <row r="69" spans="1:13" x14ac:dyDescent="0.25">
      <c r="D69" s="2" t="s">
        <v>306</v>
      </c>
      <c r="E69" s="2" t="s">
        <v>299</v>
      </c>
      <c r="F69" s="2" t="s">
        <v>300</v>
      </c>
      <c r="G69" s="2" t="s">
        <v>301</v>
      </c>
      <c r="H69" s="2" t="s">
        <v>302</v>
      </c>
      <c r="I69" s="2" t="s">
        <v>303</v>
      </c>
      <c r="J69" s="2" t="s">
        <v>304</v>
      </c>
      <c r="K69" s="2" t="s">
        <v>305</v>
      </c>
    </row>
    <row r="70" spans="1:13" x14ac:dyDescent="0.25">
      <c r="A70" s="194">
        <v>36</v>
      </c>
      <c r="D70" s="182">
        <f>+D26+D48</f>
        <v>102502</v>
      </c>
      <c r="E70" s="182">
        <f>+E26+E48</f>
        <v>1533171.8708218001</v>
      </c>
      <c r="F70" s="182">
        <f t="shared" ref="F70:K70" si="22">+F26+F48</f>
        <v>5178034.4420846859</v>
      </c>
      <c r="G70" s="182">
        <f t="shared" si="22"/>
        <v>9193454.9419361651</v>
      </c>
      <c r="H70" s="182">
        <f t="shared" si="22"/>
        <v>13422851.537464909</v>
      </c>
      <c r="I70" s="182">
        <f t="shared" si="22"/>
        <v>17378442.080001496</v>
      </c>
      <c r="J70" s="182">
        <f t="shared" si="22"/>
        <v>20623158.433438011</v>
      </c>
      <c r="K70" s="182">
        <f t="shared" si="22"/>
        <v>20623158.433438011</v>
      </c>
      <c r="M70" s="134" t="s">
        <v>247</v>
      </c>
    </row>
  </sheetData>
  <phoneticPr fontId="14" type="noConversion"/>
  <pageMargins left="0.7" right="0.7" top="0.75" bottom="0.75" header="0.3" footer="0.3"/>
  <pageSetup scale="49" orientation="landscape" horizontalDpi="1200" verticalDpi="1200" r:id="rId1"/>
  <headerFooter>
    <oddHeader>&amp;RIndianapolis Power &amp;&amp; Light Company
IURC Cause No. 45264 - TDSIC 2
IPL Attachment  CAR-3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showGridLines="0" view="pageLayout" topLeftCell="H1" zoomScale="70" zoomScaleNormal="70" zoomScalePageLayoutView="70" workbookViewId="0">
      <selection activeCell="O15" sqref="O15"/>
    </sheetView>
  </sheetViews>
  <sheetFormatPr defaultRowHeight="15" x14ac:dyDescent="0.25"/>
  <cols>
    <col min="2" max="2" width="2.42578125" customWidth="1"/>
    <col min="3" max="3" width="36.7109375" customWidth="1"/>
    <col min="4" max="4" width="16.42578125" bestFit="1" customWidth="1"/>
    <col min="5" max="5" width="16.7109375" bestFit="1" customWidth="1"/>
    <col min="6" max="7" width="18.140625" bestFit="1" customWidth="1"/>
    <col min="8" max="12" width="18.5703125" bestFit="1" customWidth="1"/>
    <col min="13" max="13" width="25.42578125" customWidth="1"/>
    <col min="14" max="14" width="1.140625" customWidth="1"/>
    <col min="15" max="15" width="50.85546875" style="42" bestFit="1" customWidth="1"/>
  </cols>
  <sheetData>
    <row r="1" spans="1:15" x14ac:dyDescent="0.25">
      <c r="C1" s="144" t="s">
        <v>133</v>
      </c>
      <c r="D1" s="144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31"/>
    </row>
    <row r="2" spans="1:15" x14ac:dyDescent="0.25">
      <c r="C2" s="144" t="s">
        <v>134</v>
      </c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31"/>
    </row>
    <row r="3" spans="1:15" x14ac:dyDescent="0.25">
      <c r="C3" s="144" t="s">
        <v>180</v>
      </c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0"/>
    </row>
    <row r="4" spans="1:15" x14ac:dyDescent="0.25">
      <c r="C4" s="144"/>
      <c r="D4" s="14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0"/>
    </row>
    <row r="5" spans="1:15" x14ac:dyDescent="0.25">
      <c r="C5" s="148" t="s">
        <v>159</v>
      </c>
      <c r="D5" s="42" t="s">
        <v>81</v>
      </c>
      <c r="E5" s="42" t="s">
        <v>82</v>
      </c>
      <c r="F5" s="139" t="s">
        <v>83</v>
      </c>
      <c r="G5" s="42" t="s">
        <v>84</v>
      </c>
      <c r="H5" s="42" t="s">
        <v>85</v>
      </c>
      <c r="I5" s="42" t="s">
        <v>86</v>
      </c>
      <c r="J5" s="42" t="s">
        <v>87</v>
      </c>
      <c r="K5" s="141" t="s">
        <v>88</v>
      </c>
      <c r="L5" s="140" t="s">
        <v>142</v>
      </c>
      <c r="M5" s="141" t="s">
        <v>143</v>
      </c>
      <c r="O5" s="141" t="s">
        <v>287</v>
      </c>
    </row>
    <row r="6" spans="1:15" x14ac:dyDescent="0.25">
      <c r="C6" s="148" t="s">
        <v>172</v>
      </c>
      <c r="D6" s="142"/>
      <c r="E6" s="131" t="s">
        <v>150</v>
      </c>
      <c r="F6" s="131" t="s">
        <v>150</v>
      </c>
      <c r="G6" s="131" t="s">
        <v>150</v>
      </c>
      <c r="H6" s="131" t="s">
        <v>150</v>
      </c>
      <c r="I6" s="131" t="s">
        <v>150</v>
      </c>
      <c r="J6" s="131" t="s">
        <v>150</v>
      </c>
      <c r="K6" s="131" t="s">
        <v>150</v>
      </c>
      <c r="L6" s="131"/>
      <c r="M6" s="143"/>
      <c r="N6" s="143"/>
      <c r="O6" s="140"/>
    </row>
    <row r="7" spans="1:15" x14ac:dyDescent="0.25">
      <c r="C7" s="130"/>
      <c r="D7" s="19"/>
      <c r="E7" s="131" t="s">
        <v>0</v>
      </c>
      <c r="F7" s="131" t="s">
        <v>1</v>
      </c>
      <c r="G7" s="131" t="s">
        <v>2</v>
      </c>
      <c r="H7" s="131" t="s">
        <v>3</v>
      </c>
      <c r="I7" s="131" t="s">
        <v>4</v>
      </c>
      <c r="J7" s="131" t="s">
        <v>5</v>
      </c>
      <c r="K7" s="131" t="s">
        <v>6</v>
      </c>
      <c r="L7" s="131"/>
      <c r="M7" s="19"/>
    </row>
    <row r="8" spans="1:15" x14ac:dyDescent="0.25">
      <c r="A8" s="2" t="s">
        <v>122</v>
      </c>
      <c r="C8" s="2" t="s">
        <v>21</v>
      </c>
      <c r="D8" s="2" t="s">
        <v>295</v>
      </c>
      <c r="E8" s="2">
        <v>2020</v>
      </c>
      <c r="F8" s="2">
        <v>2021</v>
      </c>
      <c r="G8" s="2">
        <v>2022</v>
      </c>
      <c r="H8" s="2">
        <v>2023</v>
      </c>
      <c r="I8" s="2">
        <v>2024</v>
      </c>
      <c r="J8" s="2">
        <v>2025</v>
      </c>
      <c r="K8" s="2">
        <v>2026</v>
      </c>
      <c r="L8" s="131"/>
      <c r="M8" s="2" t="s">
        <v>7</v>
      </c>
      <c r="O8" s="2" t="s">
        <v>121</v>
      </c>
    </row>
    <row r="9" spans="1:15" ht="15" customHeight="1" x14ac:dyDescent="0.25">
      <c r="A9" s="157">
        <v>1</v>
      </c>
      <c r="C9" s="149">
        <v>352</v>
      </c>
      <c r="D9" s="150">
        <v>2.4E-2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  <c r="K9" s="124">
        <v>0</v>
      </c>
      <c r="L9" s="124"/>
      <c r="M9" s="124">
        <f t="shared" ref="M9:M19" si="0">SUM(E9:K9)</f>
        <v>0</v>
      </c>
      <c r="O9" s="158" t="s">
        <v>258</v>
      </c>
    </row>
    <row r="10" spans="1:15" x14ac:dyDescent="0.25">
      <c r="A10" s="157">
        <v>2</v>
      </c>
      <c r="C10" s="149">
        <v>353</v>
      </c>
      <c r="D10" s="150">
        <v>2.53E-2</v>
      </c>
      <c r="E10" s="124">
        <v>767685.65419601079</v>
      </c>
      <c r="F10" s="124">
        <v>1258173.7915144253</v>
      </c>
      <c r="G10" s="124">
        <v>1358273.0616616337</v>
      </c>
      <c r="H10" s="124">
        <v>807476.80102172191</v>
      </c>
      <c r="I10" s="124">
        <v>1868978.6183943818</v>
      </c>
      <c r="J10" s="124">
        <v>2109719.19929008</v>
      </c>
      <c r="K10" s="124">
        <v>1526717.700806811</v>
      </c>
      <c r="L10" s="124"/>
      <c r="M10" s="124">
        <f t="shared" si="0"/>
        <v>9697024.8268850651</v>
      </c>
      <c r="O10" s="159" t="s">
        <v>258</v>
      </c>
    </row>
    <row r="11" spans="1:15" x14ac:dyDescent="0.25">
      <c r="A11" s="157">
        <v>3</v>
      </c>
      <c r="C11" s="149">
        <v>354</v>
      </c>
      <c r="D11" s="150">
        <v>1.37E-2</v>
      </c>
      <c r="E11" s="124">
        <v>0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/>
      <c r="M11" s="124">
        <f t="shared" si="0"/>
        <v>0</v>
      </c>
      <c r="O11" s="159" t="s">
        <v>258</v>
      </c>
    </row>
    <row r="12" spans="1:15" x14ac:dyDescent="0.25">
      <c r="A12" s="157">
        <v>4</v>
      </c>
      <c r="C12" s="149">
        <v>356</v>
      </c>
      <c r="D12" s="150">
        <v>1.2E-2</v>
      </c>
      <c r="E12" s="124">
        <v>86679</v>
      </c>
      <c r="F12" s="124">
        <v>48528</v>
      </c>
      <c r="G12" s="124">
        <v>51507</v>
      </c>
      <c r="H12" s="124">
        <v>62030</v>
      </c>
      <c r="I12" s="124">
        <v>61261</v>
      </c>
      <c r="J12" s="124">
        <v>55784</v>
      </c>
      <c r="K12" s="124">
        <v>38919</v>
      </c>
      <c r="L12" s="124"/>
      <c r="M12" s="124">
        <f t="shared" si="0"/>
        <v>404708</v>
      </c>
      <c r="O12" s="159" t="s">
        <v>258</v>
      </c>
    </row>
    <row r="13" spans="1:15" x14ac:dyDescent="0.25">
      <c r="A13" s="157">
        <v>5</v>
      </c>
      <c r="C13" s="149">
        <v>362</v>
      </c>
      <c r="D13" s="150">
        <v>1.61E-2</v>
      </c>
      <c r="E13" s="124">
        <v>202112.40771292435</v>
      </c>
      <c r="F13" s="124">
        <v>1078936.6069956592</v>
      </c>
      <c r="G13" s="124">
        <v>1378785.2338421904</v>
      </c>
      <c r="H13" s="124">
        <v>1395590.0785790677</v>
      </c>
      <c r="I13" s="124">
        <v>1615500.2541778893</v>
      </c>
      <c r="J13" s="124">
        <v>1646209.5544251706</v>
      </c>
      <c r="K13" s="124">
        <v>1955796.3985301398</v>
      </c>
      <c r="L13" s="124"/>
      <c r="M13" s="124">
        <f t="shared" si="0"/>
        <v>9272930.5342630409</v>
      </c>
      <c r="O13" s="159" t="s">
        <v>258</v>
      </c>
    </row>
    <row r="14" spans="1:15" x14ac:dyDescent="0.25">
      <c r="A14" s="157">
        <v>6</v>
      </c>
      <c r="C14" s="149">
        <v>364</v>
      </c>
      <c r="D14" s="150">
        <v>2.06E-2</v>
      </c>
      <c r="E14" s="124">
        <v>7571576</v>
      </c>
      <c r="F14" s="124">
        <v>6694560</v>
      </c>
      <c r="G14" s="124">
        <v>7523759</v>
      </c>
      <c r="H14" s="124">
        <v>6737516</v>
      </c>
      <c r="I14" s="124">
        <v>6832719</v>
      </c>
      <c r="J14" s="124">
        <v>6038162</v>
      </c>
      <c r="K14" s="124">
        <v>5376757</v>
      </c>
      <c r="L14" s="124"/>
      <c r="M14" s="124">
        <f t="shared" si="0"/>
        <v>46775049</v>
      </c>
      <c r="O14" s="159" t="s">
        <v>258</v>
      </c>
    </row>
    <row r="15" spans="1:15" x14ac:dyDescent="0.25">
      <c r="A15" s="157">
        <v>7</v>
      </c>
      <c r="C15" s="149">
        <v>365</v>
      </c>
      <c r="D15" s="150">
        <v>2.35E-2</v>
      </c>
      <c r="E15" s="124">
        <v>1168890</v>
      </c>
      <c r="F15" s="124">
        <v>1135179</v>
      </c>
      <c r="G15" s="124">
        <v>1295209</v>
      </c>
      <c r="H15" s="124">
        <v>1240488</v>
      </c>
      <c r="I15" s="124">
        <v>1089529</v>
      </c>
      <c r="J15" s="124">
        <v>1145798</v>
      </c>
      <c r="K15" s="124">
        <v>1019593</v>
      </c>
      <c r="L15" s="124"/>
      <c r="M15" s="124">
        <f t="shared" si="0"/>
        <v>8094686</v>
      </c>
      <c r="O15" s="159" t="s">
        <v>258</v>
      </c>
    </row>
    <row r="16" spans="1:15" x14ac:dyDescent="0.25">
      <c r="A16" s="157">
        <v>8</v>
      </c>
      <c r="C16" s="149">
        <v>366</v>
      </c>
      <c r="D16" s="150">
        <v>2.6200000000000001E-2</v>
      </c>
      <c r="E16" s="124">
        <v>28816</v>
      </c>
      <c r="F16" s="124">
        <v>43224</v>
      </c>
      <c r="G16" s="124">
        <v>57632</v>
      </c>
      <c r="H16" s="124">
        <v>100856</v>
      </c>
      <c r="I16" s="124">
        <v>86448</v>
      </c>
      <c r="J16" s="124">
        <v>100856</v>
      </c>
      <c r="K16" s="124">
        <v>100856</v>
      </c>
      <c r="L16" s="124"/>
      <c r="M16" s="124">
        <f t="shared" si="0"/>
        <v>518688</v>
      </c>
      <c r="O16" s="159" t="s">
        <v>258</v>
      </c>
    </row>
    <row r="17" spans="1:15" x14ac:dyDescent="0.25">
      <c r="A17" s="157">
        <v>9</v>
      </c>
      <c r="C17" s="149">
        <v>367</v>
      </c>
      <c r="D17" s="150">
        <v>2.5499999999999998E-2</v>
      </c>
      <c r="E17" s="124">
        <v>6546516</v>
      </c>
      <c r="F17" s="124">
        <v>6303176</v>
      </c>
      <c r="G17" s="124">
        <v>6635300</v>
      </c>
      <c r="H17" s="124">
        <v>6367389</v>
      </c>
      <c r="I17" s="124">
        <v>6176561</v>
      </c>
      <c r="J17" s="124">
        <v>6357454</v>
      </c>
      <c r="K17" s="124">
        <v>5985400</v>
      </c>
      <c r="L17" s="124"/>
      <c r="M17" s="124">
        <f t="shared" si="0"/>
        <v>44371796</v>
      </c>
      <c r="O17" s="159" t="s">
        <v>258</v>
      </c>
    </row>
    <row r="18" spans="1:15" x14ac:dyDescent="0.25">
      <c r="A18" s="157">
        <v>10</v>
      </c>
      <c r="C18" s="149">
        <v>368</v>
      </c>
      <c r="D18" s="150">
        <v>6.4999999999999997E-3</v>
      </c>
      <c r="E18" s="124">
        <v>1517674.64</v>
      </c>
      <c r="F18" s="124">
        <v>1358518</v>
      </c>
      <c r="G18" s="124">
        <v>1847063.6</v>
      </c>
      <c r="H18" s="124">
        <v>2019202.88</v>
      </c>
      <c r="I18" s="124">
        <v>1838544.88</v>
      </c>
      <c r="J18" s="124">
        <v>1787071.24</v>
      </c>
      <c r="K18" s="124">
        <v>1754846.88</v>
      </c>
      <c r="L18" s="124"/>
      <c r="M18" s="124">
        <f t="shared" si="0"/>
        <v>12122922.120000001</v>
      </c>
      <c r="O18" s="159" t="s">
        <v>258</v>
      </c>
    </row>
    <row r="19" spans="1:15" x14ac:dyDescent="0.25">
      <c r="A19" s="157">
        <v>11</v>
      </c>
      <c r="C19" s="149">
        <v>370</v>
      </c>
      <c r="D19" s="150">
        <v>3.9E-2</v>
      </c>
      <c r="E19" s="125">
        <v>3806397</v>
      </c>
      <c r="F19" s="125">
        <v>5091500</v>
      </c>
      <c r="G19" s="125">
        <v>4928440</v>
      </c>
      <c r="H19" s="125">
        <v>2451255</v>
      </c>
      <c r="I19" s="125">
        <v>0</v>
      </c>
      <c r="J19" s="125">
        <v>0</v>
      </c>
      <c r="K19" s="125">
        <v>0</v>
      </c>
      <c r="L19" s="124"/>
      <c r="M19" s="125">
        <f t="shared" si="0"/>
        <v>16277592</v>
      </c>
      <c r="O19" s="159" t="s">
        <v>258</v>
      </c>
    </row>
    <row r="20" spans="1:15" x14ac:dyDescent="0.25">
      <c r="A20" s="157">
        <v>12</v>
      </c>
      <c r="C20" s="130" t="s">
        <v>257</v>
      </c>
      <c r="D20" s="19"/>
      <c r="E20" s="53">
        <f t="shared" ref="E20:M20" si="1">SUM(E9:E19)</f>
        <v>21696346.701908935</v>
      </c>
      <c r="F20" s="53">
        <f t="shared" si="1"/>
        <v>23011795.398510084</v>
      </c>
      <c r="G20" s="53">
        <f t="shared" si="1"/>
        <v>25075968.895503826</v>
      </c>
      <c r="H20" s="53">
        <f t="shared" si="1"/>
        <v>21181803.759600788</v>
      </c>
      <c r="I20" s="53">
        <f t="shared" si="1"/>
        <v>19569541.752572272</v>
      </c>
      <c r="J20" s="53">
        <f t="shared" si="1"/>
        <v>19241053.993715249</v>
      </c>
      <c r="K20" s="53">
        <f t="shared" si="1"/>
        <v>17758885.979336951</v>
      </c>
      <c r="L20" s="53"/>
      <c r="M20" s="53">
        <f t="shared" si="1"/>
        <v>147535396.48114812</v>
      </c>
    </row>
    <row r="21" spans="1:15" x14ac:dyDescent="0.25">
      <c r="A21" s="157"/>
      <c r="C21" s="130"/>
      <c r="D21" s="19"/>
      <c r="E21" s="53"/>
      <c r="F21" s="53"/>
      <c r="G21" s="53"/>
      <c r="H21" s="53"/>
      <c r="I21" s="53"/>
      <c r="J21" s="53"/>
      <c r="K21" s="53"/>
      <c r="L21" s="53"/>
      <c r="M21" s="9"/>
      <c r="N21" s="9"/>
    </row>
    <row r="22" spans="1:15" x14ac:dyDescent="0.25">
      <c r="C22" s="148" t="s">
        <v>159</v>
      </c>
      <c r="D22" s="142"/>
      <c r="E22" s="1"/>
      <c r="F22" s="1"/>
      <c r="G22" s="1"/>
      <c r="H22" s="1"/>
      <c r="I22" s="1"/>
      <c r="J22" s="1"/>
      <c r="K22" s="1"/>
      <c r="L22" s="1"/>
      <c r="M22" s="143"/>
      <c r="N22" s="143"/>
      <c r="O22" s="140"/>
    </row>
    <row r="23" spans="1:15" x14ac:dyDescent="0.25">
      <c r="C23" s="148" t="s">
        <v>171</v>
      </c>
      <c r="D23" s="19"/>
      <c r="E23" s="131" t="s">
        <v>151</v>
      </c>
      <c r="F23" s="131" t="s">
        <v>152</v>
      </c>
      <c r="G23" s="131" t="s">
        <v>153</v>
      </c>
      <c r="H23" s="131" t="s">
        <v>154</v>
      </c>
      <c r="I23" s="131" t="s">
        <v>155</v>
      </c>
      <c r="J23" s="131" t="s">
        <v>156</v>
      </c>
      <c r="K23" s="131" t="s">
        <v>157</v>
      </c>
      <c r="L23" s="151" t="s">
        <v>275</v>
      </c>
      <c r="M23" s="19"/>
    </row>
    <row r="24" spans="1:15" x14ac:dyDescent="0.25">
      <c r="A24" s="2" t="s">
        <v>122</v>
      </c>
      <c r="C24" s="2" t="s">
        <v>21</v>
      </c>
      <c r="D24" s="2" t="s">
        <v>318</v>
      </c>
      <c r="E24" s="161" t="s">
        <v>277</v>
      </c>
      <c r="F24" s="2" t="s">
        <v>285</v>
      </c>
      <c r="G24" s="2" t="s">
        <v>278</v>
      </c>
      <c r="H24" s="2" t="s">
        <v>279</v>
      </c>
      <c r="I24" s="2" t="s">
        <v>280</v>
      </c>
      <c r="J24" s="2" t="s">
        <v>281</v>
      </c>
      <c r="K24" s="2" t="s">
        <v>282</v>
      </c>
      <c r="L24" s="2" t="s">
        <v>283</v>
      </c>
      <c r="M24" s="2" t="s">
        <v>7</v>
      </c>
      <c r="O24" s="2" t="s">
        <v>121</v>
      </c>
    </row>
    <row r="25" spans="1:15" ht="15" customHeight="1" x14ac:dyDescent="0.25">
      <c r="A25" s="157">
        <v>13</v>
      </c>
      <c r="C25" s="149">
        <v>352</v>
      </c>
      <c r="D25" s="150">
        <v>2.4E-2</v>
      </c>
      <c r="E25" s="124">
        <v>0</v>
      </c>
      <c r="F25" s="124">
        <f>+E9</f>
        <v>0</v>
      </c>
      <c r="G25" s="124">
        <f>+F9</f>
        <v>0</v>
      </c>
      <c r="H25" s="124">
        <f>+G9</f>
        <v>0</v>
      </c>
      <c r="I25" s="124">
        <f>+H9</f>
        <v>0</v>
      </c>
      <c r="J25" s="124">
        <f>+I9</f>
        <v>0</v>
      </c>
      <c r="K25" s="124">
        <f>+J9+K9</f>
        <v>0</v>
      </c>
      <c r="L25" s="124">
        <f>+M9-SUM(E25:K25)</f>
        <v>0</v>
      </c>
      <c r="M25" s="124">
        <f>SUM(E25:L25)</f>
        <v>0</v>
      </c>
      <c r="O25" s="233" t="s">
        <v>259</v>
      </c>
    </row>
    <row r="26" spans="1:15" x14ac:dyDescent="0.25">
      <c r="A26" s="157">
        <v>14</v>
      </c>
      <c r="C26" s="149">
        <v>353</v>
      </c>
      <c r="D26" s="150">
        <v>2.53E-2</v>
      </c>
      <c r="E26" s="124">
        <f>14.42+13446.94</f>
        <v>13461.36</v>
      </c>
      <c r="F26" s="124">
        <f t="shared" ref="F26:F35" si="2">+E10-E26+F10*0.25</f>
        <v>1068767.7420746172</v>
      </c>
      <c r="G26" s="124">
        <f t="shared" ref="G26:H35" si="3">+F10*0.75+G10*0.25</f>
        <v>1283198.6090512273</v>
      </c>
      <c r="H26" s="124">
        <f t="shared" si="3"/>
        <v>1220573.9965016558</v>
      </c>
      <c r="I26" s="124">
        <f t="shared" ref="I26:I35" si="4">+H10*0.75+I10*0.25</f>
        <v>1072852.255364887</v>
      </c>
      <c r="J26" s="124">
        <f t="shared" ref="J26:J35" si="5">+I10*0.75+J10*0.25</f>
        <v>1929163.7636183063</v>
      </c>
      <c r="K26" s="124">
        <f t="shared" ref="K26:K35" si="6">+J10*0.75+K10*0.25</f>
        <v>1963968.8246692629</v>
      </c>
      <c r="L26" s="124">
        <f>+M10-SUM(E26:K26)</f>
        <v>1145038.2756051086</v>
      </c>
      <c r="M26" s="124">
        <f t="shared" ref="M26:M35" si="7">SUM(E26:L26)</f>
        <v>9697024.8268850651</v>
      </c>
      <c r="O26" s="232"/>
    </row>
    <row r="27" spans="1:15" x14ac:dyDescent="0.25">
      <c r="A27" s="157">
        <v>15</v>
      </c>
      <c r="C27" s="149">
        <v>354</v>
      </c>
      <c r="D27" s="150">
        <v>1.37E-2</v>
      </c>
      <c r="E27" s="124">
        <v>0</v>
      </c>
      <c r="F27" s="124">
        <f t="shared" si="2"/>
        <v>0</v>
      </c>
      <c r="G27" s="124">
        <f t="shared" si="3"/>
        <v>0</v>
      </c>
      <c r="H27" s="124">
        <f t="shared" si="3"/>
        <v>0</v>
      </c>
      <c r="I27" s="124">
        <f t="shared" si="4"/>
        <v>0</v>
      </c>
      <c r="J27" s="124">
        <f t="shared" si="5"/>
        <v>0</v>
      </c>
      <c r="K27" s="124">
        <f t="shared" si="6"/>
        <v>0</v>
      </c>
      <c r="L27" s="124">
        <f t="shared" ref="L27:L35" si="8">+M11-SUM(E27:K27)</f>
        <v>0</v>
      </c>
      <c r="M27" s="124">
        <f t="shared" si="7"/>
        <v>0</v>
      </c>
      <c r="O27" s="232"/>
    </row>
    <row r="28" spans="1:15" x14ac:dyDescent="0.25">
      <c r="A28" s="157">
        <v>16</v>
      </c>
      <c r="C28" s="149">
        <v>356</v>
      </c>
      <c r="D28" s="150">
        <v>1.2E-2</v>
      </c>
      <c r="E28" s="124">
        <v>0</v>
      </c>
      <c r="F28" s="124">
        <f t="shared" si="2"/>
        <v>98811</v>
      </c>
      <c r="G28" s="124">
        <f t="shared" si="3"/>
        <v>49272.75</v>
      </c>
      <c r="H28" s="124">
        <f t="shared" si="3"/>
        <v>54137.75</v>
      </c>
      <c r="I28" s="124">
        <f t="shared" si="4"/>
        <v>61837.75</v>
      </c>
      <c r="J28" s="124">
        <f t="shared" si="5"/>
        <v>59891.75</v>
      </c>
      <c r="K28" s="124">
        <f t="shared" si="6"/>
        <v>51567.75</v>
      </c>
      <c r="L28" s="124">
        <f t="shared" si="8"/>
        <v>29189.25</v>
      </c>
      <c r="M28" s="124">
        <f t="shared" si="7"/>
        <v>404708</v>
      </c>
      <c r="O28" s="232"/>
    </row>
    <row r="29" spans="1:15" x14ac:dyDescent="0.25">
      <c r="A29" s="157">
        <v>17</v>
      </c>
      <c r="C29" s="149">
        <v>362</v>
      </c>
      <c r="D29" s="150">
        <v>1.61E-2</v>
      </c>
      <c r="E29" s="124">
        <v>0</v>
      </c>
      <c r="F29" s="124">
        <f t="shared" si="2"/>
        <v>471846.55946183915</v>
      </c>
      <c r="G29" s="124">
        <f t="shared" si="3"/>
        <v>1153898.763707292</v>
      </c>
      <c r="H29" s="124">
        <f t="shared" si="3"/>
        <v>1382986.4450264098</v>
      </c>
      <c r="I29" s="124">
        <f t="shared" si="4"/>
        <v>1450567.6224787731</v>
      </c>
      <c r="J29" s="124">
        <f t="shared" si="5"/>
        <v>1623177.5792397098</v>
      </c>
      <c r="K29" s="124">
        <f t="shared" si="6"/>
        <v>1723606.2654514129</v>
      </c>
      <c r="L29" s="124">
        <f t="shared" si="8"/>
        <v>1466847.2988976035</v>
      </c>
      <c r="M29" s="124">
        <f t="shared" si="7"/>
        <v>9272930.5342630409</v>
      </c>
      <c r="O29" s="232"/>
    </row>
    <row r="30" spans="1:15" x14ac:dyDescent="0.25">
      <c r="A30" s="157">
        <v>18</v>
      </c>
      <c r="C30" s="149">
        <v>364</v>
      </c>
      <c r="D30" s="150">
        <v>2.06E-2</v>
      </c>
      <c r="E30" s="124">
        <v>225925.4</v>
      </c>
      <c r="F30" s="124">
        <f t="shared" si="2"/>
        <v>9019290.5999999996</v>
      </c>
      <c r="G30" s="124">
        <f t="shared" si="3"/>
        <v>6901859.75</v>
      </c>
      <c r="H30" s="124">
        <f t="shared" si="3"/>
        <v>7327198.25</v>
      </c>
      <c r="I30" s="124">
        <f t="shared" si="4"/>
        <v>6761316.75</v>
      </c>
      <c r="J30" s="124">
        <f t="shared" si="5"/>
        <v>6634079.75</v>
      </c>
      <c r="K30" s="124">
        <f t="shared" si="6"/>
        <v>5872810.75</v>
      </c>
      <c r="L30" s="124">
        <f t="shared" si="8"/>
        <v>4032567.75</v>
      </c>
      <c r="M30" s="124">
        <f t="shared" si="7"/>
        <v>46775049</v>
      </c>
      <c r="O30" s="232"/>
    </row>
    <row r="31" spans="1:15" x14ac:dyDescent="0.25">
      <c r="A31" s="157">
        <v>19</v>
      </c>
      <c r="C31" s="149">
        <v>365</v>
      </c>
      <c r="D31" s="150">
        <v>2.35E-2</v>
      </c>
      <c r="E31" s="124">
        <v>252191.26</v>
      </c>
      <c r="F31" s="124">
        <f t="shared" si="2"/>
        <v>1200493.49</v>
      </c>
      <c r="G31" s="124">
        <f t="shared" si="3"/>
        <v>1175186.5</v>
      </c>
      <c r="H31" s="124">
        <f t="shared" si="3"/>
        <v>1281528.75</v>
      </c>
      <c r="I31" s="124">
        <f t="shared" si="4"/>
        <v>1202748.25</v>
      </c>
      <c r="J31" s="124">
        <f t="shared" si="5"/>
        <v>1103596.25</v>
      </c>
      <c r="K31" s="124">
        <f t="shared" si="6"/>
        <v>1114246.75</v>
      </c>
      <c r="L31" s="124">
        <f t="shared" si="8"/>
        <v>764694.75</v>
      </c>
      <c r="M31" s="124">
        <f t="shared" si="7"/>
        <v>8094686</v>
      </c>
      <c r="O31" s="232"/>
    </row>
    <row r="32" spans="1:15" x14ac:dyDescent="0.25">
      <c r="A32" s="157">
        <v>20</v>
      </c>
      <c r="C32" s="149">
        <v>366</v>
      </c>
      <c r="D32" s="150">
        <v>2.6200000000000001E-2</v>
      </c>
      <c r="E32" s="124">
        <v>2184.2600000000002</v>
      </c>
      <c r="F32" s="124">
        <f t="shared" si="2"/>
        <v>37437.74</v>
      </c>
      <c r="G32" s="124">
        <f t="shared" si="3"/>
        <v>46826</v>
      </c>
      <c r="H32" s="124">
        <f t="shared" si="3"/>
        <v>68438</v>
      </c>
      <c r="I32" s="124">
        <f t="shared" si="4"/>
        <v>97254</v>
      </c>
      <c r="J32" s="124">
        <f t="shared" si="5"/>
        <v>90050</v>
      </c>
      <c r="K32" s="124">
        <f t="shared" si="6"/>
        <v>100856</v>
      </c>
      <c r="L32" s="124">
        <f t="shared" si="8"/>
        <v>75642</v>
      </c>
      <c r="M32" s="124">
        <f t="shared" si="7"/>
        <v>518688</v>
      </c>
      <c r="O32" s="232"/>
    </row>
    <row r="33" spans="1:15" x14ac:dyDescent="0.25">
      <c r="A33" s="157">
        <v>21</v>
      </c>
      <c r="C33" s="149">
        <v>367</v>
      </c>
      <c r="D33" s="150">
        <v>2.5499999999999998E-2</v>
      </c>
      <c r="E33" s="124">
        <f>7050.16+1826.47</f>
        <v>8876.6299999999992</v>
      </c>
      <c r="F33" s="124">
        <f t="shared" si="2"/>
        <v>8113433.3700000001</v>
      </c>
      <c r="G33" s="124">
        <f t="shared" si="3"/>
        <v>6386207</v>
      </c>
      <c r="H33" s="124">
        <f t="shared" si="3"/>
        <v>6568322.25</v>
      </c>
      <c r="I33" s="124">
        <f t="shared" si="4"/>
        <v>6319682</v>
      </c>
      <c r="J33" s="124">
        <f t="shared" si="5"/>
        <v>6221784.25</v>
      </c>
      <c r="K33" s="124">
        <f t="shared" si="6"/>
        <v>6264440.5</v>
      </c>
      <c r="L33" s="124">
        <f t="shared" si="8"/>
        <v>4489050</v>
      </c>
      <c r="M33" s="124">
        <f t="shared" si="7"/>
        <v>44371796</v>
      </c>
      <c r="O33" s="232"/>
    </row>
    <row r="34" spans="1:15" x14ac:dyDescent="0.25">
      <c r="A34" s="157">
        <v>22</v>
      </c>
      <c r="C34" s="149">
        <v>368</v>
      </c>
      <c r="D34" s="150">
        <v>6.4999999999999997E-3</v>
      </c>
      <c r="E34" s="124">
        <f>372206.55+13249.36+2006.57</f>
        <v>387462.48</v>
      </c>
      <c r="F34" s="124">
        <f t="shared" si="2"/>
        <v>1469841.66</v>
      </c>
      <c r="G34" s="124">
        <f t="shared" si="3"/>
        <v>1480654.4</v>
      </c>
      <c r="H34" s="124">
        <f t="shared" si="3"/>
        <v>1890098.4200000002</v>
      </c>
      <c r="I34" s="124">
        <f t="shared" si="4"/>
        <v>1974038.38</v>
      </c>
      <c r="J34" s="124">
        <f t="shared" si="5"/>
        <v>1825676.47</v>
      </c>
      <c r="K34" s="124">
        <f t="shared" si="6"/>
        <v>1779015.15</v>
      </c>
      <c r="L34" s="124">
        <f t="shared" si="8"/>
        <v>1316135.1600000001</v>
      </c>
      <c r="M34" s="124">
        <f t="shared" si="7"/>
        <v>12122922.120000001</v>
      </c>
      <c r="O34" s="232"/>
    </row>
    <row r="35" spans="1:15" x14ac:dyDescent="0.25">
      <c r="A35" s="157">
        <v>23</v>
      </c>
      <c r="C35" s="149">
        <v>370</v>
      </c>
      <c r="D35" s="150">
        <v>3.9E-2</v>
      </c>
      <c r="E35" s="125">
        <v>0</v>
      </c>
      <c r="F35" s="125">
        <f t="shared" si="2"/>
        <v>5079272</v>
      </c>
      <c r="G35" s="125">
        <f t="shared" si="3"/>
        <v>5050735</v>
      </c>
      <c r="H35" s="125">
        <f t="shared" si="3"/>
        <v>4309143.75</v>
      </c>
      <c r="I35" s="125">
        <f t="shared" si="4"/>
        <v>1838441.25</v>
      </c>
      <c r="J35" s="125">
        <f t="shared" si="5"/>
        <v>0</v>
      </c>
      <c r="K35" s="125">
        <f t="shared" si="6"/>
        <v>0</v>
      </c>
      <c r="L35" s="125">
        <f t="shared" si="8"/>
        <v>0</v>
      </c>
      <c r="M35" s="125">
        <f t="shared" si="7"/>
        <v>16277592</v>
      </c>
      <c r="O35" s="232"/>
    </row>
    <row r="36" spans="1:15" x14ac:dyDescent="0.25">
      <c r="A36" s="157">
        <v>24</v>
      </c>
      <c r="C36" s="130" t="s">
        <v>297</v>
      </c>
      <c r="D36" s="19"/>
      <c r="E36" s="53">
        <f t="shared" ref="E36:M36" si="9">SUM(E25:E35)</f>
        <v>890101.39</v>
      </c>
      <c r="F36" s="53">
        <f t="shared" si="9"/>
        <v>26559194.161536455</v>
      </c>
      <c r="G36" s="53">
        <f t="shared" si="9"/>
        <v>23527838.772758517</v>
      </c>
      <c r="H36" s="53">
        <f t="shared" si="9"/>
        <v>24102427.611528069</v>
      </c>
      <c r="I36" s="53">
        <f t="shared" si="9"/>
        <v>20778738.257843658</v>
      </c>
      <c r="J36" s="53">
        <f>SUM(J25:J35)</f>
        <v>19487419.812858015</v>
      </c>
      <c r="K36" s="53">
        <f t="shared" si="9"/>
        <v>18870511.990120675</v>
      </c>
      <c r="L36" s="53">
        <f t="shared" si="9"/>
        <v>13319164.484502712</v>
      </c>
      <c r="M36" s="53">
        <f t="shared" si="9"/>
        <v>147535396.48114812</v>
      </c>
    </row>
    <row r="37" spans="1:15" x14ac:dyDescent="0.25">
      <c r="A37" s="157"/>
      <c r="C37" s="130"/>
      <c r="D37" s="19"/>
      <c r="E37" s="53"/>
      <c r="F37" s="53"/>
      <c r="G37" s="53"/>
      <c r="H37" s="53"/>
      <c r="I37" s="53"/>
      <c r="J37" s="53"/>
      <c r="K37" s="53"/>
      <c r="L37" s="53"/>
      <c r="M37" s="9"/>
      <c r="N37" s="9"/>
    </row>
    <row r="38" spans="1:15" x14ac:dyDescent="0.25">
      <c r="A38" s="157"/>
      <c r="C38" s="148" t="s">
        <v>173</v>
      </c>
      <c r="D38" s="19"/>
      <c r="E38" s="1"/>
      <c r="F38" s="1"/>
      <c r="G38" s="1"/>
      <c r="H38" s="1"/>
      <c r="I38" s="1"/>
      <c r="J38" s="1"/>
      <c r="K38" s="1"/>
      <c r="L38" s="1"/>
      <c r="M38" s="9"/>
      <c r="N38" s="9"/>
    </row>
    <row r="39" spans="1:15" x14ac:dyDescent="0.25">
      <c r="A39" s="157"/>
      <c r="C39" s="130" t="s">
        <v>176</v>
      </c>
      <c r="D39" s="19"/>
      <c r="E39" s="131" t="s">
        <v>151</v>
      </c>
      <c r="F39" s="131" t="s">
        <v>152</v>
      </c>
      <c r="G39" s="131" t="s">
        <v>153</v>
      </c>
      <c r="H39" s="131" t="s">
        <v>154</v>
      </c>
      <c r="I39" s="131" t="s">
        <v>155</v>
      </c>
      <c r="J39" s="131" t="s">
        <v>156</v>
      </c>
      <c r="K39" s="131" t="s">
        <v>157</v>
      </c>
      <c r="L39" s="151" t="s">
        <v>275</v>
      </c>
      <c r="M39" s="19"/>
      <c r="N39" s="19"/>
    </row>
    <row r="40" spans="1:15" x14ac:dyDescent="0.25">
      <c r="A40" s="157"/>
      <c r="C40" s="2" t="s">
        <v>21</v>
      </c>
      <c r="D40" s="2" t="s">
        <v>318</v>
      </c>
      <c r="E40" s="161" t="s">
        <v>284</v>
      </c>
      <c r="F40" s="161">
        <v>44286</v>
      </c>
      <c r="G40" s="161">
        <v>44651</v>
      </c>
      <c r="H40" s="161">
        <v>45016</v>
      </c>
      <c r="I40" s="161">
        <v>45382</v>
      </c>
      <c r="J40" s="161">
        <v>45747</v>
      </c>
      <c r="K40" s="161">
        <v>46112</v>
      </c>
      <c r="L40" s="161" t="s">
        <v>286</v>
      </c>
      <c r="M40" s="19"/>
      <c r="O40" s="2" t="s">
        <v>121</v>
      </c>
    </row>
    <row r="41" spans="1:15" x14ac:dyDescent="0.25">
      <c r="A41" s="157">
        <v>25</v>
      </c>
      <c r="C41" s="149">
        <v>352</v>
      </c>
      <c r="D41" s="150">
        <v>2.4E-2</v>
      </c>
      <c r="E41" s="53">
        <f>SUM($E25:E25)</f>
        <v>0</v>
      </c>
      <c r="F41" s="53">
        <f>SUM($E25:F25)</f>
        <v>0</v>
      </c>
      <c r="G41" s="53">
        <f>SUM($E25:G25)</f>
        <v>0</v>
      </c>
      <c r="H41" s="53">
        <f>SUM($E25:H25)</f>
        <v>0</v>
      </c>
      <c r="I41" s="53">
        <f>SUM($E25:I25)</f>
        <v>0</v>
      </c>
      <c r="J41" s="53">
        <f>SUM($E25:J25)</f>
        <v>0</v>
      </c>
      <c r="K41" s="53">
        <f>SUM($E25:K25)</f>
        <v>0</v>
      </c>
      <c r="L41" s="53">
        <f>SUM($E25:L25)</f>
        <v>0</v>
      </c>
      <c r="M41" s="53"/>
      <c r="O41" s="42" t="str">
        <f>"Line "&amp;A25&amp; " Accumulated"</f>
        <v>Line 13 Accumulated</v>
      </c>
    </row>
    <row r="42" spans="1:15" x14ac:dyDescent="0.25">
      <c r="A42" s="157">
        <v>26</v>
      </c>
      <c r="C42" s="149">
        <v>353</v>
      </c>
      <c r="D42" s="150">
        <v>2.53E-2</v>
      </c>
      <c r="E42" s="53">
        <f>SUM($E26:E26)</f>
        <v>13461.36</v>
      </c>
      <c r="F42" s="53">
        <f>SUM($E26:F26)</f>
        <v>1082229.1020746173</v>
      </c>
      <c r="G42" s="53">
        <f>SUM($E26:G26)</f>
        <v>2365427.7111258446</v>
      </c>
      <c r="H42" s="53">
        <f>SUM($E26:H26)</f>
        <v>3586001.7076275004</v>
      </c>
      <c r="I42" s="53">
        <f>SUM($E26:I26)</f>
        <v>4658853.9629923869</v>
      </c>
      <c r="J42" s="53">
        <f>SUM($E26:J26)</f>
        <v>6588017.7266106931</v>
      </c>
      <c r="K42" s="53">
        <f>SUM($E26:K26)</f>
        <v>8551986.5512799565</v>
      </c>
      <c r="L42" s="53">
        <f>SUM($E26:L26)</f>
        <v>9697024.8268850651</v>
      </c>
      <c r="M42" s="53"/>
      <c r="O42" s="42" t="str">
        <f t="shared" ref="O42:O51" si="10">"Line "&amp;A26&amp; " Accumulated"</f>
        <v>Line 14 Accumulated</v>
      </c>
    </row>
    <row r="43" spans="1:15" x14ac:dyDescent="0.25">
      <c r="A43" s="157">
        <v>27</v>
      </c>
      <c r="C43" s="149">
        <v>354</v>
      </c>
      <c r="D43" s="150">
        <v>1.37E-2</v>
      </c>
      <c r="E43" s="53">
        <f>SUM($E27:E27)</f>
        <v>0</v>
      </c>
      <c r="F43" s="53">
        <f>SUM($E27:F27)</f>
        <v>0</v>
      </c>
      <c r="G43" s="53">
        <f>SUM($E27:G27)</f>
        <v>0</v>
      </c>
      <c r="H43" s="53">
        <f>SUM($E27:H27)</f>
        <v>0</v>
      </c>
      <c r="I43" s="53">
        <f>SUM($E27:I27)</f>
        <v>0</v>
      </c>
      <c r="J43" s="53">
        <f>SUM($E27:J27)</f>
        <v>0</v>
      </c>
      <c r="K43" s="53">
        <f>SUM($E27:K27)</f>
        <v>0</v>
      </c>
      <c r="L43" s="53">
        <f>SUM($E27:L27)</f>
        <v>0</v>
      </c>
      <c r="M43" s="53"/>
      <c r="O43" s="42" t="str">
        <f t="shared" si="10"/>
        <v>Line 15 Accumulated</v>
      </c>
    </row>
    <row r="44" spans="1:15" x14ac:dyDescent="0.25">
      <c r="A44" s="157">
        <v>28</v>
      </c>
      <c r="C44" s="149">
        <v>356</v>
      </c>
      <c r="D44" s="150">
        <v>1.2E-2</v>
      </c>
      <c r="E44" s="53">
        <f>SUM($E28:E28)</f>
        <v>0</v>
      </c>
      <c r="F44" s="53">
        <f>SUM($E28:F28)</f>
        <v>98811</v>
      </c>
      <c r="G44" s="53">
        <f>SUM($E28:G28)</f>
        <v>148083.75</v>
      </c>
      <c r="H44" s="53">
        <f>SUM($E28:H28)</f>
        <v>202221.5</v>
      </c>
      <c r="I44" s="53">
        <f>SUM($E28:I28)</f>
        <v>264059.25</v>
      </c>
      <c r="J44" s="53">
        <f>SUM($E28:J28)</f>
        <v>323951</v>
      </c>
      <c r="K44" s="53">
        <f>SUM($E28:K28)</f>
        <v>375518.75</v>
      </c>
      <c r="L44" s="53">
        <f>SUM($E28:L28)</f>
        <v>404708</v>
      </c>
      <c r="M44" s="53"/>
      <c r="O44" s="42" t="str">
        <f t="shared" si="10"/>
        <v>Line 16 Accumulated</v>
      </c>
    </row>
    <row r="45" spans="1:15" x14ac:dyDescent="0.25">
      <c r="A45" s="157">
        <v>29</v>
      </c>
      <c r="C45" s="149">
        <v>362</v>
      </c>
      <c r="D45" s="150">
        <v>1.61E-2</v>
      </c>
      <c r="E45" s="53">
        <f>SUM($E29:E29)</f>
        <v>0</v>
      </c>
      <c r="F45" s="53">
        <f>SUM($E29:F29)</f>
        <v>471846.55946183915</v>
      </c>
      <c r="G45" s="53">
        <f>SUM($E29:G29)</f>
        <v>1625745.3231691313</v>
      </c>
      <c r="H45" s="53">
        <f>SUM($E29:H29)</f>
        <v>3008731.7681955411</v>
      </c>
      <c r="I45" s="53">
        <f>SUM($E29:I29)</f>
        <v>4459299.3906743145</v>
      </c>
      <c r="J45" s="53">
        <f>SUM($E29:J29)</f>
        <v>6082476.9699140247</v>
      </c>
      <c r="K45" s="53">
        <f>SUM($E29:K29)</f>
        <v>7806083.2353654373</v>
      </c>
      <c r="L45" s="53">
        <f>SUM($E29:L29)</f>
        <v>9272930.5342630409</v>
      </c>
      <c r="M45" s="53"/>
      <c r="O45" s="42" t="str">
        <f t="shared" si="10"/>
        <v>Line 17 Accumulated</v>
      </c>
    </row>
    <row r="46" spans="1:15" x14ac:dyDescent="0.25">
      <c r="A46" s="157">
        <v>30</v>
      </c>
      <c r="C46" s="149">
        <v>364</v>
      </c>
      <c r="D46" s="150">
        <v>2.06E-2</v>
      </c>
      <c r="E46" s="53">
        <f>SUM($E30:E30)</f>
        <v>225925.4</v>
      </c>
      <c r="F46" s="53">
        <f>SUM($E30:F30)</f>
        <v>9245216</v>
      </c>
      <c r="G46" s="53">
        <f>SUM($E30:G30)</f>
        <v>16147075.75</v>
      </c>
      <c r="H46" s="53">
        <f>SUM($E30:H30)</f>
        <v>23474274</v>
      </c>
      <c r="I46" s="53">
        <f>SUM($E30:I30)</f>
        <v>30235590.75</v>
      </c>
      <c r="J46" s="53">
        <f>SUM($E30:J30)</f>
        <v>36869670.5</v>
      </c>
      <c r="K46" s="53">
        <f>SUM($E30:K30)</f>
        <v>42742481.25</v>
      </c>
      <c r="L46" s="53">
        <f>SUM($E30:L30)</f>
        <v>46775049</v>
      </c>
      <c r="M46" s="53"/>
      <c r="O46" s="42" t="str">
        <f t="shared" si="10"/>
        <v>Line 18 Accumulated</v>
      </c>
    </row>
    <row r="47" spans="1:15" x14ac:dyDescent="0.25">
      <c r="A47" s="157">
        <v>31</v>
      </c>
      <c r="C47" s="149">
        <v>365</v>
      </c>
      <c r="D47" s="150">
        <v>2.35E-2</v>
      </c>
      <c r="E47" s="53">
        <f>SUM($E31:E31)</f>
        <v>252191.26</v>
      </c>
      <c r="F47" s="53">
        <f>SUM($E31:F31)</f>
        <v>1452684.75</v>
      </c>
      <c r="G47" s="53">
        <f>SUM($E31:G31)</f>
        <v>2627871.25</v>
      </c>
      <c r="H47" s="53">
        <f>SUM($E31:H31)</f>
        <v>3909400</v>
      </c>
      <c r="I47" s="53">
        <f>SUM($E31:I31)</f>
        <v>5112148.25</v>
      </c>
      <c r="J47" s="53">
        <f>SUM($E31:J31)</f>
        <v>6215744.5</v>
      </c>
      <c r="K47" s="53">
        <f>SUM($E31:K31)</f>
        <v>7329991.25</v>
      </c>
      <c r="L47" s="53">
        <f>SUM($E31:L31)</f>
        <v>8094686</v>
      </c>
      <c r="M47" s="53"/>
      <c r="O47" s="42" t="str">
        <f t="shared" si="10"/>
        <v>Line 19 Accumulated</v>
      </c>
    </row>
    <row r="48" spans="1:15" x14ac:dyDescent="0.25">
      <c r="A48" s="157">
        <v>32</v>
      </c>
      <c r="C48" s="149">
        <v>366</v>
      </c>
      <c r="D48" s="150">
        <v>2.6200000000000001E-2</v>
      </c>
      <c r="E48" s="53">
        <f>SUM($E32:E32)</f>
        <v>2184.2600000000002</v>
      </c>
      <c r="F48" s="53">
        <f>SUM($E32:F32)</f>
        <v>39622</v>
      </c>
      <c r="G48" s="53">
        <f>SUM($E32:G32)</f>
        <v>86448</v>
      </c>
      <c r="H48" s="53">
        <f>SUM($E32:H32)</f>
        <v>154886</v>
      </c>
      <c r="I48" s="53">
        <f>SUM($E32:I32)</f>
        <v>252140</v>
      </c>
      <c r="J48" s="53">
        <f>SUM($E32:J32)</f>
        <v>342190</v>
      </c>
      <c r="K48" s="53">
        <f>SUM($E32:K32)</f>
        <v>443046</v>
      </c>
      <c r="L48" s="53">
        <f>SUM($E32:L32)</f>
        <v>518688</v>
      </c>
      <c r="M48" s="53"/>
      <c r="O48" s="42" t="str">
        <f t="shared" si="10"/>
        <v>Line 20 Accumulated</v>
      </c>
    </row>
    <row r="49" spans="1:15" x14ac:dyDescent="0.25">
      <c r="A49" s="157">
        <v>33</v>
      </c>
      <c r="C49" s="149">
        <v>367</v>
      </c>
      <c r="D49" s="150">
        <v>2.5499999999999998E-2</v>
      </c>
      <c r="E49" s="53">
        <f>SUM($E33:E33)</f>
        <v>8876.6299999999992</v>
      </c>
      <c r="F49" s="53">
        <f>SUM($E33:F33)</f>
        <v>8122310</v>
      </c>
      <c r="G49" s="53">
        <f>SUM($E33:G33)</f>
        <v>14508517</v>
      </c>
      <c r="H49" s="53">
        <f>SUM($E33:H33)</f>
        <v>21076839.25</v>
      </c>
      <c r="I49" s="53">
        <f>SUM($E33:I33)</f>
        <v>27396521.25</v>
      </c>
      <c r="J49" s="53">
        <f>SUM($E33:J33)</f>
        <v>33618305.5</v>
      </c>
      <c r="K49" s="53">
        <f>SUM($E33:K33)</f>
        <v>39882746</v>
      </c>
      <c r="L49" s="53">
        <f>SUM($E33:L33)</f>
        <v>44371796</v>
      </c>
      <c r="M49" s="53"/>
      <c r="O49" s="42" t="str">
        <f t="shared" si="10"/>
        <v>Line 21 Accumulated</v>
      </c>
    </row>
    <row r="50" spans="1:15" x14ac:dyDescent="0.25">
      <c r="A50" s="157">
        <v>34</v>
      </c>
      <c r="C50" s="149">
        <v>368</v>
      </c>
      <c r="D50" s="150">
        <v>6.4999999999999997E-3</v>
      </c>
      <c r="E50" s="53">
        <f>SUM($E34:E34)</f>
        <v>387462.48</v>
      </c>
      <c r="F50" s="53">
        <f>SUM($E34:F34)</f>
        <v>1857304.14</v>
      </c>
      <c r="G50" s="53">
        <f>SUM($E34:G34)</f>
        <v>3337958.54</v>
      </c>
      <c r="H50" s="53">
        <f>SUM($E34:H34)</f>
        <v>5228056.96</v>
      </c>
      <c r="I50" s="53">
        <f>SUM($E34:I34)</f>
        <v>7202095.3399999999</v>
      </c>
      <c r="J50" s="53">
        <f>SUM($E34:J34)</f>
        <v>9027771.8100000005</v>
      </c>
      <c r="K50" s="53">
        <f>SUM($E34:K34)</f>
        <v>10806786.960000001</v>
      </c>
      <c r="L50" s="53">
        <f>SUM($E34:L34)</f>
        <v>12122922.120000001</v>
      </c>
      <c r="M50" s="53"/>
      <c r="O50" s="42" t="str">
        <f t="shared" si="10"/>
        <v>Line 22 Accumulated</v>
      </c>
    </row>
    <row r="51" spans="1:15" x14ac:dyDescent="0.25">
      <c r="A51" s="157">
        <v>35</v>
      </c>
      <c r="C51" s="149">
        <v>370</v>
      </c>
      <c r="D51" s="150">
        <v>3.9E-2</v>
      </c>
      <c r="E51" s="6">
        <f>SUM($E35:E35)</f>
        <v>0</v>
      </c>
      <c r="F51" s="6">
        <f>SUM($E35:F35)</f>
        <v>5079272</v>
      </c>
      <c r="G51" s="6">
        <f>SUM($E35:G35)</f>
        <v>10130007</v>
      </c>
      <c r="H51" s="6">
        <f>SUM($E35:H35)</f>
        <v>14439150.75</v>
      </c>
      <c r="I51" s="6">
        <f>SUM($E35:I35)</f>
        <v>16277592</v>
      </c>
      <c r="J51" s="6">
        <f>SUM($E35:J35)</f>
        <v>16277592</v>
      </c>
      <c r="K51" s="6">
        <f>SUM($E35:K35)</f>
        <v>16277592</v>
      </c>
      <c r="L51" s="6">
        <f>SUM($E35:L35)</f>
        <v>16277592</v>
      </c>
      <c r="M51" s="53"/>
      <c r="O51" s="42" t="str">
        <f t="shared" si="10"/>
        <v>Line 23 Accumulated</v>
      </c>
    </row>
    <row r="52" spans="1:15" x14ac:dyDescent="0.25">
      <c r="A52" s="157">
        <v>36</v>
      </c>
      <c r="C52" s="130" t="s">
        <v>161</v>
      </c>
      <c r="D52" s="19"/>
      <c r="E52" s="53">
        <f t="shared" ref="E52:K52" si="11">SUM(E41:E51)</f>
        <v>890101.39</v>
      </c>
      <c r="F52" s="53">
        <f t="shared" si="11"/>
        <v>27449295.551536456</v>
      </c>
      <c r="G52" s="53">
        <f t="shared" si="11"/>
        <v>50977134.324294977</v>
      </c>
      <c r="H52" s="53">
        <f t="shared" si="11"/>
        <v>75079561.935823053</v>
      </c>
      <c r="I52" s="53">
        <f t="shared" si="11"/>
        <v>95858300.193666697</v>
      </c>
      <c r="J52" s="53">
        <f t="shared" si="11"/>
        <v>115345720.00652471</v>
      </c>
      <c r="K52" s="53">
        <f t="shared" si="11"/>
        <v>134216231.99664539</v>
      </c>
      <c r="L52" s="53">
        <f t="shared" ref="L52" si="12">SUM(L41:L51)</f>
        <v>147535396.48114812</v>
      </c>
      <c r="M52" s="53"/>
    </row>
    <row r="53" spans="1:15" x14ac:dyDescent="0.25">
      <c r="A53" s="157"/>
      <c r="C53" s="130"/>
      <c r="D53" s="19"/>
      <c r="E53" s="53"/>
      <c r="F53" s="53"/>
      <c r="G53" s="53"/>
      <c r="H53" s="53"/>
      <c r="I53" s="53"/>
      <c r="J53" s="53"/>
      <c r="K53" s="53"/>
      <c r="L53" s="53"/>
      <c r="M53" s="53"/>
    </row>
    <row r="54" spans="1:15" x14ac:dyDescent="0.25">
      <c r="A54" s="157"/>
      <c r="C54" s="148" t="s">
        <v>173</v>
      </c>
      <c r="D54" s="19"/>
      <c r="E54" s="1"/>
      <c r="F54" s="1"/>
      <c r="G54" s="1"/>
      <c r="H54" s="1"/>
      <c r="I54" s="1"/>
      <c r="J54" s="1"/>
      <c r="K54" s="1"/>
      <c r="L54" s="1"/>
      <c r="M54" s="53"/>
    </row>
    <row r="55" spans="1:15" x14ac:dyDescent="0.25">
      <c r="A55" s="157"/>
      <c r="C55" s="130" t="s">
        <v>135</v>
      </c>
      <c r="D55" s="19"/>
      <c r="E55" s="131" t="s">
        <v>151</v>
      </c>
      <c r="F55" s="131" t="s">
        <v>152</v>
      </c>
      <c r="G55" s="131" t="s">
        <v>153</v>
      </c>
      <c r="H55" s="131" t="s">
        <v>154</v>
      </c>
      <c r="I55" s="131" t="s">
        <v>155</v>
      </c>
      <c r="J55" s="131" t="s">
        <v>156</v>
      </c>
      <c r="K55" s="131" t="s">
        <v>157</v>
      </c>
      <c r="L55" s="151" t="s">
        <v>275</v>
      </c>
      <c r="M55" s="19"/>
    </row>
    <row r="56" spans="1:15" x14ac:dyDescent="0.25">
      <c r="A56" s="157"/>
      <c r="C56" s="2" t="s">
        <v>21</v>
      </c>
      <c r="D56" s="2" t="s">
        <v>318</v>
      </c>
      <c r="E56" s="161" t="s">
        <v>277</v>
      </c>
      <c r="F56" s="2" t="s">
        <v>285</v>
      </c>
      <c r="G56" s="2" t="s">
        <v>278</v>
      </c>
      <c r="H56" s="2" t="s">
        <v>279</v>
      </c>
      <c r="I56" s="2" t="s">
        <v>280</v>
      </c>
      <c r="J56" s="2" t="s">
        <v>281</v>
      </c>
      <c r="K56" s="2" t="s">
        <v>282</v>
      </c>
      <c r="L56" s="2" t="s">
        <v>283</v>
      </c>
      <c r="M56" s="19"/>
      <c r="O56" s="2" t="s">
        <v>121</v>
      </c>
    </row>
    <row r="57" spans="1:15" x14ac:dyDescent="0.25">
      <c r="A57" s="157">
        <v>37</v>
      </c>
      <c r="C57" s="149">
        <v>352</v>
      </c>
      <c r="D57" s="150">
        <v>2.4E-2</v>
      </c>
      <c r="E57" s="126"/>
      <c r="F57" s="53">
        <f>+F25*$D57*0.5+E41*$D57</f>
        <v>0</v>
      </c>
      <c r="G57" s="53">
        <f t="shared" ref="G57:L57" si="13">+G25*$D57*0.5+F41*$D57</f>
        <v>0</v>
      </c>
      <c r="H57" s="53">
        <f t="shared" si="13"/>
        <v>0</v>
      </c>
      <c r="I57" s="53">
        <f t="shared" si="13"/>
        <v>0</v>
      </c>
      <c r="J57" s="53">
        <f t="shared" si="13"/>
        <v>0</v>
      </c>
      <c r="K57" s="53">
        <f t="shared" si="13"/>
        <v>0</v>
      </c>
      <c r="L57" s="53">
        <f t="shared" si="13"/>
        <v>0</v>
      </c>
      <c r="M57" s="53"/>
      <c r="O57" s="158" t="s">
        <v>307</v>
      </c>
    </row>
    <row r="58" spans="1:15" x14ac:dyDescent="0.25">
      <c r="A58" s="157">
        <v>38</v>
      </c>
      <c r="C58" s="149">
        <v>353</v>
      </c>
      <c r="D58" s="150">
        <v>2.53E-2</v>
      </c>
      <c r="E58" s="126"/>
      <c r="F58" s="53">
        <f>+F26*$D58*0.5+E42*$D58</f>
        <v>13860.484345243907</v>
      </c>
      <c r="G58" s="53">
        <f t="shared" ref="G58:L58" si="14">+G26*$D58*0.5+F42*$D58</f>
        <v>43612.858686985841</v>
      </c>
      <c r="H58" s="53">
        <f t="shared" si="14"/>
        <v>75285.582147229812</v>
      </c>
      <c r="I58" s="53">
        <f t="shared" si="14"/>
        <v>104297.42423334158</v>
      </c>
      <c r="J58" s="53">
        <f t="shared" si="14"/>
        <v>142272.92687347895</v>
      </c>
      <c r="K58" s="53">
        <f t="shared" si="14"/>
        <v>191521.05411531671</v>
      </c>
      <c r="L58" s="53">
        <f t="shared" si="14"/>
        <v>230849.99393378751</v>
      </c>
      <c r="M58" s="53"/>
      <c r="O58" s="159" t="s">
        <v>308</v>
      </c>
    </row>
    <row r="59" spans="1:15" x14ac:dyDescent="0.25">
      <c r="A59" s="157">
        <v>39</v>
      </c>
      <c r="C59" s="149">
        <v>354</v>
      </c>
      <c r="D59" s="150">
        <v>1.37E-2</v>
      </c>
      <c r="E59" s="126"/>
      <c r="F59" s="53">
        <f t="shared" ref="F59:L65" si="15">+F27*$D59*0.5+E43*$D59</f>
        <v>0</v>
      </c>
      <c r="G59" s="53">
        <f t="shared" si="15"/>
        <v>0</v>
      </c>
      <c r="H59" s="53">
        <f t="shared" si="15"/>
        <v>0</v>
      </c>
      <c r="I59" s="53">
        <f t="shared" si="15"/>
        <v>0</v>
      </c>
      <c r="J59" s="53">
        <f t="shared" si="15"/>
        <v>0</v>
      </c>
      <c r="K59" s="53">
        <f t="shared" si="15"/>
        <v>0</v>
      </c>
      <c r="L59" s="53">
        <f t="shared" si="15"/>
        <v>0</v>
      </c>
      <c r="M59" s="53"/>
      <c r="O59" s="159" t="s">
        <v>309</v>
      </c>
    </row>
    <row r="60" spans="1:15" x14ac:dyDescent="0.25">
      <c r="A60" s="157">
        <v>40</v>
      </c>
      <c r="C60" s="149">
        <v>356</v>
      </c>
      <c r="D60" s="150">
        <v>1.2E-2</v>
      </c>
      <c r="E60" s="126"/>
      <c r="F60" s="53">
        <f t="shared" si="15"/>
        <v>592.86599999999999</v>
      </c>
      <c r="G60" s="53">
        <f t="shared" si="15"/>
        <v>1481.3685</v>
      </c>
      <c r="H60" s="53">
        <f t="shared" si="15"/>
        <v>2101.8315000000002</v>
      </c>
      <c r="I60" s="53">
        <f t="shared" si="15"/>
        <v>2797.6844999999998</v>
      </c>
      <c r="J60" s="53">
        <f t="shared" si="15"/>
        <v>3528.0615000000003</v>
      </c>
      <c r="K60" s="53">
        <f t="shared" si="15"/>
        <v>4196.8185000000003</v>
      </c>
      <c r="L60" s="53">
        <f t="shared" si="15"/>
        <v>4681.3605000000007</v>
      </c>
      <c r="M60" s="53"/>
      <c r="O60" s="159" t="s">
        <v>310</v>
      </c>
    </row>
    <row r="61" spans="1:15" x14ac:dyDescent="0.25">
      <c r="A61" s="157">
        <v>41</v>
      </c>
      <c r="C61" s="149">
        <v>362</v>
      </c>
      <c r="D61" s="150">
        <v>1.61E-2</v>
      </c>
      <c r="E61" s="126"/>
      <c r="F61" s="53">
        <f t="shared" si="15"/>
        <v>3798.3648036678051</v>
      </c>
      <c r="G61" s="53">
        <f t="shared" si="15"/>
        <v>16885.614655179314</v>
      </c>
      <c r="H61" s="53">
        <f t="shared" si="15"/>
        <v>37307.540585485614</v>
      </c>
      <c r="I61" s="53">
        <f t="shared" si="15"/>
        <v>60117.650828902333</v>
      </c>
      <c r="J61" s="53">
        <f t="shared" si="15"/>
        <v>84861.299702736127</v>
      </c>
      <c r="K61" s="53">
        <f t="shared" si="15"/>
        <v>111802.90965249967</v>
      </c>
      <c r="L61" s="53">
        <f t="shared" si="15"/>
        <v>137486.06084550926</v>
      </c>
      <c r="M61" s="53"/>
      <c r="O61" s="159" t="s">
        <v>311</v>
      </c>
    </row>
    <row r="62" spans="1:15" x14ac:dyDescent="0.25">
      <c r="A62" s="157">
        <v>42</v>
      </c>
      <c r="C62" s="149">
        <v>364</v>
      </c>
      <c r="D62" s="150">
        <v>2.06E-2</v>
      </c>
      <c r="E62" s="126"/>
      <c r="F62" s="53">
        <f t="shared" si="15"/>
        <v>97552.756420000005</v>
      </c>
      <c r="G62" s="53">
        <f t="shared" si="15"/>
        <v>261540.605025</v>
      </c>
      <c r="H62" s="53">
        <f t="shared" si="15"/>
        <v>408099.90242499998</v>
      </c>
      <c r="I62" s="53">
        <f t="shared" si="15"/>
        <v>553211.60692499997</v>
      </c>
      <c r="J62" s="53">
        <f t="shared" si="15"/>
        <v>691184.19087500009</v>
      </c>
      <c r="K62" s="53">
        <f t="shared" si="15"/>
        <v>820005.16302500002</v>
      </c>
      <c r="L62" s="53">
        <f t="shared" si="15"/>
        <v>922030.56157500006</v>
      </c>
      <c r="M62" s="53"/>
      <c r="O62" s="159" t="s">
        <v>312</v>
      </c>
    </row>
    <row r="63" spans="1:15" x14ac:dyDescent="0.25">
      <c r="A63" s="157">
        <v>43</v>
      </c>
      <c r="C63" s="149">
        <v>365</v>
      </c>
      <c r="D63" s="150">
        <v>2.35E-2</v>
      </c>
      <c r="E63" s="126"/>
      <c r="F63" s="53">
        <f t="shared" si="15"/>
        <v>20032.293117500001</v>
      </c>
      <c r="G63" s="53">
        <f t="shared" si="15"/>
        <v>47946.533000000003</v>
      </c>
      <c r="H63" s="53">
        <f t="shared" si="15"/>
        <v>76812.937187499992</v>
      </c>
      <c r="I63" s="53">
        <f t="shared" si="15"/>
        <v>106003.1919375</v>
      </c>
      <c r="J63" s="53">
        <f t="shared" si="15"/>
        <v>133102.73981250002</v>
      </c>
      <c r="K63" s="53">
        <f t="shared" si="15"/>
        <v>159162.3950625</v>
      </c>
      <c r="L63" s="53">
        <f t="shared" si="15"/>
        <v>181239.95768749999</v>
      </c>
      <c r="M63" s="53"/>
      <c r="O63" s="159" t="s">
        <v>313</v>
      </c>
    </row>
    <row r="64" spans="1:15" x14ac:dyDescent="0.25">
      <c r="A64" s="157">
        <v>44</v>
      </c>
      <c r="C64" s="149">
        <v>366</v>
      </c>
      <c r="D64" s="150">
        <v>2.6200000000000001E-2</v>
      </c>
      <c r="E64" s="126"/>
      <c r="F64" s="53">
        <f t="shared" si="15"/>
        <v>547.66200600000002</v>
      </c>
      <c r="G64" s="53">
        <f t="shared" si="15"/>
        <v>1651.5170000000003</v>
      </c>
      <c r="H64" s="53">
        <f t="shared" si="15"/>
        <v>3161.4754000000003</v>
      </c>
      <c r="I64" s="53">
        <f t="shared" si="15"/>
        <v>5332.0406000000003</v>
      </c>
      <c r="J64" s="53">
        <f t="shared" si="15"/>
        <v>7785.723</v>
      </c>
      <c r="K64" s="53">
        <f t="shared" si="15"/>
        <v>10286.5916</v>
      </c>
      <c r="L64" s="53">
        <f t="shared" si="15"/>
        <v>12598.715400000001</v>
      </c>
      <c r="M64" s="53"/>
      <c r="O64" s="159" t="s">
        <v>314</v>
      </c>
    </row>
    <row r="65" spans="1:15" x14ac:dyDescent="0.25">
      <c r="A65" s="157">
        <v>45</v>
      </c>
      <c r="C65" s="149">
        <v>367</v>
      </c>
      <c r="D65" s="150">
        <v>2.5499999999999998E-2</v>
      </c>
      <c r="E65" s="126"/>
      <c r="F65" s="53">
        <f t="shared" si="15"/>
        <v>103672.6295325</v>
      </c>
      <c r="G65" s="53">
        <f t="shared" si="15"/>
        <v>288543.04424999998</v>
      </c>
      <c r="H65" s="53">
        <f t="shared" si="15"/>
        <v>453713.29218749999</v>
      </c>
      <c r="I65" s="53">
        <f t="shared" si="15"/>
        <v>618035.34637499996</v>
      </c>
      <c r="J65" s="53">
        <f t="shared" si="15"/>
        <v>777939.04106249998</v>
      </c>
      <c r="K65" s="53">
        <f t="shared" si="15"/>
        <v>937138.40662499995</v>
      </c>
      <c r="L65" s="53">
        <f t="shared" si="15"/>
        <v>1074245.4105</v>
      </c>
      <c r="M65" s="53"/>
      <c r="O65" s="159" t="s">
        <v>315</v>
      </c>
    </row>
    <row r="66" spans="1:15" x14ac:dyDescent="0.25">
      <c r="A66" s="157">
        <v>46</v>
      </c>
      <c r="C66" s="149">
        <v>368</v>
      </c>
      <c r="D66" s="150">
        <v>6.4999999999999997E-3</v>
      </c>
      <c r="E66" s="126"/>
      <c r="F66" s="53">
        <f>+F34*$D66*0.5+E50*$D66</f>
        <v>7295.4915149999997</v>
      </c>
      <c r="G66" s="53">
        <f t="shared" ref="G66:L66" si="16">+G34*$D66*0.5+F50*$D66</f>
        <v>16884.603709999999</v>
      </c>
      <c r="H66" s="53">
        <f t="shared" si="16"/>
        <v>27839.550374999999</v>
      </c>
      <c r="I66" s="53">
        <f t="shared" si="16"/>
        <v>40397.994974999994</v>
      </c>
      <c r="J66" s="53">
        <f t="shared" si="16"/>
        <v>52747.068237499996</v>
      </c>
      <c r="K66" s="53">
        <f t="shared" si="16"/>
        <v>64462.316002499996</v>
      </c>
      <c r="L66" s="53">
        <f t="shared" si="16"/>
        <v>74521.554510000002</v>
      </c>
      <c r="M66" s="53"/>
      <c r="O66" s="159" t="s">
        <v>316</v>
      </c>
    </row>
    <row r="67" spans="1:15" x14ac:dyDescent="0.25">
      <c r="A67" s="157">
        <v>47</v>
      </c>
      <c r="C67" s="149">
        <v>370</v>
      </c>
      <c r="D67" s="150">
        <v>3.9E-2</v>
      </c>
      <c r="E67" s="127"/>
      <c r="F67" s="6">
        <f>+F35*$D67*0.5+E51*$D67</f>
        <v>99045.804000000004</v>
      </c>
      <c r="G67" s="6">
        <f t="shared" ref="G67:L67" si="17">+G35*$D67*0.5+F51*$D67</f>
        <v>296580.94050000003</v>
      </c>
      <c r="H67" s="6">
        <f t="shared" si="17"/>
        <v>479098.57612500002</v>
      </c>
      <c r="I67" s="6">
        <f t="shared" si="17"/>
        <v>598976.48362499999</v>
      </c>
      <c r="J67" s="6">
        <f t="shared" si="17"/>
        <v>634826.08799999999</v>
      </c>
      <c r="K67" s="6">
        <f t="shared" si="17"/>
        <v>634826.08799999999</v>
      </c>
      <c r="L67" s="6">
        <f t="shared" si="17"/>
        <v>634826.08799999999</v>
      </c>
      <c r="M67" s="53"/>
      <c r="O67" s="159" t="s">
        <v>317</v>
      </c>
    </row>
    <row r="68" spans="1:15" x14ac:dyDescent="0.25">
      <c r="A68" s="157">
        <v>48</v>
      </c>
      <c r="C68" s="130" t="s">
        <v>140</v>
      </c>
      <c r="D68" s="19"/>
      <c r="E68" s="53">
        <f>+E70+E71</f>
        <v>14320.47</v>
      </c>
      <c r="F68" s="53">
        <f t="shared" ref="F68:K68" si="18">SUM(F57:F67)</f>
        <v>346398.35173991171</v>
      </c>
      <c r="G68" s="53">
        <f t="shared" si="18"/>
        <v>975127.0853271652</v>
      </c>
      <c r="H68" s="53">
        <f t="shared" si="18"/>
        <v>1563420.6879327153</v>
      </c>
      <c r="I68" s="53">
        <f t="shared" si="18"/>
        <v>2089169.423999744</v>
      </c>
      <c r="J68" s="53">
        <f t="shared" si="18"/>
        <v>2528247.139063715</v>
      </c>
      <c r="K68" s="53">
        <f t="shared" si="18"/>
        <v>2933401.7425828162</v>
      </c>
      <c r="L68" s="53">
        <f t="shared" ref="L68" si="19">SUM(L57:L67)</f>
        <v>3272479.7029517968</v>
      </c>
      <c r="M68" s="53"/>
    </row>
    <row r="69" spans="1:15" x14ac:dyDescent="0.25">
      <c r="A69" s="157"/>
      <c r="C69" s="130"/>
      <c r="D69" s="19"/>
      <c r="E69" s="53"/>
      <c r="F69" s="53"/>
      <c r="G69" s="53"/>
      <c r="H69" s="53"/>
      <c r="I69" s="53"/>
      <c r="J69" s="53"/>
      <c r="K69" s="53"/>
      <c r="L69" s="53"/>
      <c r="M69" s="53"/>
    </row>
    <row r="70" spans="1:15" x14ac:dyDescent="0.25">
      <c r="A70" s="157"/>
      <c r="C70" s="130" t="s">
        <v>174</v>
      </c>
      <c r="D70" s="130"/>
      <c r="E70" s="53">
        <v>0</v>
      </c>
      <c r="F70" s="53">
        <f>SUM(F57:F60)</f>
        <v>14453.350345243907</v>
      </c>
      <c r="G70" s="53">
        <f t="shared" ref="G70:K70" si="20">SUM(G57:G60)</f>
        <v>45094.227186985838</v>
      </c>
      <c r="H70" s="53">
        <f t="shared" si="20"/>
        <v>77387.413647229812</v>
      </c>
      <c r="I70" s="53">
        <f t="shared" si="20"/>
        <v>107095.10873334158</v>
      </c>
      <c r="J70" s="53">
        <f t="shared" si="20"/>
        <v>145800.98837347896</v>
      </c>
      <c r="K70" s="53">
        <f t="shared" si="20"/>
        <v>195717.87261531671</v>
      </c>
      <c r="L70" s="53">
        <f t="shared" ref="L70" si="21">SUM(L57:L60)</f>
        <v>235531.35443378752</v>
      </c>
      <c r="M70" s="53"/>
      <c r="O70" s="42" t="s">
        <v>260</v>
      </c>
    </row>
    <row r="71" spans="1:15" x14ac:dyDescent="0.25">
      <c r="A71" s="157"/>
      <c r="C71" s="130" t="s">
        <v>175</v>
      </c>
      <c r="D71" s="130"/>
      <c r="E71" s="124">
        <v>14320.47</v>
      </c>
      <c r="F71" s="53">
        <f>SUM(F61:F67)</f>
        <v>331945.00139466778</v>
      </c>
      <c r="G71" s="53">
        <f t="shared" ref="G71:K71" si="22">SUM(G61:G67)</f>
        <v>930032.85814017931</v>
      </c>
      <c r="H71" s="53">
        <f t="shared" si="22"/>
        <v>1486033.2742854857</v>
      </c>
      <c r="I71" s="53">
        <f t="shared" si="22"/>
        <v>1982074.3152664024</v>
      </c>
      <c r="J71" s="53">
        <f t="shared" si="22"/>
        <v>2382446.1506902361</v>
      </c>
      <c r="K71" s="53">
        <f t="shared" si="22"/>
        <v>2737683.8699674993</v>
      </c>
      <c r="L71" s="53">
        <f t="shared" ref="L71" si="23">SUM(L61:L67)</f>
        <v>3036948.3485180098</v>
      </c>
      <c r="M71" s="53"/>
      <c r="O71" s="42" t="s">
        <v>261</v>
      </c>
    </row>
  </sheetData>
  <mergeCells count="1">
    <mergeCell ref="O25:O35"/>
  </mergeCells>
  <phoneticPr fontId="14" type="noConversion"/>
  <pageMargins left="0.25" right="0.25" top="0.75" bottom="0.75" header="0.3" footer="0.3"/>
  <pageSetup scale="46" orientation="landscape" horizontalDpi="1200" verticalDpi="1200" r:id="rId1"/>
  <headerFooter>
    <oddHeader>&amp;RIndianapolis Power &amp;&amp; Light Company
IURC Cause No. 45264 - TDSIC 2
IPL Attachment  CAR-4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8"/>
  <sheetViews>
    <sheetView topLeftCell="A19" zoomScale="90" zoomScaleNormal="90" workbookViewId="0">
      <selection activeCell="C45" sqref="C45:I45"/>
    </sheetView>
  </sheetViews>
  <sheetFormatPr defaultRowHeight="15" x14ac:dyDescent="0.25"/>
  <cols>
    <col min="1" max="1" width="39.42578125" customWidth="1"/>
    <col min="2" max="2" width="17" bestFit="1" customWidth="1"/>
    <col min="3" max="9" width="16.28515625" bestFit="1" customWidth="1"/>
    <col min="10" max="10" width="18" bestFit="1" customWidth="1"/>
    <col min="12" max="12" width="15.28515625" bestFit="1" customWidth="1"/>
    <col min="13" max="13" width="16.140625" bestFit="1" customWidth="1"/>
  </cols>
  <sheetData>
    <row r="1" spans="1:10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10" x14ac:dyDescent="0.25">
      <c r="A2" s="2" t="s">
        <v>21</v>
      </c>
      <c r="B2" s="2" t="s">
        <v>20</v>
      </c>
      <c r="C2" s="2">
        <v>2020</v>
      </c>
      <c r="D2" s="2">
        <v>2021</v>
      </c>
      <c r="E2" s="2">
        <v>2022</v>
      </c>
      <c r="F2" s="2">
        <v>2023</v>
      </c>
      <c r="G2" s="2">
        <v>2024</v>
      </c>
      <c r="H2" s="2">
        <v>2025</v>
      </c>
      <c r="I2" s="2">
        <v>2026</v>
      </c>
      <c r="J2" s="2" t="s">
        <v>7</v>
      </c>
    </row>
    <row r="4" spans="1:10" x14ac:dyDescent="0.25">
      <c r="A4" s="7" t="s">
        <v>22</v>
      </c>
      <c r="C4" s="3"/>
      <c r="D4" s="3"/>
      <c r="E4" s="3"/>
      <c r="F4" s="3"/>
      <c r="G4" s="3"/>
      <c r="H4" s="3"/>
      <c r="I4" s="3"/>
      <c r="J4" s="3"/>
    </row>
    <row r="5" spans="1:10" x14ac:dyDescent="0.25">
      <c r="A5" s="4">
        <v>352</v>
      </c>
      <c r="B5" s="5">
        <v>2.4E-2</v>
      </c>
      <c r="C5" s="12">
        <f>+Total!C4</f>
        <v>0</v>
      </c>
      <c r="D5" s="12">
        <f>+Total!D4</f>
        <v>0</v>
      </c>
      <c r="E5" s="12">
        <f>+Total!E4</f>
        <v>0</v>
      </c>
      <c r="F5" s="12">
        <f>+Total!F4</f>
        <v>2300385</v>
      </c>
      <c r="G5" s="12">
        <f>+Total!G4</f>
        <v>2844940</v>
      </c>
      <c r="H5" s="12">
        <f>+Total!H4</f>
        <v>0</v>
      </c>
      <c r="I5" s="12">
        <f>+Total!I4</f>
        <v>2632615</v>
      </c>
      <c r="J5" s="3">
        <f t="shared" ref="J5:J15" si="0">SUM(C5:I5)</f>
        <v>7777940</v>
      </c>
    </row>
    <row r="6" spans="1:10" x14ac:dyDescent="0.25">
      <c r="A6" s="4">
        <v>353</v>
      </c>
      <c r="B6" s="5">
        <v>2.53E-2</v>
      </c>
      <c r="C6" s="12">
        <f>+Total!C5</f>
        <v>13086185</v>
      </c>
      <c r="D6" s="12">
        <f>+Total!D5</f>
        <v>23282721</v>
      </c>
      <c r="E6" s="12">
        <f>+Total!E5</f>
        <v>23096878</v>
      </c>
      <c r="F6" s="12">
        <f>+Total!F5</f>
        <v>22073157</v>
      </c>
      <c r="G6" s="12">
        <f>+Total!G5</f>
        <v>19302400</v>
      </c>
      <c r="H6" s="12">
        <f>+Total!H5</f>
        <v>18910703</v>
      </c>
      <c r="I6" s="12">
        <f>+Total!I5</f>
        <v>20407195</v>
      </c>
      <c r="J6" s="3">
        <f t="shared" si="0"/>
        <v>140159239</v>
      </c>
    </row>
    <row r="7" spans="1:10" x14ac:dyDescent="0.25">
      <c r="A7" s="4">
        <v>354</v>
      </c>
      <c r="B7" s="5">
        <v>1.37E-2</v>
      </c>
      <c r="C7" s="12">
        <f>+Total!C6</f>
        <v>1138320</v>
      </c>
      <c r="D7" s="12">
        <f>+Total!D6</f>
        <v>1111147</v>
      </c>
      <c r="E7" s="12">
        <f>+Total!E6</f>
        <v>1082432</v>
      </c>
      <c r="F7" s="12">
        <f>+Total!F6</f>
        <v>850792</v>
      </c>
      <c r="G7" s="12">
        <f>+Total!G6</f>
        <v>0</v>
      </c>
      <c r="H7" s="12">
        <f>+Total!H6</f>
        <v>0</v>
      </c>
      <c r="I7" s="12">
        <f>+Total!I6</f>
        <v>0</v>
      </c>
      <c r="J7" s="3">
        <f t="shared" si="0"/>
        <v>4182691</v>
      </c>
    </row>
    <row r="8" spans="1:10" x14ac:dyDescent="0.25">
      <c r="A8" s="4">
        <v>356</v>
      </c>
      <c r="B8" s="5">
        <v>1.2E-2</v>
      </c>
      <c r="C8" s="12">
        <f>+Total!C7</f>
        <v>4765917</v>
      </c>
      <c r="D8" s="12">
        <f>+Total!D7</f>
        <v>6881909</v>
      </c>
      <c r="E8" s="12">
        <f>+Total!E7</f>
        <v>9502181</v>
      </c>
      <c r="F8" s="12">
        <f>+Total!F7</f>
        <v>11200958</v>
      </c>
      <c r="G8" s="12">
        <f>+Total!G7</f>
        <v>11497320</v>
      </c>
      <c r="H8" s="12">
        <f>+Total!H7</f>
        <v>10679473</v>
      </c>
      <c r="I8" s="12">
        <f>+Total!I7</f>
        <v>7601921</v>
      </c>
      <c r="J8" s="3">
        <f t="shared" si="0"/>
        <v>62129679</v>
      </c>
    </row>
    <row r="9" spans="1:10" x14ac:dyDescent="0.25">
      <c r="A9" s="4">
        <v>362</v>
      </c>
      <c r="B9" s="5">
        <v>1.61E-2</v>
      </c>
      <c r="C9" s="12"/>
      <c r="D9" s="12"/>
      <c r="E9" s="12"/>
      <c r="F9" s="12"/>
      <c r="G9" s="12"/>
      <c r="H9" s="12"/>
      <c r="I9" s="12"/>
      <c r="J9" s="3">
        <f t="shared" si="0"/>
        <v>0</v>
      </c>
    </row>
    <row r="10" spans="1:10" x14ac:dyDescent="0.25">
      <c r="A10" s="4">
        <v>364</v>
      </c>
      <c r="B10" s="5">
        <v>2.06E-2</v>
      </c>
      <c r="C10" s="12"/>
      <c r="D10" s="12"/>
      <c r="E10" s="12"/>
      <c r="F10" s="12"/>
      <c r="G10" s="12"/>
      <c r="H10" s="12"/>
      <c r="I10" s="12"/>
      <c r="J10" s="3">
        <f t="shared" si="0"/>
        <v>0</v>
      </c>
    </row>
    <row r="11" spans="1:10" x14ac:dyDescent="0.25">
      <c r="A11" s="4">
        <v>365</v>
      </c>
      <c r="B11" s="5">
        <v>2.35E-2</v>
      </c>
      <c r="C11" s="12"/>
      <c r="D11" s="12"/>
      <c r="E11" s="12"/>
      <c r="F11" s="12"/>
      <c r="G11" s="12"/>
      <c r="H11" s="12"/>
      <c r="I11" s="12"/>
      <c r="J11" s="3">
        <f t="shared" si="0"/>
        <v>0</v>
      </c>
    </row>
    <row r="12" spans="1:10" x14ac:dyDescent="0.25">
      <c r="A12" s="4">
        <v>366</v>
      </c>
      <c r="B12" s="5">
        <v>2.6200000000000001E-2</v>
      </c>
      <c r="C12" s="12"/>
      <c r="D12" s="12"/>
      <c r="E12" s="12"/>
      <c r="F12" s="12"/>
      <c r="G12" s="12"/>
      <c r="H12" s="12"/>
      <c r="I12" s="12"/>
      <c r="J12" s="3">
        <f t="shared" si="0"/>
        <v>0</v>
      </c>
    </row>
    <row r="13" spans="1:10" x14ac:dyDescent="0.25">
      <c r="A13" s="4">
        <v>367</v>
      </c>
      <c r="B13" s="5">
        <v>2.5499999999999998E-2</v>
      </c>
      <c r="C13" s="12"/>
      <c r="D13" s="12"/>
      <c r="E13" s="12"/>
      <c r="F13" s="12"/>
      <c r="G13" s="12"/>
      <c r="H13" s="12"/>
      <c r="I13" s="12"/>
      <c r="J13" s="3">
        <f t="shared" si="0"/>
        <v>0</v>
      </c>
    </row>
    <row r="14" spans="1:10" x14ac:dyDescent="0.25">
      <c r="A14" s="4">
        <v>368</v>
      </c>
      <c r="B14" s="5">
        <v>6.4999999999999997E-3</v>
      </c>
      <c r="C14" s="12"/>
      <c r="D14" s="12"/>
      <c r="E14" s="12"/>
      <c r="F14" s="12"/>
      <c r="G14" s="12"/>
      <c r="H14" s="12"/>
      <c r="I14" s="12"/>
      <c r="J14" s="3">
        <f t="shared" si="0"/>
        <v>0</v>
      </c>
    </row>
    <row r="15" spans="1:10" x14ac:dyDescent="0.25">
      <c r="A15" s="4">
        <v>370.01</v>
      </c>
      <c r="B15" s="5">
        <v>0.19350000000000001</v>
      </c>
      <c r="C15" s="13"/>
      <c r="D15" s="13"/>
      <c r="E15" s="13"/>
      <c r="F15" s="13"/>
      <c r="G15" s="13"/>
      <c r="H15" s="13"/>
      <c r="I15" s="13"/>
      <c r="J15" s="6">
        <f t="shared" si="0"/>
        <v>0</v>
      </c>
    </row>
    <row r="16" spans="1:10" x14ac:dyDescent="0.25">
      <c r="C16" s="3">
        <f t="shared" ref="C16:J16" si="1">SUM(C5:C15)</f>
        <v>18990422</v>
      </c>
      <c r="D16" s="3">
        <f t="shared" si="1"/>
        <v>31275777</v>
      </c>
      <c r="E16" s="3">
        <f t="shared" si="1"/>
        <v>33681491</v>
      </c>
      <c r="F16" s="3">
        <f t="shared" si="1"/>
        <v>36425292</v>
      </c>
      <c r="G16" s="3">
        <f t="shared" si="1"/>
        <v>33644660</v>
      </c>
      <c r="H16" s="3">
        <f t="shared" si="1"/>
        <v>29590176</v>
      </c>
      <c r="I16" s="3">
        <f t="shared" si="1"/>
        <v>30641731</v>
      </c>
      <c r="J16" s="3">
        <f t="shared" si="1"/>
        <v>214249549</v>
      </c>
    </row>
    <row r="18" spans="1:13" x14ac:dyDescent="0.25">
      <c r="C18" s="3"/>
      <c r="D18" s="3"/>
      <c r="E18" s="3"/>
      <c r="F18" s="3"/>
      <c r="G18" s="3"/>
      <c r="H18" s="3"/>
      <c r="I18" s="3"/>
      <c r="J18" s="3"/>
      <c r="L18" s="8"/>
      <c r="M18" s="8"/>
    </row>
    <row r="19" spans="1:13" x14ac:dyDescent="0.25">
      <c r="A19" s="7" t="s">
        <v>37</v>
      </c>
      <c r="C19" s="3">
        <f t="shared" ref="C19:J19" si="2">SUM(C5:C8)</f>
        <v>18990422</v>
      </c>
      <c r="D19" s="3">
        <f t="shared" si="2"/>
        <v>31275777</v>
      </c>
      <c r="E19" s="3">
        <f t="shared" si="2"/>
        <v>33681491</v>
      </c>
      <c r="F19" s="3">
        <f t="shared" si="2"/>
        <v>36425292</v>
      </c>
      <c r="G19" s="3">
        <f t="shared" si="2"/>
        <v>33644660</v>
      </c>
      <c r="H19" s="3">
        <f t="shared" si="2"/>
        <v>29590176</v>
      </c>
      <c r="I19" s="3">
        <f t="shared" si="2"/>
        <v>30641731</v>
      </c>
      <c r="J19" s="3">
        <f t="shared" si="2"/>
        <v>214249549</v>
      </c>
      <c r="L19" s="8"/>
      <c r="M19" s="8"/>
    </row>
    <row r="20" spans="1:13" x14ac:dyDescent="0.25">
      <c r="A20" s="7" t="s">
        <v>26</v>
      </c>
      <c r="C20" s="6">
        <f t="shared" ref="C20:J20" si="3">SUM(C9:C15)</f>
        <v>0</v>
      </c>
      <c r="D20" s="6">
        <f t="shared" si="3"/>
        <v>0</v>
      </c>
      <c r="E20" s="6">
        <f t="shared" si="3"/>
        <v>0</v>
      </c>
      <c r="F20" s="6">
        <f t="shared" si="3"/>
        <v>0</v>
      </c>
      <c r="G20" s="6">
        <f t="shared" si="3"/>
        <v>0</v>
      </c>
      <c r="H20" s="6">
        <f t="shared" si="3"/>
        <v>0</v>
      </c>
      <c r="I20" s="6">
        <f t="shared" si="3"/>
        <v>0</v>
      </c>
      <c r="J20" s="6">
        <f t="shared" si="3"/>
        <v>0</v>
      </c>
      <c r="L20" s="8"/>
      <c r="M20" s="8"/>
    </row>
    <row r="21" spans="1:13" x14ac:dyDescent="0.25">
      <c r="A21" s="7"/>
      <c r="C21" s="3">
        <f>SUM(C19:C20)</f>
        <v>18990422</v>
      </c>
      <c r="D21" s="3">
        <f t="shared" ref="D21:J21" si="4">SUM(D19:D20)</f>
        <v>31275777</v>
      </c>
      <c r="E21" s="3">
        <f t="shared" si="4"/>
        <v>33681491</v>
      </c>
      <c r="F21" s="3">
        <f t="shared" si="4"/>
        <v>36425292</v>
      </c>
      <c r="G21" s="3">
        <f t="shared" si="4"/>
        <v>33644660</v>
      </c>
      <c r="H21" s="3">
        <f t="shared" si="4"/>
        <v>29590176</v>
      </c>
      <c r="I21" s="3">
        <f t="shared" si="4"/>
        <v>30641731</v>
      </c>
      <c r="J21" s="3">
        <f t="shared" si="4"/>
        <v>214249549</v>
      </c>
      <c r="L21" s="8"/>
      <c r="M21" s="8"/>
    </row>
    <row r="22" spans="1:13" x14ac:dyDescent="0.25">
      <c r="A22" s="7"/>
      <c r="C22" s="3"/>
      <c r="D22" s="3"/>
      <c r="E22" s="3"/>
      <c r="F22" s="3"/>
      <c r="G22" s="3"/>
      <c r="H22" s="3"/>
      <c r="I22" s="3"/>
      <c r="J22" s="3"/>
      <c r="L22" s="8"/>
      <c r="M22" s="8"/>
    </row>
    <row r="23" spans="1:13" x14ac:dyDescent="0.25">
      <c r="A23" s="7" t="s">
        <v>38</v>
      </c>
      <c r="C23" s="3">
        <f>+C19</f>
        <v>18990422</v>
      </c>
      <c r="D23" s="3">
        <f>+C23+D19</f>
        <v>50266199</v>
      </c>
      <c r="E23" s="3">
        <f t="shared" ref="E23:I24" si="5">+D23+E19</f>
        <v>83947690</v>
      </c>
      <c r="F23" s="3">
        <f t="shared" si="5"/>
        <v>120372982</v>
      </c>
      <c r="G23" s="3">
        <f t="shared" si="5"/>
        <v>154017642</v>
      </c>
      <c r="H23" s="3">
        <f t="shared" si="5"/>
        <v>183607818</v>
      </c>
      <c r="I23" s="3">
        <f t="shared" si="5"/>
        <v>214249549</v>
      </c>
      <c r="J23" s="3"/>
      <c r="L23" s="8"/>
      <c r="M23" s="8"/>
    </row>
    <row r="24" spans="1:13" x14ac:dyDescent="0.25">
      <c r="A24" s="7" t="s">
        <v>27</v>
      </c>
      <c r="C24" s="6">
        <f>+C20</f>
        <v>0</v>
      </c>
      <c r="D24" s="6">
        <f>+C24+D20</f>
        <v>0</v>
      </c>
      <c r="E24" s="6">
        <f t="shared" si="5"/>
        <v>0</v>
      </c>
      <c r="F24" s="6">
        <f t="shared" si="5"/>
        <v>0</v>
      </c>
      <c r="G24" s="6">
        <f t="shared" si="5"/>
        <v>0</v>
      </c>
      <c r="H24" s="6">
        <f t="shared" si="5"/>
        <v>0</v>
      </c>
      <c r="I24" s="6">
        <f t="shared" si="5"/>
        <v>0</v>
      </c>
      <c r="J24" s="3"/>
      <c r="L24" s="8"/>
      <c r="M24" s="8"/>
    </row>
    <row r="25" spans="1:13" x14ac:dyDescent="0.25">
      <c r="A25" s="7"/>
      <c r="C25" s="3">
        <f>SUM(C23:C24)</f>
        <v>18990422</v>
      </c>
      <c r="D25" s="3">
        <f t="shared" ref="D25:I25" si="6">SUM(D23:D24)</f>
        <v>50266199</v>
      </c>
      <c r="E25" s="3">
        <f t="shared" si="6"/>
        <v>83947690</v>
      </c>
      <c r="F25" s="3">
        <f t="shared" si="6"/>
        <v>120372982</v>
      </c>
      <c r="G25" s="3">
        <f t="shared" si="6"/>
        <v>154017642</v>
      </c>
      <c r="H25" s="3">
        <f t="shared" si="6"/>
        <v>183607818</v>
      </c>
      <c r="I25" s="3">
        <f t="shared" si="6"/>
        <v>214249549</v>
      </c>
      <c r="J25" s="3"/>
      <c r="L25" s="8"/>
      <c r="M25" s="8"/>
    </row>
    <row r="26" spans="1:13" x14ac:dyDescent="0.25">
      <c r="A26" s="7"/>
      <c r="C26" s="3"/>
      <c r="D26" s="3"/>
      <c r="E26" s="3"/>
      <c r="F26" s="3"/>
      <c r="G26" s="3"/>
      <c r="H26" s="3"/>
      <c r="I26" s="3"/>
      <c r="J26" s="3"/>
      <c r="L26" s="8"/>
      <c r="M26" s="8"/>
    </row>
    <row r="27" spans="1:13" x14ac:dyDescent="0.25">
      <c r="A27" s="7" t="s">
        <v>38</v>
      </c>
      <c r="C27" s="9">
        <f>+C23/C25</f>
        <v>1</v>
      </c>
      <c r="D27" s="9">
        <f t="shared" ref="D27:I27" si="7">+D23/D25</f>
        <v>1</v>
      </c>
      <c r="E27" s="9">
        <f t="shared" si="7"/>
        <v>1</v>
      </c>
      <c r="F27" s="9">
        <f t="shared" si="7"/>
        <v>1</v>
      </c>
      <c r="G27" s="9">
        <f t="shared" si="7"/>
        <v>1</v>
      </c>
      <c r="H27" s="9">
        <f t="shared" si="7"/>
        <v>1</v>
      </c>
      <c r="I27" s="9">
        <f t="shared" si="7"/>
        <v>1</v>
      </c>
      <c r="J27" s="3"/>
      <c r="L27" s="8"/>
      <c r="M27" s="8"/>
    </row>
    <row r="28" spans="1:13" x14ac:dyDescent="0.25">
      <c r="A28" s="7" t="s">
        <v>27</v>
      </c>
      <c r="C28" s="26">
        <f>+C24/C25</f>
        <v>0</v>
      </c>
      <c r="D28" s="26">
        <f t="shared" ref="D28:I28" si="8">+D24/D25</f>
        <v>0</v>
      </c>
      <c r="E28" s="26">
        <f t="shared" si="8"/>
        <v>0</v>
      </c>
      <c r="F28" s="26">
        <f t="shared" si="8"/>
        <v>0</v>
      </c>
      <c r="G28" s="26">
        <f t="shared" si="8"/>
        <v>0</v>
      </c>
      <c r="H28" s="26">
        <f t="shared" si="8"/>
        <v>0</v>
      </c>
      <c r="I28" s="26">
        <f t="shared" si="8"/>
        <v>0</v>
      </c>
      <c r="J28" s="3"/>
      <c r="L28" s="8"/>
      <c r="M28" s="8"/>
    </row>
    <row r="29" spans="1:13" x14ac:dyDescent="0.25">
      <c r="A29" s="7"/>
      <c r="C29" s="9">
        <f>SUM(C27:C28)</f>
        <v>1</v>
      </c>
      <c r="D29" s="9">
        <f t="shared" ref="D29:I29" si="9">SUM(D27:D28)</f>
        <v>1</v>
      </c>
      <c r="E29" s="9">
        <f t="shared" si="9"/>
        <v>1</v>
      </c>
      <c r="F29" s="9">
        <f t="shared" si="9"/>
        <v>1</v>
      </c>
      <c r="G29" s="9">
        <f t="shared" si="9"/>
        <v>1</v>
      </c>
      <c r="H29" s="9">
        <f t="shared" si="9"/>
        <v>1</v>
      </c>
      <c r="I29" s="9">
        <f t="shared" si="9"/>
        <v>1</v>
      </c>
      <c r="J29" s="3"/>
      <c r="L29" s="8"/>
      <c r="M29" s="8"/>
    </row>
    <row r="30" spans="1:13" x14ac:dyDescent="0.25">
      <c r="A30" s="7" t="s">
        <v>8</v>
      </c>
    </row>
    <row r="31" spans="1:13" x14ac:dyDescent="0.25">
      <c r="A31" s="4">
        <v>352</v>
      </c>
      <c r="B31" s="5">
        <v>2.4E-2</v>
      </c>
      <c r="C31" s="3">
        <f t="shared" ref="C31:C41" si="10">+C5*$B5*0.5</f>
        <v>0</v>
      </c>
      <c r="D31" s="3">
        <f>+D5*$B5*0.5+SUM($C5:C5)*$B5</f>
        <v>0</v>
      </c>
      <c r="E31" s="3">
        <f>+E5*$B5*0.5+SUM($C5:D5)*$B5</f>
        <v>0</v>
      </c>
      <c r="F31" s="3">
        <f>+F5*$B5*0.5+SUM($C5:E5)*$B5</f>
        <v>27604.62</v>
      </c>
      <c r="G31" s="3">
        <f>+G5*$B5*0.5+SUM($C5:F5)*$B5</f>
        <v>89348.51999999999</v>
      </c>
      <c r="H31" s="3">
        <f>+H5*$B5*0.5+SUM($C5:G5)*$B5</f>
        <v>123487.8</v>
      </c>
      <c r="I31" s="3">
        <f>+I5*$B5*0.5+SUM($C5:H5)*$B5</f>
        <v>155079.18</v>
      </c>
      <c r="J31" s="3">
        <f t="shared" ref="J31:J41" si="11">SUM(C31:I31)</f>
        <v>395520.12</v>
      </c>
    </row>
    <row r="32" spans="1:13" x14ac:dyDescent="0.25">
      <c r="A32" s="4">
        <v>353</v>
      </c>
      <c r="B32" s="5">
        <v>2.53E-2</v>
      </c>
      <c r="C32" s="3">
        <f t="shared" si="10"/>
        <v>165540.24025</v>
      </c>
      <c r="D32" s="3">
        <f>+D6*$B6*0.5+SUM($C6:C6)*$B6</f>
        <v>625606.90115000005</v>
      </c>
      <c r="E32" s="3">
        <f>+E6*$B6*0.5+SUM($C6:D6)*$B6</f>
        <v>1212308.8285000001</v>
      </c>
      <c r="F32" s="3">
        <f>+F6*$B6*0.5+SUM($C6:E6)*$B6</f>
        <v>1783709.7712500002</v>
      </c>
      <c r="G32" s="3">
        <f>+G6*$B6*0.5+SUM($C6:F6)*$B6</f>
        <v>2307110.5672999998</v>
      </c>
      <c r="H32" s="3">
        <f>+H6*$B6*0.5+SUM($C6:G6)*$B6</f>
        <v>2790506.3202499999</v>
      </c>
      <c r="I32" s="3">
        <f>+I6*$B6*0.5+SUM($C6:H6)*$B6</f>
        <v>3287877.7299500001</v>
      </c>
      <c r="J32" s="3">
        <f t="shared" si="11"/>
        <v>12172660.358649999</v>
      </c>
    </row>
    <row r="33" spans="1:13" x14ac:dyDescent="0.25">
      <c r="A33" s="4">
        <v>354</v>
      </c>
      <c r="B33" s="5">
        <v>1.37E-2</v>
      </c>
      <c r="C33" s="3">
        <f t="shared" si="10"/>
        <v>7797.4920000000002</v>
      </c>
      <c r="D33" s="3">
        <f>+D7*$B7*0.5+SUM($C7:C7)*$B7</f>
        <v>23206.340950000002</v>
      </c>
      <c r="E33" s="3">
        <f>+E7*$B7*0.5+SUM($C7:D7)*$B7</f>
        <v>38232.357100000001</v>
      </c>
      <c r="F33" s="3">
        <f>+F7*$B7*0.5+SUM($C7:E7)*$B7</f>
        <v>51474.941500000001</v>
      </c>
      <c r="G33" s="3">
        <f>+G7*$B7*0.5+SUM($C7:F7)*$B7</f>
        <v>57302.866699999999</v>
      </c>
      <c r="H33" s="3">
        <f>+H7*$B7*0.5+SUM($C7:G7)*$B7</f>
        <v>57302.866699999999</v>
      </c>
      <c r="I33" s="3">
        <f>+I7*$B7*0.5+SUM($C7:H7)*$B7</f>
        <v>57302.866699999999</v>
      </c>
      <c r="J33" s="3">
        <f t="shared" si="11"/>
        <v>292619.73165000003</v>
      </c>
    </row>
    <row r="34" spans="1:13" x14ac:dyDescent="0.25">
      <c r="A34" s="4">
        <v>356</v>
      </c>
      <c r="B34" s="5">
        <v>1.2E-2</v>
      </c>
      <c r="C34" s="3">
        <f t="shared" si="10"/>
        <v>28595.502</v>
      </c>
      <c r="D34" s="3">
        <f>+D8*$B8*0.5+SUM($C8:C8)*$B8</f>
        <v>98482.457999999999</v>
      </c>
      <c r="E34" s="3">
        <f>+E8*$B8*0.5+SUM($C8:D8)*$B8</f>
        <v>196786.99800000002</v>
      </c>
      <c r="F34" s="3">
        <f>+F8*$B8*0.5+SUM($C8:E8)*$B8</f>
        <v>321005.83199999999</v>
      </c>
      <c r="G34" s="3">
        <f>+G8*$B8*0.5+SUM($C8:F8)*$B8</f>
        <v>457195.5</v>
      </c>
      <c r="H34" s="3">
        <f>+H8*$B8*0.5+SUM($C8:G8)*$B8</f>
        <v>590256.25800000003</v>
      </c>
      <c r="I34" s="3">
        <f>+I8*$B8*0.5+SUM($C8:H8)*$B8</f>
        <v>699944.62199999997</v>
      </c>
      <c r="J34" s="3">
        <f t="shared" si="11"/>
        <v>2392267.17</v>
      </c>
    </row>
    <row r="35" spans="1:13" x14ac:dyDescent="0.25">
      <c r="A35" s="4">
        <v>362</v>
      </c>
      <c r="B35" s="5">
        <v>1.61E-2</v>
      </c>
      <c r="C35" s="3">
        <f t="shared" si="10"/>
        <v>0</v>
      </c>
      <c r="D35" s="3">
        <f>+D9*$B9*0.5+SUM($C9:C9)*$B9</f>
        <v>0</v>
      </c>
      <c r="E35" s="3">
        <f>+E9*$B9*0.5+SUM($C9:D9)*$B9</f>
        <v>0</v>
      </c>
      <c r="F35" s="3">
        <f>+F9*$B9*0.5+SUM($C9:E9)*$B9</f>
        <v>0</v>
      </c>
      <c r="G35" s="3">
        <f>+G9*$B9*0.5+SUM($C9:F9)*$B9</f>
        <v>0</v>
      </c>
      <c r="H35" s="3">
        <f>+H9*$B9*0.5+SUM($C9:G9)*$B9</f>
        <v>0</v>
      </c>
      <c r="I35" s="3">
        <f>+I9*$B9*0.5+SUM($C9:H9)*$B9</f>
        <v>0</v>
      </c>
      <c r="J35" s="3">
        <f t="shared" si="11"/>
        <v>0</v>
      </c>
    </row>
    <row r="36" spans="1:13" x14ac:dyDescent="0.25">
      <c r="A36" s="4">
        <v>364</v>
      </c>
      <c r="B36" s="5">
        <v>2.06E-2</v>
      </c>
      <c r="C36" s="3">
        <f t="shared" si="10"/>
        <v>0</v>
      </c>
      <c r="D36" s="3">
        <f>+D10*$B10*0.5+SUM($C10:C10)*$B10</f>
        <v>0</v>
      </c>
      <c r="E36" s="3">
        <f>+E10*$B10*0.5+SUM($C10:D10)*$B10</f>
        <v>0</v>
      </c>
      <c r="F36" s="3">
        <f>+F10*$B10*0.5+SUM($C10:E10)*$B10</f>
        <v>0</v>
      </c>
      <c r="G36" s="3">
        <f>+G10*$B10*0.5+SUM($C10:F10)*$B10</f>
        <v>0</v>
      </c>
      <c r="H36" s="3">
        <f>+H10*$B10*0.5+SUM($C10:G10)*$B10</f>
        <v>0</v>
      </c>
      <c r="I36" s="3">
        <f>+I10*$B10*0.5+SUM($C10:H10)*$B10</f>
        <v>0</v>
      </c>
      <c r="J36" s="3">
        <f t="shared" si="11"/>
        <v>0</v>
      </c>
    </row>
    <row r="37" spans="1:13" x14ac:dyDescent="0.25">
      <c r="A37" s="4">
        <v>365</v>
      </c>
      <c r="B37" s="5">
        <v>2.35E-2</v>
      </c>
      <c r="C37" s="3">
        <f t="shared" si="10"/>
        <v>0</v>
      </c>
      <c r="D37" s="3">
        <f>+D11*$B11*0.5+SUM($C11:C11)*$B11</f>
        <v>0</v>
      </c>
      <c r="E37" s="3">
        <f>+E11*$B11*0.5+SUM($C11:D11)*$B11</f>
        <v>0</v>
      </c>
      <c r="F37" s="3">
        <f>+F11*$B11*0.5+SUM($C11:E11)*$B11</f>
        <v>0</v>
      </c>
      <c r="G37" s="3">
        <f>+G11*$B11*0.5+SUM($C11:F11)*$B11</f>
        <v>0</v>
      </c>
      <c r="H37" s="3">
        <f>+H11*$B11*0.5+SUM($C11:G11)*$B11</f>
        <v>0</v>
      </c>
      <c r="I37" s="3">
        <f>+I11*$B11*0.5+SUM($C11:H11)*$B11</f>
        <v>0</v>
      </c>
      <c r="J37" s="3">
        <f t="shared" si="11"/>
        <v>0</v>
      </c>
    </row>
    <row r="38" spans="1:13" x14ac:dyDescent="0.25">
      <c r="A38" s="4">
        <v>366</v>
      </c>
      <c r="B38" s="5">
        <v>2.6200000000000001E-2</v>
      </c>
      <c r="C38" s="3">
        <f t="shared" si="10"/>
        <v>0</v>
      </c>
      <c r="D38" s="3">
        <f>+D12*$B12*0.5+SUM($C12:C12)*$B12</f>
        <v>0</v>
      </c>
      <c r="E38" s="3">
        <f>+E12*$B12*0.5+SUM($C12:D12)*$B12</f>
        <v>0</v>
      </c>
      <c r="F38" s="3">
        <f>+F12*$B12*0.5+SUM($C12:E12)*$B12</f>
        <v>0</v>
      </c>
      <c r="G38" s="3">
        <f>+G12*$B12*0.5+SUM($C12:F12)*$B12</f>
        <v>0</v>
      </c>
      <c r="H38" s="3">
        <f>+H12*$B12*0.5+SUM($C12:G12)*$B12</f>
        <v>0</v>
      </c>
      <c r="I38" s="3">
        <f>+I12*$B12*0.5+SUM($C12:H12)*$B12</f>
        <v>0</v>
      </c>
      <c r="J38" s="3">
        <f t="shared" si="11"/>
        <v>0</v>
      </c>
    </row>
    <row r="39" spans="1:13" x14ac:dyDescent="0.25">
      <c r="A39" s="4">
        <v>367</v>
      </c>
      <c r="B39" s="5">
        <v>2.5499999999999998E-2</v>
      </c>
      <c r="C39" s="3">
        <f t="shared" si="10"/>
        <v>0</v>
      </c>
      <c r="D39" s="3">
        <f>+D13*$B13*0.5+SUM($C13:C13)*$B13</f>
        <v>0</v>
      </c>
      <c r="E39" s="3">
        <f>+E13*$B13*0.5+SUM($C13:D13)*$B13</f>
        <v>0</v>
      </c>
      <c r="F39" s="3">
        <f>+F13*$B13*0.5+SUM($C13:E13)*$B13</f>
        <v>0</v>
      </c>
      <c r="G39" s="3">
        <f>+G13*$B13*0.5+SUM($C13:F13)*$B13</f>
        <v>0</v>
      </c>
      <c r="H39" s="3">
        <f>+H13*$B13*0.5+SUM($C13:G13)*$B13</f>
        <v>0</v>
      </c>
      <c r="I39" s="3">
        <f>+I13*$B13*0.5+SUM($C13:H13)*$B13</f>
        <v>0</v>
      </c>
      <c r="J39" s="3">
        <f t="shared" si="11"/>
        <v>0</v>
      </c>
    </row>
    <row r="40" spans="1:13" x14ac:dyDescent="0.25">
      <c r="A40" s="4">
        <v>368</v>
      </c>
      <c r="B40" s="5">
        <v>6.4999999999999997E-3</v>
      </c>
      <c r="C40" s="3">
        <f t="shared" si="10"/>
        <v>0</v>
      </c>
      <c r="D40" s="3">
        <f>+D14*$B14*0.5+SUM($C14:C14)*$B14</f>
        <v>0</v>
      </c>
      <c r="E40" s="3">
        <f>+E14*$B14*0.5+SUM($C14:D14)*$B14</f>
        <v>0</v>
      </c>
      <c r="F40" s="3">
        <f>+F14*$B14*0.5+SUM($C14:E14)*$B14</f>
        <v>0</v>
      </c>
      <c r="G40" s="3">
        <f>+G14*$B14*0.5+SUM($C14:F14)*$B14</f>
        <v>0</v>
      </c>
      <c r="H40" s="3">
        <f>+H14*$B14*0.5+SUM($C14:G14)*$B14</f>
        <v>0</v>
      </c>
      <c r="I40" s="3">
        <f>+I14*$B14*0.5+SUM($C14:H14)*$B14</f>
        <v>0</v>
      </c>
      <c r="J40" s="3">
        <f t="shared" si="11"/>
        <v>0</v>
      </c>
    </row>
    <row r="41" spans="1:13" x14ac:dyDescent="0.25">
      <c r="A41" s="4">
        <v>370.01</v>
      </c>
      <c r="B41" s="5">
        <v>0.19350000000000001</v>
      </c>
      <c r="C41" s="6">
        <f t="shared" si="10"/>
        <v>0</v>
      </c>
      <c r="D41" s="6">
        <f>+D15*$B15*0.5+SUM($C15:C15)*$B15</f>
        <v>0</v>
      </c>
      <c r="E41" s="6">
        <f>+E15*$B15*0.5+SUM($C15:D15)*$B15</f>
        <v>0</v>
      </c>
      <c r="F41" s="6">
        <f>+F15*$B15*0.5+SUM($C15:E15)*$B15</f>
        <v>0</v>
      </c>
      <c r="G41" s="6">
        <f>+G15*$B15*0.5+SUM($C15:F15)*$B15</f>
        <v>0</v>
      </c>
      <c r="H41" s="6">
        <f>+H15*$B15*0.5+SUM($C15:G15)*$B15</f>
        <v>0</v>
      </c>
      <c r="I41" s="6">
        <f>+I15*$B15*0.5+SUM($C15:H15)*$B15</f>
        <v>0</v>
      </c>
      <c r="J41" s="6">
        <f t="shared" si="11"/>
        <v>0</v>
      </c>
    </row>
    <row r="42" spans="1:13" x14ac:dyDescent="0.25">
      <c r="C42" s="3">
        <f t="shared" ref="C42:J42" si="12">SUM(C31:C41)</f>
        <v>201933.23425000001</v>
      </c>
      <c r="D42" s="3">
        <f t="shared" si="12"/>
        <v>747295.70010000002</v>
      </c>
      <c r="E42" s="3">
        <f t="shared" si="12"/>
        <v>1447328.1836000001</v>
      </c>
      <c r="F42" s="3">
        <f t="shared" si="12"/>
        <v>2183795.1647500005</v>
      </c>
      <c r="G42" s="3">
        <f t="shared" si="12"/>
        <v>2910957.4539999999</v>
      </c>
      <c r="H42" s="3">
        <f t="shared" si="12"/>
        <v>3561553.2449499997</v>
      </c>
      <c r="I42" s="3">
        <f t="shared" si="12"/>
        <v>4200204.3986499999</v>
      </c>
      <c r="J42" s="3">
        <f t="shared" si="12"/>
        <v>15253067.380299998</v>
      </c>
      <c r="M42" s="8" t="s">
        <v>39</v>
      </c>
    </row>
    <row r="44" spans="1:13" x14ac:dyDescent="0.25">
      <c r="A44" s="7" t="s">
        <v>9</v>
      </c>
      <c r="C44" s="8">
        <f>+C16-C42</f>
        <v>18788488.765749998</v>
      </c>
      <c r="D44" s="8">
        <f t="shared" ref="D44:I44" si="13">+C44+D16-D42</f>
        <v>49316970.065650001</v>
      </c>
      <c r="E44" s="8">
        <f t="shared" si="13"/>
        <v>81551132.882050008</v>
      </c>
      <c r="F44" s="8">
        <f t="shared" si="13"/>
        <v>115792629.71730001</v>
      </c>
      <c r="G44" s="8">
        <f t="shared" si="13"/>
        <v>146526332.2633</v>
      </c>
      <c r="H44" s="8">
        <f t="shared" si="13"/>
        <v>172554955.01835001</v>
      </c>
      <c r="I44" s="8">
        <f t="shared" si="13"/>
        <v>198996481.61970001</v>
      </c>
      <c r="J44" s="8"/>
    </row>
    <row r="45" spans="1:13" x14ac:dyDescent="0.25">
      <c r="A45" s="7" t="s">
        <v>10</v>
      </c>
      <c r="C45" s="30">
        <v>6.6500000000000004E-2</v>
      </c>
      <c r="D45" s="30">
        <v>6.6500000000000004E-2</v>
      </c>
      <c r="E45" s="30">
        <v>6.6500000000000004E-2</v>
      </c>
      <c r="F45" s="30">
        <v>6.6500000000000004E-2</v>
      </c>
      <c r="G45" s="30">
        <v>6.6500000000000004E-2</v>
      </c>
      <c r="H45" s="30">
        <v>6.6500000000000004E-2</v>
      </c>
      <c r="I45" s="30">
        <v>6.6500000000000004E-2</v>
      </c>
    </row>
    <row r="46" spans="1:13" x14ac:dyDescent="0.25">
      <c r="A46" s="7" t="s">
        <v>13</v>
      </c>
      <c r="C46" s="3">
        <f>+C44*C45</f>
        <v>1249434.502922375</v>
      </c>
      <c r="D46" s="3">
        <f t="shared" ref="D46:I46" si="14">+D44*D45</f>
        <v>3279578.5093657253</v>
      </c>
      <c r="E46" s="3">
        <f t="shared" si="14"/>
        <v>5423150.3366563255</v>
      </c>
      <c r="F46" s="3">
        <f t="shared" si="14"/>
        <v>7700209.8762004515</v>
      </c>
      <c r="G46" s="3">
        <f t="shared" si="14"/>
        <v>9744001.0955094509</v>
      </c>
      <c r="H46" s="3">
        <f t="shared" si="14"/>
        <v>11474904.508720277</v>
      </c>
      <c r="I46" s="3">
        <f t="shared" si="14"/>
        <v>13233266.027710052</v>
      </c>
    </row>
    <row r="47" spans="1:13" x14ac:dyDescent="0.25">
      <c r="A47" s="7" t="s">
        <v>11</v>
      </c>
      <c r="C47" s="31">
        <v>1.2376799999999999</v>
      </c>
      <c r="D47" s="31">
        <v>1.2376799999999999</v>
      </c>
      <c r="E47" s="31">
        <v>1.2376799999999999</v>
      </c>
      <c r="F47" s="31">
        <v>1.2376799999999999</v>
      </c>
      <c r="G47" s="31">
        <v>1.2376799999999999</v>
      </c>
      <c r="H47" s="31">
        <v>1.2376799999999999</v>
      </c>
      <c r="I47" s="31">
        <v>1.2376799999999999</v>
      </c>
    </row>
    <row r="48" spans="1:13" x14ac:dyDescent="0.25">
      <c r="A48" s="7" t="s">
        <v>12</v>
      </c>
      <c r="C48" s="3">
        <f>+C46*C47</f>
        <v>1546400.095576965</v>
      </c>
      <c r="D48" s="3">
        <f t="shared" ref="D48:I48" si="15">+D46*D47</f>
        <v>4059068.7294717706</v>
      </c>
      <c r="E48" s="3">
        <f t="shared" si="15"/>
        <v>6712124.7086728001</v>
      </c>
      <c r="F48" s="3">
        <f t="shared" si="15"/>
        <v>9530395.7595757749</v>
      </c>
      <c r="G48" s="3">
        <f t="shared" si="15"/>
        <v>12059955.275890136</v>
      </c>
      <c r="H48" s="3">
        <f t="shared" si="15"/>
        <v>14202259.812352911</v>
      </c>
      <c r="I48" s="3">
        <f t="shared" si="15"/>
        <v>16378548.697176175</v>
      </c>
    </row>
    <row r="50" spans="1:10" x14ac:dyDescent="0.25">
      <c r="A50" s="7" t="s">
        <v>42</v>
      </c>
    </row>
    <row r="51" spans="1:10" x14ac:dyDescent="0.25">
      <c r="A51" s="7" t="s">
        <v>40</v>
      </c>
      <c r="C51" s="38"/>
      <c r="D51" s="8">
        <f t="shared" ref="D51:I51" si="16">+C25</f>
        <v>18990422</v>
      </c>
      <c r="E51" s="8">
        <f t="shared" si="16"/>
        <v>50266199</v>
      </c>
      <c r="F51" s="8">
        <f t="shared" si="16"/>
        <v>83947690</v>
      </c>
      <c r="G51" s="8">
        <f t="shared" si="16"/>
        <v>120372982</v>
      </c>
      <c r="H51" s="8">
        <f t="shared" si="16"/>
        <v>154017642</v>
      </c>
      <c r="I51" s="8">
        <f t="shared" si="16"/>
        <v>183607818</v>
      </c>
    </row>
    <row r="52" spans="1:10" x14ac:dyDescent="0.25">
      <c r="A52" s="7" t="s">
        <v>45</v>
      </c>
      <c r="C52" s="38"/>
      <c r="D52" s="104">
        <v>824325.67500000005</v>
      </c>
      <c r="E52" s="104">
        <v>3690560.4784599999</v>
      </c>
      <c r="F52" s="104">
        <v>9061160.329020001</v>
      </c>
      <c r="G52" s="104">
        <v>16956514.988700002</v>
      </c>
      <c r="H52" s="104">
        <v>27159281.432200003</v>
      </c>
      <c r="I52" s="104">
        <v>39212833.176920004</v>
      </c>
    </row>
    <row r="53" spans="1:10" x14ac:dyDescent="0.25">
      <c r="A53" s="7" t="s">
        <v>43</v>
      </c>
      <c r="C53" s="38"/>
      <c r="D53" s="8">
        <f>+D51-D52</f>
        <v>18166096.324999999</v>
      </c>
      <c r="E53" s="8">
        <f t="shared" ref="E53:I53" si="17">+E51-E52</f>
        <v>46575638.521540001</v>
      </c>
      <c r="F53" s="8">
        <f t="shared" si="17"/>
        <v>74886529.670980006</v>
      </c>
      <c r="G53" s="8">
        <f t="shared" si="17"/>
        <v>103416467.0113</v>
      </c>
      <c r="H53" s="8">
        <f t="shared" si="17"/>
        <v>126858360.5678</v>
      </c>
      <c r="I53" s="8">
        <f t="shared" si="17"/>
        <v>144394984.82308</v>
      </c>
    </row>
    <row r="54" spans="1:10" x14ac:dyDescent="0.25">
      <c r="C54" s="38"/>
    </row>
    <row r="55" spans="1:10" x14ac:dyDescent="0.25">
      <c r="A55" s="7" t="s">
        <v>41</v>
      </c>
      <c r="C55" s="38"/>
      <c r="D55" s="8">
        <f t="shared" ref="D55:I55" si="18">+C21</f>
        <v>18990422</v>
      </c>
      <c r="E55" s="8">
        <f t="shared" si="18"/>
        <v>31275777</v>
      </c>
      <c r="F55" s="8">
        <f t="shared" si="18"/>
        <v>33681491</v>
      </c>
      <c r="G55" s="8">
        <f t="shared" si="18"/>
        <v>36425292</v>
      </c>
      <c r="H55" s="8">
        <f t="shared" si="18"/>
        <v>33644660</v>
      </c>
      <c r="I55" s="8">
        <f t="shared" si="18"/>
        <v>29590176</v>
      </c>
    </row>
    <row r="56" spans="1:10" x14ac:dyDescent="0.25">
      <c r="A56" s="11" t="s">
        <v>46</v>
      </c>
      <c r="C56" s="38"/>
      <c r="D56" s="104">
        <v>824325.67500000005</v>
      </c>
      <c r="E56" s="104">
        <v>1290601.325</v>
      </c>
      <c r="F56" s="104">
        <v>1461825.375</v>
      </c>
      <c r="G56" s="104">
        <v>1526714.175</v>
      </c>
      <c r="H56" s="104">
        <v>1463580.875</v>
      </c>
      <c r="I56" s="104">
        <v>1270719.3999999999</v>
      </c>
    </row>
    <row r="57" spans="1:10" x14ac:dyDescent="0.25">
      <c r="A57" s="11" t="s">
        <v>44</v>
      </c>
      <c r="C57" s="38"/>
      <c r="D57" s="8">
        <f>+D55-D56</f>
        <v>18166096.324999999</v>
      </c>
      <c r="E57" s="8">
        <f t="shared" ref="E57:I57" si="19">+E55-E56</f>
        <v>29985175.675000001</v>
      </c>
      <c r="F57" s="8">
        <f t="shared" si="19"/>
        <v>32219665.625</v>
      </c>
      <c r="G57" s="8">
        <f t="shared" si="19"/>
        <v>34898577.825000003</v>
      </c>
      <c r="H57" s="8">
        <f t="shared" si="19"/>
        <v>32181079.125</v>
      </c>
      <c r="I57" s="8">
        <f t="shared" si="19"/>
        <v>28319456.600000001</v>
      </c>
    </row>
    <row r="58" spans="1:10" x14ac:dyDescent="0.25">
      <c r="A58" s="11"/>
      <c r="C58" s="38"/>
      <c r="D58" s="26">
        <v>0.6</v>
      </c>
      <c r="E58" s="26">
        <v>0.6</v>
      </c>
      <c r="F58" s="26">
        <v>0.6</v>
      </c>
      <c r="G58" s="26">
        <v>0.6</v>
      </c>
      <c r="H58" s="26">
        <v>0.6</v>
      </c>
      <c r="I58" s="26">
        <v>0.6</v>
      </c>
    </row>
    <row r="59" spans="1:10" x14ac:dyDescent="0.25">
      <c r="A59" s="11" t="s">
        <v>47</v>
      </c>
      <c r="C59" s="38"/>
      <c r="D59" s="8">
        <f>+D57*D58</f>
        <v>10899657.795</v>
      </c>
      <c r="E59" s="8">
        <f t="shared" ref="E59:I59" si="20">+E57*E58</f>
        <v>17991105.405000001</v>
      </c>
      <c r="F59" s="8">
        <f t="shared" si="20"/>
        <v>19331799.375</v>
      </c>
      <c r="G59" s="8">
        <f t="shared" si="20"/>
        <v>20939146.695</v>
      </c>
      <c r="H59" s="8">
        <f t="shared" si="20"/>
        <v>19308647.474999998</v>
      </c>
      <c r="I59" s="8">
        <f t="shared" si="20"/>
        <v>16991673.960000001</v>
      </c>
    </row>
    <row r="60" spans="1:10" x14ac:dyDescent="0.25">
      <c r="A60" s="11" t="s">
        <v>48</v>
      </c>
      <c r="C60" s="38"/>
      <c r="D60" s="8">
        <f>+D53-D59</f>
        <v>7266438.5299999993</v>
      </c>
      <c r="E60" s="8">
        <f t="shared" ref="E60:I60" si="21">+E53-E59</f>
        <v>28584533.11654</v>
      </c>
      <c r="F60" s="8">
        <f t="shared" si="21"/>
        <v>55554730.295980006</v>
      </c>
      <c r="G60" s="8">
        <f t="shared" si="21"/>
        <v>82477320.316300005</v>
      </c>
      <c r="H60" s="8">
        <f t="shared" si="21"/>
        <v>107549713.09280001</v>
      </c>
      <c r="I60" s="8">
        <f t="shared" si="21"/>
        <v>127403310.86307999</v>
      </c>
    </row>
    <row r="61" spans="1:10" x14ac:dyDescent="0.25">
      <c r="A61" s="11" t="s">
        <v>49</v>
      </c>
      <c r="C61" s="39"/>
      <c r="D61" s="9">
        <v>0.03</v>
      </c>
      <c r="E61" s="9">
        <v>0.03</v>
      </c>
      <c r="F61" s="9">
        <v>0.03</v>
      </c>
      <c r="G61" s="9">
        <v>0.03</v>
      </c>
      <c r="H61" s="9">
        <v>0.03</v>
      </c>
      <c r="I61" s="9">
        <v>0.03</v>
      </c>
    </row>
    <row r="62" spans="1:10" x14ac:dyDescent="0.25">
      <c r="A62" s="7" t="s">
        <v>23</v>
      </c>
      <c r="C62" s="34">
        <v>0</v>
      </c>
      <c r="D62" s="33">
        <f>+D60*D61</f>
        <v>217993.15589999998</v>
      </c>
      <c r="E62" s="33">
        <f t="shared" ref="E62:I62" si="22">+E60*E61</f>
        <v>857535.99349619995</v>
      </c>
      <c r="F62" s="33">
        <f t="shared" si="22"/>
        <v>1666641.9088794002</v>
      </c>
      <c r="G62" s="33">
        <f t="shared" si="22"/>
        <v>2474319.6094889999</v>
      </c>
      <c r="H62" s="33">
        <f t="shared" si="22"/>
        <v>3226491.3927839999</v>
      </c>
      <c r="I62" s="33">
        <f t="shared" si="22"/>
        <v>3822099.3258923995</v>
      </c>
      <c r="J62" t="s">
        <v>35</v>
      </c>
    </row>
    <row r="63" spans="1:10" x14ac:dyDescent="0.25">
      <c r="A63" s="7" t="s">
        <v>14</v>
      </c>
      <c r="C63" s="8">
        <f>+C42</f>
        <v>201933.23425000001</v>
      </c>
      <c r="D63" s="8">
        <f t="shared" ref="D63:I63" si="23">+D42</f>
        <v>747295.70010000002</v>
      </c>
      <c r="E63" s="8">
        <f t="shared" si="23"/>
        <v>1447328.1836000001</v>
      </c>
      <c r="F63" s="8">
        <f t="shared" si="23"/>
        <v>2183795.1647500005</v>
      </c>
      <c r="G63" s="8">
        <f t="shared" si="23"/>
        <v>2910957.4539999999</v>
      </c>
      <c r="H63" s="8">
        <f t="shared" si="23"/>
        <v>3561553.2449499997</v>
      </c>
      <c r="I63" s="8">
        <f t="shared" si="23"/>
        <v>4200204.3986499999</v>
      </c>
    </row>
    <row r="64" spans="1:10" x14ac:dyDescent="0.25">
      <c r="A64" s="7" t="s">
        <v>15</v>
      </c>
      <c r="C64" s="35">
        <f>+Total!C66*Total!I25</f>
        <v>122756.07142289446</v>
      </c>
      <c r="D64" s="35">
        <f>+C64</f>
        <v>122756.07142289446</v>
      </c>
      <c r="E64" s="35">
        <f>+C64</f>
        <v>122756.07142289446</v>
      </c>
      <c r="F64" s="36">
        <v>0</v>
      </c>
      <c r="G64" s="36">
        <v>0</v>
      </c>
      <c r="H64" s="36">
        <v>0</v>
      </c>
      <c r="I64" s="36">
        <v>0</v>
      </c>
    </row>
    <row r="65" spans="1:9" x14ac:dyDescent="0.25">
      <c r="C65" s="8">
        <f>SUM(C62:C64)</f>
        <v>324689.30567289446</v>
      </c>
      <c r="D65" s="8">
        <f>SUM(D62:D64)</f>
        <v>1088044.9274228944</v>
      </c>
      <c r="E65" s="8">
        <f t="shared" ref="E65:I65" si="24">SUM(E62:E64)</f>
        <v>2427620.2485190947</v>
      </c>
      <c r="F65" s="8">
        <f t="shared" si="24"/>
        <v>3850437.0736294007</v>
      </c>
      <c r="G65" s="8">
        <f t="shared" si="24"/>
        <v>5385277.0634889994</v>
      </c>
      <c r="H65" s="8">
        <f t="shared" si="24"/>
        <v>6788044.6377339996</v>
      </c>
      <c r="I65" s="8">
        <f t="shared" si="24"/>
        <v>8022303.7245423999</v>
      </c>
    </row>
    <row r="66" spans="1:9" x14ac:dyDescent="0.25">
      <c r="A66" s="7" t="s">
        <v>11</v>
      </c>
      <c r="C66" s="31">
        <v>1.0199400000000001</v>
      </c>
      <c r="D66" s="31">
        <v>1.0199400000000001</v>
      </c>
      <c r="E66" s="31">
        <v>1.0199400000000001</v>
      </c>
      <c r="F66" s="31">
        <v>1.0199400000000001</v>
      </c>
      <c r="G66" s="31">
        <v>1.0199400000000001</v>
      </c>
      <c r="H66" s="31">
        <v>1.0199400000000001</v>
      </c>
      <c r="I66" s="31">
        <v>1.0199400000000001</v>
      </c>
    </row>
    <row r="67" spans="1:9" x14ac:dyDescent="0.25">
      <c r="A67" s="7" t="s">
        <v>12</v>
      </c>
      <c r="C67" s="3">
        <f>+C65*C66</f>
        <v>331163.61042801198</v>
      </c>
      <c r="D67" s="3">
        <f t="shared" ref="D67:I67" si="25">+D65*D66</f>
        <v>1109740.5432757069</v>
      </c>
      <c r="E67" s="3">
        <f t="shared" si="25"/>
        <v>2476026.9962745653</v>
      </c>
      <c r="F67" s="3">
        <f t="shared" si="25"/>
        <v>3927214.788877571</v>
      </c>
      <c r="G67" s="3">
        <f t="shared" si="25"/>
        <v>5492659.48813497</v>
      </c>
      <c r="H67" s="3">
        <f t="shared" si="25"/>
        <v>6923398.2478104159</v>
      </c>
      <c r="I67" s="3">
        <f t="shared" si="25"/>
        <v>8182268.4608097756</v>
      </c>
    </row>
    <row r="69" spans="1:9" x14ac:dyDescent="0.25">
      <c r="A69" s="7" t="s">
        <v>16</v>
      </c>
      <c r="C69" s="8">
        <f>+C48+C67</f>
        <v>1877563.706004977</v>
      </c>
      <c r="D69" s="8">
        <f t="shared" ref="D69:I69" si="26">+D48+D67</f>
        <v>5168809.2727474775</v>
      </c>
      <c r="E69" s="8">
        <f t="shared" si="26"/>
        <v>9188151.7049473654</v>
      </c>
      <c r="F69" s="8">
        <f t="shared" si="26"/>
        <v>13457610.548453346</v>
      </c>
      <c r="G69" s="8">
        <f t="shared" si="26"/>
        <v>17552614.764025107</v>
      </c>
      <c r="H69" s="8">
        <f t="shared" si="26"/>
        <v>21125658.060163327</v>
      </c>
      <c r="I69" s="8">
        <f t="shared" si="26"/>
        <v>24560817.157985952</v>
      </c>
    </row>
    <row r="70" spans="1:9" x14ac:dyDescent="0.25">
      <c r="A70" s="7" t="s">
        <v>19</v>
      </c>
      <c r="C70" s="8">
        <f>+C69-B69</f>
        <v>1877563.706004977</v>
      </c>
      <c r="D70" s="8">
        <f t="shared" ref="D70:I70" si="27">+D69-C69</f>
        <v>3291245.5667425003</v>
      </c>
      <c r="E70" s="8">
        <f t="shared" si="27"/>
        <v>4019342.4321998879</v>
      </c>
      <c r="F70" s="8">
        <f t="shared" si="27"/>
        <v>4269458.8435059804</v>
      </c>
      <c r="G70" s="8">
        <f t="shared" si="27"/>
        <v>4095004.2155717611</v>
      </c>
      <c r="H70" s="8">
        <f t="shared" si="27"/>
        <v>3573043.2961382195</v>
      </c>
      <c r="I70" s="8">
        <f t="shared" si="27"/>
        <v>3435159.0978226252</v>
      </c>
    </row>
    <row r="71" spans="1:9" x14ac:dyDescent="0.25">
      <c r="A71" s="7"/>
      <c r="C71" s="8"/>
      <c r="D71" s="8"/>
      <c r="E71" s="8"/>
      <c r="F71" s="8"/>
      <c r="G71" s="8"/>
      <c r="H71" s="8"/>
      <c r="I71" s="8"/>
    </row>
    <row r="72" spans="1:9" x14ac:dyDescent="0.25">
      <c r="A72" s="7" t="s">
        <v>28</v>
      </c>
      <c r="C72" s="8">
        <f>+C69*0.8</f>
        <v>1502050.9648039816</v>
      </c>
      <c r="D72" s="8">
        <f t="shared" ref="D72:I72" si="28">+D69*0.8</f>
        <v>4135047.418197982</v>
      </c>
      <c r="E72" s="8">
        <f t="shared" si="28"/>
        <v>7350521.3639578931</v>
      </c>
      <c r="F72" s="8">
        <f t="shared" si="28"/>
        <v>10766088.438762678</v>
      </c>
      <c r="G72" s="8">
        <f t="shared" si="28"/>
        <v>14042091.811220087</v>
      </c>
      <c r="H72" s="8">
        <f t="shared" si="28"/>
        <v>16900526.448130663</v>
      </c>
      <c r="I72" s="8">
        <f t="shared" si="28"/>
        <v>19648653.726388764</v>
      </c>
    </row>
    <row r="73" spans="1:9" x14ac:dyDescent="0.25">
      <c r="A73" s="7" t="s">
        <v>19</v>
      </c>
      <c r="C73" s="8">
        <f>+C72-B72</f>
        <v>1502050.9648039816</v>
      </c>
      <c r="D73" s="8">
        <f t="shared" ref="D73:I73" si="29">+D72-C72</f>
        <v>2632996.4533940004</v>
      </c>
      <c r="E73" s="8">
        <f t="shared" si="29"/>
        <v>3215473.9457599111</v>
      </c>
      <c r="F73" s="8">
        <f t="shared" si="29"/>
        <v>3415567.0748047847</v>
      </c>
      <c r="G73" s="8">
        <f t="shared" si="29"/>
        <v>3276003.3724574093</v>
      </c>
      <c r="H73" s="8">
        <f t="shared" si="29"/>
        <v>2858434.6369105764</v>
      </c>
      <c r="I73" s="8">
        <f t="shared" si="29"/>
        <v>2748127.2782581002</v>
      </c>
    </row>
    <row r="74" spans="1:9" x14ac:dyDescent="0.25">
      <c r="A74" s="7"/>
      <c r="D74" s="8"/>
    </row>
    <row r="75" spans="1:9" x14ac:dyDescent="0.25">
      <c r="A75" s="27"/>
      <c r="B75" t="s">
        <v>32</v>
      </c>
    </row>
    <row r="76" spans="1:9" x14ac:dyDescent="0.25">
      <c r="A76" s="28"/>
      <c r="B76" t="s">
        <v>33</v>
      </c>
    </row>
    <row r="77" spans="1:9" x14ac:dyDescent="0.25">
      <c r="A77" s="29"/>
      <c r="B77" t="s">
        <v>34</v>
      </c>
    </row>
    <row r="78" spans="1:9" x14ac:dyDescent="0.25">
      <c r="A78" s="32"/>
      <c r="B78" t="s">
        <v>36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8"/>
  <sheetViews>
    <sheetView topLeftCell="A37" zoomScale="90" zoomScaleNormal="90" workbookViewId="0">
      <selection activeCell="C45" sqref="C45:I45"/>
    </sheetView>
  </sheetViews>
  <sheetFormatPr defaultRowHeight="15" x14ac:dyDescent="0.25"/>
  <cols>
    <col min="1" max="1" width="39.42578125" customWidth="1"/>
    <col min="2" max="2" width="17" bestFit="1" customWidth="1"/>
    <col min="3" max="9" width="16.28515625" bestFit="1" customWidth="1"/>
    <col min="10" max="10" width="18" bestFit="1" customWidth="1"/>
    <col min="12" max="12" width="15.28515625" bestFit="1" customWidth="1"/>
    <col min="13" max="13" width="16.140625" bestFit="1" customWidth="1"/>
  </cols>
  <sheetData>
    <row r="1" spans="1:10" x14ac:dyDescent="0.25"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10" x14ac:dyDescent="0.25">
      <c r="A2" s="2" t="s">
        <v>21</v>
      </c>
      <c r="B2" s="2" t="s">
        <v>20</v>
      </c>
      <c r="C2" s="2">
        <v>2020</v>
      </c>
      <c r="D2" s="2">
        <v>2021</v>
      </c>
      <c r="E2" s="2">
        <v>2022</v>
      </c>
      <c r="F2" s="2">
        <v>2023</v>
      </c>
      <c r="G2" s="2">
        <v>2024</v>
      </c>
      <c r="H2" s="2">
        <v>2025</v>
      </c>
      <c r="I2" s="2">
        <v>2026</v>
      </c>
      <c r="J2" s="2" t="s">
        <v>7</v>
      </c>
    </row>
    <row r="4" spans="1:10" x14ac:dyDescent="0.25">
      <c r="A4" s="7" t="s">
        <v>22</v>
      </c>
      <c r="C4" s="3"/>
      <c r="D4" s="3"/>
      <c r="E4" s="3"/>
      <c r="F4" s="3"/>
      <c r="G4" s="3"/>
      <c r="H4" s="3"/>
      <c r="I4" s="3"/>
      <c r="J4" s="3"/>
    </row>
    <row r="5" spans="1:10" x14ac:dyDescent="0.25">
      <c r="A5" s="4">
        <v>352</v>
      </c>
      <c r="B5" s="5">
        <v>2.4E-2</v>
      </c>
      <c r="C5" s="12"/>
      <c r="D5" s="12"/>
      <c r="E5" s="12"/>
      <c r="F5" s="12"/>
      <c r="G5" s="12"/>
      <c r="H5" s="12"/>
      <c r="I5" s="12"/>
      <c r="J5" s="3">
        <f t="shared" ref="J5:J15" si="0">SUM(C5:I5)</f>
        <v>0</v>
      </c>
    </row>
    <row r="6" spans="1:10" x14ac:dyDescent="0.25">
      <c r="A6" s="4">
        <v>353</v>
      </c>
      <c r="B6" s="5">
        <v>2.53E-2</v>
      </c>
      <c r="C6" s="12"/>
      <c r="D6" s="12"/>
      <c r="E6" s="12"/>
      <c r="F6" s="12"/>
      <c r="G6" s="12"/>
      <c r="H6" s="12"/>
      <c r="I6" s="12"/>
      <c r="J6" s="3">
        <f t="shared" si="0"/>
        <v>0</v>
      </c>
    </row>
    <row r="7" spans="1:10" x14ac:dyDescent="0.25">
      <c r="A7" s="4">
        <v>354</v>
      </c>
      <c r="B7" s="5">
        <v>1.37E-2</v>
      </c>
      <c r="C7" s="12"/>
      <c r="D7" s="12"/>
      <c r="E7" s="12"/>
      <c r="F7" s="12"/>
      <c r="G7" s="12"/>
      <c r="H7" s="12"/>
      <c r="I7" s="12"/>
      <c r="J7" s="3">
        <f t="shared" si="0"/>
        <v>0</v>
      </c>
    </row>
    <row r="8" spans="1:10" x14ac:dyDescent="0.25">
      <c r="A8" s="4">
        <v>356</v>
      </c>
      <c r="B8" s="5">
        <v>1.2E-2</v>
      </c>
      <c r="C8" s="12"/>
      <c r="D8" s="12"/>
      <c r="E8" s="12"/>
      <c r="F8" s="12"/>
      <c r="G8" s="12"/>
      <c r="H8" s="12"/>
      <c r="I8" s="12"/>
      <c r="J8" s="3">
        <f t="shared" si="0"/>
        <v>0</v>
      </c>
    </row>
    <row r="9" spans="1:10" x14ac:dyDescent="0.25">
      <c r="A9" s="4">
        <v>362</v>
      </c>
      <c r="B9" s="5">
        <v>1.61E-2</v>
      </c>
      <c r="C9" s="12">
        <f>+Total!C8</f>
        <v>14464491</v>
      </c>
      <c r="D9" s="12">
        <f>+Total!D8</f>
        <v>18238306</v>
      </c>
      <c r="E9" s="12">
        <f>+Total!E8</f>
        <v>38188065</v>
      </c>
      <c r="F9" s="12">
        <f>+Total!F8</f>
        <v>49360077</v>
      </c>
      <c r="G9" s="12">
        <f>+Total!G8</f>
        <v>24862471</v>
      </c>
      <c r="H9" s="12">
        <f>+Total!H8</f>
        <v>46056450</v>
      </c>
      <c r="I9" s="12">
        <f>+Total!I8</f>
        <v>32554912</v>
      </c>
      <c r="J9" s="3">
        <f t="shared" si="0"/>
        <v>223724772</v>
      </c>
    </row>
    <row r="10" spans="1:10" x14ac:dyDescent="0.25">
      <c r="A10" s="4">
        <v>364</v>
      </c>
      <c r="B10" s="5">
        <v>2.06E-2</v>
      </c>
      <c r="C10" s="12">
        <f>+Total!C9</f>
        <v>38840307</v>
      </c>
      <c r="D10" s="12">
        <f>+Total!D9</f>
        <v>34045377</v>
      </c>
      <c r="E10" s="12">
        <f>+Total!E9</f>
        <v>48575575</v>
      </c>
      <c r="F10" s="12">
        <f>+Total!F9</f>
        <v>51532990</v>
      </c>
      <c r="G10" s="12">
        <f>+Total!G9</f>
        <v>45186799</v>
      </c>
      <c r="H10" s="12">
        <f>+Total!H9</f>
        <v>50911206</v>
      </c>
      <c r="I10" s="12">
        <f>+Total!I9</f>
        <v>46089921</v>
      </c>
      <c r="J10" s="3">
        <f t="shared" si="0"/>
        <v>315182175</v>
      </c>
    </row>
    <row r="11" spans="1:10" x14ac:dyDescent="0.25">
      <c r="A11" s="4">
        <v>365</v>
      </c>
      <c r="B11" s="5">
        <v>2.35E-2</v>
      </c>
      <c r="C11" s="12">
        <f>+Total!C10</f>
        <v>28751270</v>
      </c>
      <c r="D11" s="12">
        <f>+Total!D10</f>
        <v>27770545</v>
      </c>
      <c r="E11" s="12">
        <f>+Total!E10</f>
        <v>26261619</v>
      </c>
      <c r="F11" s="12">
        <f>+Total!F10</f>
        <v>27341367</v>
      </c>
      <c r="G11" s="12">
        <f>+Total!G10</f>
        <v>25828401</v>
      </c>
      <c r="H11" s="12">
        <f>+Total!H10</f>
        <v>27691011</v>
      </c>
      <c r="I11" s="12">
        <f>+Total!I10</f>
        <v>26614313</v>
      </c>
      <c r="J11" s="3">
        <f t="shared" si="0"/>
        <v>190258526</v>
      </c>
    </row>
    <row r="12" spans="1:10" x14ac:dyDescent="0.25">
      <c r="A12" s="4">
        <v>366</v>
      </c>
      <c r="B12" s="5">
        <v>2.6200000000000001E-2</v>
      </c>
      <c r="C12" s="12">
        <f>+Total!C11</f>
        <v>2250626</v>
      </c>
      <c r="D12" s="12">
        <f>+Total!D11</f>
        <v>2346455</v>
      </c>
      <c r="E12" s="12">
        <f>+Total!E11</f>
        <v>2405220</v>
      </c>
      <c r="F12" s="12">
        <f>+Total!F11</f>
        <v>2690012</v>
      </c>
      <c r="G12" s="12">
        <f>+Total!G11</f>
        <v>1809774</v>
      </c>
      <c r="H12" s="12">
        <f>+Total!H11</f>
        <v>2715591</v>
      </c>
      <c r="I12" s="12">
        <f>+Total!I11</f>
        <v>2769903</v>
      </c>
      <c r="J12" s="3">
        <f t="shared" si="0"/>
        <v>16987581</v>
      </c>
    </row>
    <row r="13" spans="1:10" x14ac:dyDescent="0.25">
      <c r="A13" s="4">
        <v>367</v>
      </c>
      <c r="B13" s="5">
        <v>2.5499999999999998E-2</v>
      </c>
      <c r="C13" s="12">
        <f>+Total!C12</f>
        <v>13966103</v>
      </c>
      <c r="D13" s="12">
        <f>+Total!D12</f>
        <v>13412619</v>
      </c>
      <c r="E13" s="12">
        <f>+Total!E12</f>
        <v>14443018</v>
      </c>
      <c r="F13" s="12">
        <f>+Total!F12</f>
        <v>14226294</v>
      </c>
      <c r="G13" s="12">
        <f>+Total!G12</f>
        <v>14093313</v>
      </c>
      <c r="H13" s="12">
        <f>+Total!H12</f>
        <v>14938612</v>
      </c>
      <c r="I13" s="12">
        <f>+Total!I12</f>
        <v>14497783</v>
      </c>
      <c r="J13" s="3">
        <f t="shared" si="0"/>
        <v>99577742</v>
      </c>
    </row>
    <row r="14" spans="1:10" x14ac:dyDescent="0.25">
      <c r="A14" s="4">
        <v>368</v>
      </c>
      <c r="B14" s="5">
        <v>6.4999999999999997E-3</v>
      </c>
      <c r="C14" s="12">
        <f>+Total!C13</f>
        <v>12444690</v>
      </c>
      <c r="D14" s="12">
        <f>+Total!D13</f>
        <v>12199537</v>
      </c>
      <c r="E14" s="12">
        <f>+Total!E13</f>
        <v>16064537</v>
      </c>
      <c r="F14" s="12">
        <f>+Total!F13</f>
        <v>17391656</v>
      </c>
      <c r="G14" s="12">
        <f>+Total!G13</f>
        <v>15317570</v>
      </c>
      <c r="H14" s="12">
        <f>+Total!H13</f>
        <v>16878734</v>
      </c>
      <c r="I14" s="12">
        <f>+Total!I13</f>
        <v>15583312</v>
      </c>
      <c r="J14" s="3">
        <f t="shared" si="0"/>
        <v>105880036</v>
      </c>
    </row>
    <row r="15" spans="1:10" x14ac:dyDescent="0.25">
      <c r="A15" s="4">
        <v>370.01</v>
      </c>
      <c r="B15" s="5">
        <v>0.19350000000000001</v>
      </c>
      <c r="C15" s="13">
        <f>+Total!C14</f>
        <v>10735674</v>
      </c>
      <c r="D15" s="13">
        <f>+Total!D14</f>
        <v>10950388</v>
      </c>
      <c r="E15" s="13">
        <f>+Total!E14</f>
        <v>11169395</v>
      </c>
      <c r="F15" s="13">
        <f>+Total!F14</f>
        <v>11392783</v>
      </c>
      <c r="G15" s="13">
        <f>+Total!G14</f>
        <v>11620639</v>
      </c>
      <c r="H15" s="13">
        <f>+Total!H14</f>
        <v>0</v>
      </c>
      <c r="I15" s="13">
        <f>+Total!I14</f>
        <v>0</v>
      </c>
      <c r="J15" s="6">
        <f t="shared" si="0"/>
        <v>55868879</v>
      </c>
    </row>
    <row r="16" spans="1:10" x14ac:dyDescent="0.25">
      <c r="C16" s="3">
        <f t="shared" ref="C16:J16" si="1">SUM(C5:C15)</f>
        <v>121453161</v>
      </c>
      <c r="D16" s="3">
        <f t="shared" si="1"/>
        <v>118963227</v>
      </c>
      <c r="E16" s="3">
        <f t="shared" si="1"/>
        <v>157107429</v>
      </c>
      <c r="F16" s="3">
        <f t="shared" si="1"/>
        <v>173935179</v>
      </c>
      <c r="G16" s="3">
        <f t="shared" si="1"/>
        <v>138718967</v>
      </c>
      <c r="H16" s="3">
        <f t="shared" si="1"/>
        <v>159191604</v>
      </c>
      <c r="I16" s="3">
        <f t="shared" si="1"/>
        <v>138110144</v>
      </c>
      <c r="J16" s="3">
        <f t="shared" si="1"/>
        <v>1007479711</v>
      </c>
    </row>
    <row r="18" spans="1:13" x14ac:dyDescent="0.25">
      <c r="A18" s="7" t="s">
        <v>37</v>
      </c>
      <c r="C18" s="3">
        <f t="shared" ref="C18:J18" si="2">SUM(C5:C8)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  <c r="H18" s="3">
        <f t="shared" si="2"/>
        <v>0</v>
      </c>
      <c r="I18" s="3">
        <f t="shared" si="2"/>
        <v>0</v>
      </c>
      <c r="J18" s="3">
        <f t="shared" si="2"/>
        <v>0</v>
      </c>
      <c r="L18" s="8"/>
      <c r="M18" s="8"/>
    </row>
    <row r="19" spans="1:13" x14ac:dyDescent="0.25">
      <c r="A19" s="7" t="s">
        <v>26</v>
      </c>
      <c r="C19" s="6">
        <f t="shared" ref="C19:J19" si="3">SUM(C9:C15)</f>
        <v>121453161</v>
      </c>
      <c r="D19" s="6">
        <f t="shared" si="3"/>
        <v>118963227</v>
      </c>
      <c r="E19" s="6">
        <f t="shared" si="3"/>
        <v>157107429</v>
      </c>
      <c r="F19" s="6">
        <f t="shared" si="3"/>
        <v>173935179</v>
      </c>
      <c r="G19" s="6">
        <f t="shared" si="3"/>
        <v>138718967</v>
      </c>
      <c r="H19" s="6">
        <f t="shared" si="3"/>
        <v>159191604</v>
      </c>
      <c r="I19" s="6">
        <f t="shared" si="3"/>
        <v>138110144</v>
      </c>
      <c r="J19" s="6">
        <f t="shared" si="3"/>
        <v>1007479711</v>
      </c>
      <c r="L19" s="8"/>
      <c r="M19" s="8"/>
    </row>
    <row r="20" spans="1:13" x14ac:dyDescent="0.25">
      <c r="A20" s="7"/>
      <c r="C20" s="3">
        <f>SUM(C18:C19)</f>
        <v>121453161</v>
      </c>
      <c r="D20" s="3">
        <f t="shared" ref="D20:J20" si="4">SUM(D18:D19)</f>
        <v>118963227</v>
      </c>
      <c r="E20" s="3">
        <f t="shared" si="4"/>
        <v>157107429</v>
      </c>
      <c r="F20" s="3">
        <f t="shared" si="4"/>
        <v>173935179</v>
      </c>
      <c r="G20" s="3">
        <f t="shared" si="4"/>
        <v>138718967</v>
      </c>
      <c r="H20" s="3">
        <f t="shared" si="4"/>
        <v>159191604</v>
      </c>
      <c r="I20" s="3">
        <f t="shared" si="4"/>
        <v>138110144</v>
      </c>
      <c r="J20" s="3">
        <f t="shared" si="4"/>
        <v>1007479711</v>
      </c>
      <c r="L20" s="8"/>
      <c r="M20" s="8"/>
    </row>
    <row r="21" spans="1:13" x14ac:dyDescent="0.25">
      <c r="A21" s="7"/>
      <c r="C21" s="3"/>
      <c r="D21" s="3"/>
      <c r="E21" s="3"/>
      <c r="F21" s="3"/>
      <c r="G21" s="3"/>
      <c r="H21" s="3"/>
      <c r="I21" s="3"/>
      <c r="J21" s="3"/>
      <c r="L21" s="8"/>
      <c r="M21" s="8"/>
    </row>
    <row r="22" spans="1:13" x14ac:dyDescent="0.25">
      <c r="A22" s="7" t="s">
        <v>38</v>
      </c>
      <c r="C22" s="3">
        <f>+C18</f>
        <v>0</v>
      </c>
      <c r="D22" s="3">
        <f>+C22+D18</f>
        <v>0</v>
      </c>
      <c r="E22" s="3">
        <f t="shared" ref="E22:I23" si="5">+D22+E18</f>
        <v>0</v>
      </c>
      <c r="F22" s="3">
        <f t="shared" si="5"/>
        <v>0</v>
      </c>
      <c r="G22" s="3">
        <f t="shared" si="5"/>
        <v>0</v>
      </c>
      <c r="H22" s="3">
        <f t="shared" si="5"/>
        <v>0</v>
      </c>
      <c r="I22" s="3">
        <f t="shared" si="5"/>
        <v>0</v>
      </c>
      <c r="J22" s="3"/>
      <c r="L22" s="8"/>
      <c r="M22" s="8"/>
    </row>
    <row r="23" spans="1:13" x14ac:dyDescent="0.25">
      <c r="A23" s="7" t="s">
        <v>27</v>
      </c>
      <c r="C23" s="6">
        <f>+C19</f>
        <v>121453161</v>
      </c>
      <c r="D23" s="6">
        <f>+C23+D19</f>
        <v>240416388</v>
      </c>
      <c r="E23" s="6">
        <f t="shared" si="5"/>
        <v>397523817</v>
      </c>
      <c r="F23" s="6">
        <f t="shared" si="5"/>
        <v>571458996</v>
      </c>
      <c r="G23" s="6">
        <f t="shared" si="5"/>
        <v>710177963</v>
      </c>
      <c r="H23" s="6">
        <f t="shared" si="5"/>
        <v>869369567</v>
      </c>
      <c r="I23" s="6">
        <f t="shared" si="5"/>
        <v>1007479711</v>
      </c>
      <c r="J23" s="3"/>
      <c r="L23" s="8"/>
      <c r="M23" s="8"/>
    </row>
    <row r="24" spans="1:13" x14ac:dyDescent="0.25">
      <c r="A24" s="7"/>
      <c r="C24" s="3">
        <f>SUM(C22:C23)</f>
        <v>121453161</v>
      </c>
      <c r="D24" s="3">
        <f t="shared" ref="D24:I24" si="6">SUM(D22:D23)</f>
        <v>240416388</v>
      </c>
      <c r="E24" s="3">
        <f t="shared" si="6"/>
        <v>397523817</v>
      </c>
      <c r="F24" s="3">
        <f t="shared" si="6"/>
        <v>571458996</v>
      </c>
      <c r="G24" s="3">
        <f t="shared" si="6"/>
        <v>710177963</v>
      </c>
      <c r="H24" s="3">
        <f t="shared" si="6"/>
        <v>869369567</v>
      </c>
      <c r="I24" s="3">
        <f t="shared" si="6"/>
        <v>1007479711</v>
      </c>
      <c r="J24" s="3"/>
      <c r="L24" s="8"/>
      <c r="M24" s="8"/>
    </row>
    <row r="25" spans="1:13" x14ac:dyDescent="0.25">
      <c r="A25" s="7"/>
      <c r="C25" s="3"/>
      <c r="D25" s="3"/>
      <c r="E25" s="3"/>
      <c r="F25" s="3"/>
      <c r="G25" s="3"/>
      <c r="H25" s="3"/>
      <c r="I25" s="3"/>
      <c r="J25" s="3"/>
      <c r="L25" s="8"/>
      <c r="M25" s="8"/>
    </row>
    <row r="26" spans="1:13" x14ac:dyDescent="0.25">
      <c r="A26" s="7" t="s">
        <v>38</v>
      </c>
      <c r="C26" s="9">
        <f>+C22/C24</f>
        <v>0</v>
      </c>
      <c r="D26" s="9">
        <f t="shared" ref="D26:I26" si="7">+D22/D24</f>
        <v>0</v>
      </c>
      <c r="E26" s="9">
        <f t="shared" si="7"/>
        <v>0</v>
      </c>
      <c r="F26" s="9">
        <f t="shared" si="7"/>
        <v>0</v>
      </c>
      <c r="G26" s="9">
        <f t="shared" si="7"/>
        <v>0</v>
      </c>
      <c r="H26" s="9">
        <f t="shared" si="7"/>
        <v>0</v>
      </c>
      <c r="I26" s="9">
        <f t="shared" si="7"/>
        <v>0</v>
      </c>
      <c r="J26" s="3"/>
      <c r="L26" s="8"/>
      <c r="M26" s="8"/>
    </row>
    <row r="27" spans="1:13" x14ac:dyDescent="0.25">
      <c r="A27" s="7" t="s">
        <v>27</v>
      </c>
      <c r="C27" s="26">
        <f>+C23/C24</f>
        <v>1</v>
      </c>
      <c r="D27" s="26">
        <f t="shared" ref="D27:I27" si="8">+D23/D24</f>
        <v>1</v>
      </c>
      <c r="E27" s="26">
        <f t="shared" si="8"/>
        <v>1</v>
      </c>
      <c r="F27" s="26">
        <f t="shared" si="8"/>
        <v>1</v>
      </c>
      <c r="G27" s="26">
        <f t="shared" si="8"/>
        <v>1</v>
      </c>
      <c r="H27" s="26">
        <f t="shared" si="8"/>
        <v>1</v>
      </c>
      <c r="I27" s="26">
        <f t="shared" si="8"/>
        <v>1</v>
      </c>
      <c r="J27" s="3"/>
      <c r="L27" s="8"/>
      <c r="M27" s="8"/>
    </row>
    <row r="28" spans="1:13" x14ac:dyDescent="0.25">
      <c r="A28" s="7"/>
      <c r="C28" s="9">
        <f>SUM(C26:C27)</f>
        <v>1</v>
      </c>
      <c r="D28" s="9">
        <f t="shared" ref="D28:I28" si="9">SUM(D26:D27)</f>
        <v>1</v>
      </c>
      <c r="E28" s="9">
        <f t="shared" si="9"/>
        <v>1</v>
      </c>
      <c r="F28" s="9">
        <f t="shared" si="9"/>
        <v>1</v>
      </c>
      <c r="G28" s="9">
        <f t="shared" si="9"/>
        <v>1</v>
      </c>
      <c r="H28" s="9">
        <f t="shared" si="9"/>
        <v>1</v>
      </c>
      <c r="I28" s="9">
        <f t="shared" si="9"/>
        <v>1</v>
      </c>
      <c r="J28" s="3"/>
      <c r="L28" s="8"/>
      <c r="M28" s="8"/>
    </row>
    <row r="30" spans="1:13" x14ac:dyDescent="0.25">
      <c r="A30" s="7" t="s">
        <v>8</v>
      </c>
    </row>
    <row r="31" spans="1:13" x14ac:dyDescent="0.25">
      <c r="A31" s="4">
        <v>352</v>
      </c>
      <c r="B31" s="5">
        <v>2.4E-2</v>
      </c>
      <c r="C31" s="3">
        <f t="shared" ref="C31:C41" si="10">+C5*$B5*0.5</f>
        <v>0</v>
      </c>
      <c r="D31" s="3">
        <f>+D5*$B5*0.5+SUM($C5:C5)*$B5</f>
        <v>0</v>
      </c>
      <c r="E31" s="3">
        <f>+E5*$B5*0.5+SUM($C5:D5)*$B5</f>
        <v>0</v>
      </c>
      <c r="F31" s="3">
        <f>+F5*$B5*0.5+SUM($C5:E5)*$B5</f>
        <v>0</v>
      </c>
      <c r="G31" s="3">
        <f>+G5*$B5*0.5+SUM($C5:F5)*$B5</f>
        <v>0</v>
      </c>
      <c r="H31" s="3">
        <f>+H5*$B5*0.5+SUM($C5:G5)*$B5</f>
        <v>0</v>
      </c>
      <c r="I31" s="3">
        <f>+I5*$B5*0.5+SUM($C5:H5)*$B5</f>
        <v>0</v>
      </c>
      <c r="J31" s="3">
        <f t="shared" ref="J31:J41" si="11">SUM(C31:I31)</f>
        <v>0</v>
      </c>
    </row>
    <row r="32" spans="1:13" x14ac:dyDescent="0.25">
      <c r="A32" s="4">
        <v>353</v>
      </c>
      <c r="B32" s="5">
        <v>2.53E-2</v>
      </c>
      <c r="C32" s="3">
        <f t="shared" si="10"/>
        <v>0</v>
      </c>
      <c r="D32" s="3">
        <f>+D6*$B6*0.5+SUM($C6:C6)*$B6</f>
        <v>0</v>
      </c>
      <c r="E32" s="3">
        <f>+E6*$B6*0.5+SUM($C6:D6)*$B6</f>
        <v>0</v>
      </c>
      <c r="F32" s="3">
        <f>+F6*$B6*0.5+SUM($C6:E6)*$B6</f>
        <v>0</v>
      </c>
      <c r="G32" s="3">
        <f>+G6*$B6*0.5+SUM($C6:F6)*$B6</f>
        <v>0</v>
      </c>
      <c r="H32" s="3">
        <f>+H6*$B6*0.5+SUM($C6:G6)*$B6</f>
        <v>0</v>
      </c>
      <c r="I32" s="3">
        <f>+I6*$B6*0.5+SUM($C6:H6)*$B6</f>
        <v>0</v>
      </c>
      <c r="J32" s="3">
        <f t="shared" si="11"/>
        <v>0</v>
      </c>
    </row>
    <row r="33" spans="1:13" x14ac:dyDescent="0.25">
      <c r="A33" s="4">
        <v>354</v>
      </c>
      <c r="B33" s="5">
        <v>1.37E-2</v>
      </c>
      <c r="C33" s="3">
        <f t="shared" si="10"/>
        <v>0</v>
      </c>
      <c r="D33" s="3">
        <f>+D7*$B7*0.5+SUM($C7:C7)*$B7</f>
        <v>0</v>
      </c>
      <c r="E33" s="3">
        <f>+E7*$B7*0.5+SUM($C7:D7)*$B7</f>
        <v>0</v>
      </c>
      <c r="F33" s="3">
        <f>+F7*$B7*0.5+SUM($C7:E7)*$B7</f>
        <v>0</v>
      </c>
      <c r="G33" s="3">
        <f>+G7*$B7*0.5+SUM($C7:F7)*$B7</f>
        <v>0</v>
      </c>
      <c r="H33" s="3">
        <f>+H7*$B7*0.5+SUM($C7:G7)*$B7</f>
        <v>0</v>
      </c>
      <c r="I33" s="3">
        <f>+I7*$B7*0.5+SUM($C7:H7)*$B7</f>
        <v>0</v>
      </c>
      <c r="J33" s="3">
        <f t="shared" si="11"/>
        <v>0</v>
      </c>
    </row>
    <row r="34" spans="1:13" x14ac:dyDescent="0.25">
      <c r="A34" s="4">
        <v>356</v>
      </c>
      <c r="B34" s="5">
        <v>1.2E-2</v>
      </c>
      <c r="C34" s="3">
        <f t="shared" si="10"/>
        <v>0</v>
      </c>
      <c r="D34" s="3">
        <f>+D8*$B8*0.5+SUM($C8:C8)*$B8</f>
        <v>0</v>
      </c>
      <c r="E34" s="3">
        <f>+E8*$B8*0.5+SUM($C8:D8)*$B8</f>
        <v>0</v>
      </c>
      <c r="F34" s="3">
        <f>+F8*$B8*0.5+SUM($C8:E8)*$B8</f>
        <v>0</v>
      </c>
      <c r="G34" s="3">
        <f>+G8*$B8*0.5+SUM($C8:F8)*$B8</f>
        <v>0</v>
      </c>
      <c r="H34" s="3">
        <f>+H8*$B8*0.5+SUM($C8:G8)*$B8</f>
        <v>0</v>
      </c>
      <c r="I34" s="3">
        <f>+I8*$B8*0.5+SUM($C8:H8)*$B8</f>
        <v>0</v>
      </c>
      <c r="J34" s="3">
        <f t="shared" si="11"/>
        <v>0</v>
      </c>
    </row>
    <row r="35" spans="1:13" x14ac:dyDescent="0.25">
      <c r="A35" s="4">
        <v>362</v>
      </c>
      <c r="B35" s="5">
        <v>1.61E-2</v>
      </c>
      <c r="C35" s="3">
        <f t="shared" si="10"/>
        <v>116439.15255</v>
      </c>
      <c r="D35" s="3">
        <f>+D9*$B9*0.5+SUM($C9:C9)*$B9</f>
        <v>379696.66839999997</v>
      </c>
      <c r="E35" s="3">
        <f>+E9*$B9*0.5+SUM($C9:D9)*$B9</f>
        <v>833928.95494999993</v>
      </c>
      <c r="F35" s="3">
        <f>+F9*$B9*0.5+SUM($C9:E9)*$B9</f>
        <v>1538691.4980500001</v>
      </c>
      <c r="G35" s="3">
        <f>+G9*$B9*0.5+SUM($C9:F9)*$B9</f>
        <v>2136183.0094499998</v>
      </c>
      <c r="H35" s="3">
        <f>+H9*$B9*0.5+SUM($C9:G9)*$B9</f>
        <v>2707080.3234999999</v>
      </c>
      <c r="I35" s="3">
        <f>+I9*$B9*0.5+SUM($C9:H9)*$B9</f>
        <v>3339901.7875999999</v>
      </c>
      <c r="J35" s="3">
        <f t="shared" si="11"/>
        <v>11051921.394499999</v>
      </c>
    </row>
    <row r="36" spans="1:13" x14ac:dyDescent="0.25">
      <c r="A36" s="4">
        <v>364</v>
      </c>
      <c r="B36" s="5">
        <v>2.06E-2</v>
      </c>
      <c r="C36" s="3">
        <f t="shared" si="10"/>
        <v>400055.16210000002</v>
      </c>
      <c r="D36" s="3">
        <f>+D10*$B10*0.5+SUM($C10:C10)*$B10</f>
        <v>1150777.7072999999</v>
      </c>
      <c r="E36" s="3">
        <f>+E10*$B10*0.5+SUM($C10:D10)*$B10</f>
        <v>2001773.5129</v>
      </c>
      <c r="F36" s="3">
        <f>+F10*$B10*0.5+SUM($C10:E10)*$B10</f>
        <v>3032891.7324000001</v>
      </c>
      <c r="G36" s="3">
        <f>+G10*$B10*0.5+SUM($C10:F10)*$B10</f>
        <v>4029105.5590999997</v>
      </c>
      <c r="H36" s="3">
        <f>+H10*$B10*0.5+SUM($C10:G10)*$B10</f>
        <v>5018915.0105999997</v>
      </c>
      <c r="I36" s="3">
        <f>+I10*$B10*0.5+SUM($C10:H10)*$B10</f>
        <v>6018026.6187000005</v>
      </c>
      <c r="J36" s="3">
        <f t="shared" si="11"/>
        <v>21651545.303100001</v>
      </c>
    </row>
    <row r="37" spans="1:13" x14ac:dyDescent="0.25">
      <c r="A37" s="4">
        <v>365</v>
      </c>
      <c r="B37" s="5">
        <v>2.35E-2</v>
      </c>
      <c r="C37" s="3">
        <f t="shared" si="10"/>
        <v>337827.42249999999</v>
      </c>
      <c r="D37" s="3">
        <f>+D11*$B11*0.5+SUM($C11:C11)*$B11</f>
        <v>1001958.74875</v>
      </c>
      <c r="E37" s="3">
        <f>+E11*$B11*0.5+SUM($C11:D11)*$B11</f>
        <v>1636836.6757500002</v>
      </c>
      <c r="F37" s="3">
        <f>+F11*$B11*0.5+SUM($C11:E11)*$B11</f>
        <v>2266671.76125</v>
      </c>
      <c r="G37" s="3">
        <f>+G11*$B11*0.5+SUM($C11:F11)*$B11</f>
        <v>2891416.5352499997</v>
      </c>
      <c r="H37" s="3">
        <f>+H11*$B11*0.5+SUM($C11:G11)*$B11</f>
        <v>3520269.6262499997</v>
      </c>
      <c r="I37" s="3">
        <f>+I11*$B11*0.5+SUM($C11:H11)*$B11</f>
        <v>4158357.1832499998</v>
      </c>
      <c r="J37" s="3">
        <f t="shared" si="11"/>
        <v>15813337.952999998</v>
      </c>
    </row>
    <row r="38" spans="1:13" x14ac:dyDescent="0.25">
      <c r="A38" s="4">
        <v>366</v>
      </c>
      <c r="B38" s="5">
        <v>2.6200000000000001E-2</v>
      </c>
      <c r="C38" s="3">
        <f t="shared" si="10"/>
        <v>29483.2006</v>
      </c>
      <c r="D38" s="3">
        <f>+D12*$B12*0.5+SUM($C12:C12)*$B12</f>
        <v>89704.9617</v>
      </c>
      <c r="E38" s="3">
        <f>+E12*$B12*0.5+SUM($C12:D12)*$B12</f>
        <v>151951.90420000002</v>
      </c>
      <c r="F38" s="3">
        <f>+F12*$B12*0.5+SUM($C12:E12)*$B12</f>
        <v>218699.44339999999</v>
      </c>
      <c r="G38" s="3">
        <f>+G12*$B12*0.5+SUM($C12:F12)*$B12</f>
        <v>277646.64</v>
      </c>
      <c r="H38" s="3">
        <f>+H12*$B12*0.5+SUM($C12:G12)*$B12</f>
        <v>336928.92150000005</v>
      </c>
      <c r="I38" s="3">
        <f>+I12*$B12*0.5+SUM($C12:H12)*$B12</f>
        <v>408788.89290000004</v>
      </c>
      <c r="J38" s="3">
        <f t="shared" si="11"/>
        <v>1513203.9643000003</v>
      </c>
    </row>
    <row r="39" spans="1:13" x14ac:dyDescent="0.25">
      <c r="A39" s="4">
        <v>367</v>
      </c>
      <c r="B39" s="5">
        <v>2.5499999999999998E-2</v>
      </c>
      <c r="C39" s="3">
        <f t="shared" si="10"/>
        <v>178067.81324999998</v>
      </c>
      <c r="D39" s="3">
        <f>+D13*$B13*0.5+SUM($C13:C13)*$B13</f>
        <v>527146.51874999993</v>
      </c>
      <c r="E39" s="3">
        <f>+E13*$B13*0.5+SUM($C13:D13)*$B13</f>
        <v>882305.89049999998</v>
      </c>
      <c r="F39" s="3">
        <f>+F13*$B13*0.5+SUM($C13:E13)*$B13</f>
        <v>1247839.6184999999</v>
      </c>
      <c r="G39" s="3">
        <f>+G13*$B13*0.5+SUM($C13:F13)*$B13</f>
        <v>1608914.60775</v>
      </c>
      <c r="H39" s="3">
        <f>+H13*$B13*0.5+SUM($C13:G13)*$B13</f>
        <v>1979071.6514999999</v>
      </c>
      <c r="I39" s="3">
        <f>+I13*$B13*0.5+SUM($C13:H13)*$B13</f>
        <v>2354385.68775</v>
      </c>
      <c r="J39" s="3">
        <f t="shared" si="11"/>
        <v>8777731.7880000006</v>
      </c>
    </row>
    <row r="40" spans="1:13" x14ac:dyDescent="0.25">
      <c r="A40" s="4">
        <v>368</v>
      </c>
      <c r="B40" s="5">
        <v>6.4999999999999997E-3</v>
      </c>
      <c r="C40" s="3">
        <f t="shared" si="10"/>
        <v>40445.2425</v>
      </c>
      <c r="D40" s="3">
        <f>+D14*$B14*0.5+SUM($C14:C14)*$B14</f>
        <v>120538.98024999999</v>
      </c>
      <c r="E40" s="3">
        <f>+E14*$B14*0.5+SUM($C14:D14)*$B14</f>
        <v>212397.22075000001</v>
      </c>
      <c r="F40" s="3">
        <f>+F14*$B14*0.5+SUM($C14:E14)*$B14</f>
        <v>321129.848</v>
      </c>
      <c r="G40" s="3">
        <f>+G14*$B14*0.5+SUM($C14:F14)*$B14</f>
        <v>427434.83249999996</v>
      </c>
      <c r="H40" s="3">
        <f>+H14*$B14*0.5+SUM($C14:G14)*$B14</f>
        <v>532072.82050000003</v>
      </c>
      <c r="I40" s="3">
        <f>+I14*$B14*0.5+SUM($C14:H14)*$B14</f>
        <v>637574.47</v>
      </c>
      <c r="J40" s="3">
        <f t="shared" si="11"/>
        <v>2291593.4145</v>
      </c>
    </row>
    <row r="41" spans="1:13" x14ac:dyDescent="0.25">
      <c r="A41" s="4">
        <v>370.01</v>
      </c>
      <c r="B41" s="5">
        <v>0.19350000000000001</v>
      </c>
      <c r="C41" s="6">
        <f t="shared" si="10"/>
        <v>1038676.4595</v>
      </c>
      <c r="D41" s="6">
        <f>+D15*$B15*0.5+SUM($C15:C15)*$B15</f>
        <v>3136802.9580000001</v>
      </c>
      <c r="E41" s="6">
        <f>+E15*$B15*0.5+SUM($C15:D15)*$B15</f>
        <v>5276891.96325</v>
      </c>
      <c r="F41" s="6">
        <f>+F15*$B15*0.5+SUM($C15:E15)*$B15</f>
        <v>7459782.68475</v>
      </c>
      <c r="G41" s="6">
        <f>+G15*$B15*0.5+SUM($C15:F15)*$B15</f>
        <v>9686331.2632499989</v>
      </c>
      <c r="H41" s="6">
        <f>+H15*$B15*0.5+SUM($C15:G15)*$B15</f>
        <v>10810628.0865</v>
      </c>
      <c r="I41" s="6">
        <f>+I15*$B15*0.5+SUM($C15:H15)*$B15</f>
        <v>10810628.0865</v>
      </c>
      <c r="J41" s="6">
        <f t="shared" si="11"/>
        <v>48219741.501750007</v>
      </c>
    </row>
    <row r="42" spans="1:13" x14ac:dyDescent="0.25">
      <c r="C42" s="3">
        <f t="shared" ref="C42:J42" si="12">SUM(C31:C41)</f>
        <v>2140994.4529999997</v>
      </c>
      <c r="D42" s="3">
        <f t="shared" si="12"/>
        <v>6406626.5431500003</v>
      </c>
      <c r="E42" s="3">
        <f t="shared" si="12"/>
        <v>10996086.122299999</v>
      </c>
      <c r="F42" s="3">
        <f t="shared" si="12"/>
        <v>16085706.586350001</v>
      </c>
      <c r="G42" s="3">
        <f t="shared" si="12"/>
        <v>21057032.447299998</v>
      </c>
      <c r="H42" s="3">
        <f t="shared" si="12"/>
        <v>24904966.440349996</v>
      </c>
      <c r="I42" s="3">
        <f t="shared" si="12"/>
        <v>27727662.7267</v>
      </c>
      <c r="J42" s="3">
        <f t="shared" si="12"/>
        <v>109319075.31915</v>
      </c>
      <c r="M42" s="8" t="s">
        <v>39</v>
      </c>
    </row>
    <row r="44" spans="1:13" x14ac:dyDescent="0.25">
      <c r="A44" s="7" t="s">
        <v>9</v>
      </c>
      <c r="C44" s="8">
        <f>+C16-C42</f>
        <v>119312166.54700001</v>
      </c>
      <c r="D44" s="8">
        <f t="shared" ref="D44:I44" si="13">+C44+D16-D42</f>
        <v>231868767.00384998</v>
      </c>
      <c r="E44" s="8">
        <f t="shared" si="13"/>
        <v>377980109.88154995</v>
      </c>
      <c r="F44" s="8">
        <f t="shared" si="13"/>
        <v>535829582.29519993</v>
      </c>
      <c r="G44" s="8">
        <f t="shared" si="13"/>
        <v>653491516.84789991</v>
      </c>
      <c r="H44" s="8">
        <f t="shared" si="13"/>
        <v>787778154.40754986</v>
      </c>
      <c r="I44" s="8">
        <f t="shared" si="13"/>
        <v>898160635.68084991</v>
      </c>
      <c r="J44" s="8"/>
    </row>
    <row r="45" spans="1:13" x14ac:dyDescent="0.25">
      <c r="A45" s="7" t="s">
        <v>10</v>
      </c>
      <c r="C45" s="30">
        <v>6.6500000000000004E-2</v>
      </c>
      <c r="D45" s="30">
        <v>6.6500000000000004E-2</v>
      </c>
      <c r="E45" s="30">
        <v>6.6500000000000004E-2</v>
      </c>
      <c r="F45" s="30">
        <v>6.6500000000000004E-2</v>
      </c>
      <c r="G45" s="30">
        <v>6.6500000000000004E-2</v>
      </c>
      <c r="H45" s="30">
        <v>6.6500000000000004E-2</v>
      </c>
      <c r="I45" s="30">
        <v>6.6500000000000004E-2</v>
      </c>
    </row>
    <row r="46" spans="1:13" x14ac:dyDescent="0.25">
      <c r="A46" s="7" t="s">
        <v>13</v>
      </c>
      <c r="C46" s="3">
        <f>+C44*C45</f>
        <v>7934259.0753755011</v>
      </c>
      <c r="D46" s="3">
        <f t="shared" ref="D46:I46" si="14">+D44*D45</f>
        <v>15419273.005756024</v>
      </c>
      <c r="E46" s="3">
        <f t="shared" si="14"/>
        <v>25135677.307123072</v>
      </c>
      <c r="F46" s="3">
        <f t="shared" si="14"/>
        <v>35632667.222630799</v>
      </c>
      <c r="G46" s="3">
        <f t="shared" si="14"/>
        <v>43457185.870385349</v>
      </c>
      <c r="H46" s="3">
        <f t="shared" si="14"/>
        <v>52387247.268102065</v>
      </c>
      <c r="I46" s="3">
        <f t="shared" si="14"/>
        <v>59727682.272776522</v>
      </c>
    </row>
    <row r="47" spans="1:13" x14ac:dyDescent="0.25">
      <c r="A47" s="7" t="s">
        <v>11</v>
      </c>
      <c r="C47" s="31">
        <v>1.2376799999999999</v>
      </c>
      <c r="D47" s="31">
        <v>1.2376799999999999</v>
      </c>
      <c r="E47" s="31">
        <v>1.2376799999999999</v>
      </c>
      <c r="F47" s="31">
        <v>1.2376799999999999</v>
      </c>
      <c r="G47" s="31">
        <v>1.2376799999999999</v>
      </c>
      <c r="H47" s="31">
        <v>1.2376799999999999</v>
      </c>
      <c r="I47" s="31">
        <v>1.2376799999999999</v>
      </c>
    </row>
    <row r="48" spans="1:13" x14ac:dyDescent="0.25">
      <c r="A48" s="7" t="s">
        <v>12</v>
      </c>
      <c r="C48" s="3">
        <f>+C46*C47</f>
        <v>9820073.7724107485</v>
      </c>
      <c r="D48" s="3">
        <f t="shared" ref="D48:I48" si="15">+D46*D47</f>
        <v>19084125.813764114</v>
      </c>
      <c r="E48" s="3">
        <f t="shared" si="15"/>
        <v>31109925.08948008</v>
      </c>
      <c r="F48" s="3">
        <f t="shared" si="15"/>
        <v>44101839.568105683</v>
      </c>
      <c r="G48" s="3">
        <f t="shared" si="15"/>
        <v>53786089.80805853</v>
      </c>
      <c r="H48" s="3">
        <f t="shared" si="15"/>
        <v>64838648.19878456</v>
      </c>
      <c r="I48" s="3">
        <f t="shared" si="15"/>
        <v>73923757.795370042</v>
      </c>
    </row>
    <row r="50" spans="1:10" x14ac:dyDescent="0.25">
      <c r="A50" s="7" t="s">
        <v>42</v>
      </c>
    </row>
    <row r="51" spans="1:10" x14ac:dyDescent="0.25">
      <c r="A51" s="7" t="s">
        <v>40</v>
      </c>
      <c r="C51" s="38"/>
      <c r="D51" s="8">
        <f t="shared" ref="D51:I51" si="16">+C24</f>
        <v>121453161</v>
      </c>
      <c r="E51" s="8">
        <f t="shared" si="16"/>
        <v>240416388</v>
      </c>
      <c r="F51" s="8">
        <f t="shared" si="16"/>
        <v>397523817</v>
      </c>
      <c r="G51" s="8">
        <f t="shared" si="16"/>
        <v>571458996</v>
      </c>
      <c r="H51" s="8">
        <f t="shared" si="16"/>
        <v>710177963</v>
      </c>
      <c r="I51" s="8">
        <f t="shared" si="16"/>
        <v>869369567</v>
      </c>
    </row>
    <row r="52" spans="1:10" x14ac:dyDescent="0.25">
      <c r="A52" s="7" t="s">
        <v>45</v>
      </c>
      <c r="C52" s="38"/>
      <c r="D52" s="104">
        <v>5969796.5021000002</v>
      </c>
      <c r="E52" s="104">
        <v>23009298.30697</v>
      </c>
      <c r="F52" s="104">
        <v>51064160.094080001</v>
      </c>
      <c r="G52" s="104">
        <v>90970317.433019996</v>
      </c>
      <c r="H52" s="104">
        <v>140861734.28994998</v>
      </c>
      <c r="I52" s="104">
        <v>198242872.32865</v>
      </c>
    </row>
    <row r="53" spans="1:10" x14ac:dyDescent="0.25">
      <c r="A53" s="7" t="s">
        <v>43</v>
      </c>
      <c r="C53" s="38"/>
      <c r="D53" s="8">
        <f>+D51-D52</f>
        <v>115483364.49789999</v>
      </c>
      <c r="E53" s="8">
        <f t="shared" ref="E53:I53" si="17">+E51-E52</f>
        <v>217407089.69303</v>
      </c>
      <c r="F53" s="8">
        <f t="shared" si="17"/>
        <v>346459656.90592003</v>
      </c>
      <c r="G53" s="8">
        <f t="shared" si="17"/>
        <v>480488678.56698</v>
      </c>
      <c r="H53" s="8">
        <f t="shared" si="17"/>
        <v>569316228.71004999</v>
      </c>
      <c r="I53" s="8">
        <f t="shared" si="17"/>
        <v>671126694.67135</v>
      </c>
    </row>
    <row r="54" spans="1:10" x14ac:dyDescent="0.25">
      <c r="C54" s="38"/>
    </row>
    <row r="55" spans="1:10" x14ac:dyDescent="0.25">
      <c r="A55" s="7" t="s">
        <v>41</v>
      </c>
      <c r="C55" s="38"/>
      <c r="D55" s="8">
        <f t="shared" ref="D55:I55" si="18">+C20</f>
        <v>121453161</v>
      </c>
      <c r="E55" s="8">
        <f t="shared" si="18"/>
        <v>118963227</v>
      </c>
      <c r="F55" s="8">
        <f t="shared" si="18"/>
        <v>157107429</v>
      </c>
      <c r="G55" s="8">
        <f t="shared" si="18"/>
        <v>173935179</v>
      </c>
      <c r="H55" s="8">
        <f t="shared" si="18"/>
        <v>138718967</v>
      </c>
      <c r="I55" s="8">
        <f t="shared" si="18"/>
        <v>159191604</v>
      </c>
    </row>
    <row r="56" spans="1:10" x14ac:dyDescent="0.25">
      <c r="A56" s="11" t="s">
        <v>46</v>
      </c>
      <c r="C56" s="38"/>
      <c r="D56" s="104">
        <v>5969796.5021000002</v>
      </c>
      <c r="E56" s="104">
        <v>5899829.2702000001</v>
      </c>
      <c r="F56" s="104">
        <v>7360974.7829999998</v>
      </c>
      <c r="G56" s="104">
        <v>8023081.4282</v>
      </c>
      <c r="H56" s="104">
        <v>6738248.3506000005</v>
      </c>
      <c r="I56" s="104">
        <v>6282107.0249999994</v>
      </c>
    </row>
    <row r="57" spans="1:10" x14ac:dyDescent="0.25">
      <c r="A57" s="11" t="s">
        <v>44</v>
      </c>
      <c r="C57" s="38"/>
      <c r="D57" s="8">
        <f>+D55-D56</f>
        <v>115483364.49789999</v>
      </c>
      <c r="E57" s="8">
        <f t="shared" ref="E57:I57" si="19">+E55-E56</f>
        <v>113063397.7298</v>
      </c>
      <c r="F57" s="8">
        <f t="shared" si="19"/>
        <v>149746454.21700001</v>
      </c>
      <c r="G57" s="8">
        <f t="shared" si="19"/>
        <v>165912097.57179999</v>
      </c>
      <c r="H57" s="8">
        <f t="shared" si="19"/>
        <v>131980718.6494</v>
      </c>
      <c r="I57" s="8">
        <f t="shared" si="19"/>
        <v>152909496.97499999</v>
      </c>
    </row>
    <row r="58" spans="1:10" x14ac:dyDescent="0.25">
      <c r="A58" s="11"/>
      <c r="C58" s="38"/>
      <c r="D58" s="26">
        <v>0.6</v>
      </c>
      <c r="E58" s="26">
        <v>0.6</v>
      </c>
      <c r="F58" s="26">
        <v>0.6</v>
      </c>
      <c r="G58" s="26">
        <v>0.6</v>
      </c>
      <c r="H58" s="26">
        <v>0.6</v>
      </c>
      <c r="I58" s="26">
        <v>0.6</v>
      </c>
    </row>
    <row r="59" spans="1:10" x14ac:dyDescent="0.25">
      <c r="A59" s="11" t="s">
        <v>47</v>
      </c>
      <c r="C59" s="38"/>
      <c r="D59" s="8">
        <f>+D57*D58</f>
        <v>69290018.698739991</v>
      </c>
      <c r="E59" s="8">
        <f t="shared" ref="E59:I59" si="20">+E57*E58</f>
        <v>67838038.637879997</v>
      </c>
      <c r="F59" s="8">
        <f t="shared" si="20"/>
        <v>89847872.530200005</v>
      </c>
      <c r="G59" s="8">
        <f t="shared" si="20"/>
        <v>99547258.543079987</v>
      </c>
      <c r="H59" s="8">
        <f t="shared" si="20"/>
        <v>79188431.18964</v>
      </c>
      <c r="I59" s="8">
        <f t="shared" si="20"/>
        <v>91745698.184999987</v>
      </c>
    </row>
    <row r="60" spans="1:10" x14ac:dyDescent="0.25">
      <c r="A60" s="11" t="s">
        <v>48</v>
      </c>
      <c r="C60" s="38"/>
      <c r="D60" s="8">
        <f>+D53-D59</f>
        <v>46193345.799160004</v>
      </c>
      <c r="E60" s="8">
        <f t="shared" ref="E60:I60" si="21">+E53-E59</f>
        <v>149569051.05515</v>
      </c>
      <c r="F60" s="8">
        <f t="shared" si="21"/>
        <v>256611784.37572002</v>
      </c>
      <c r="G60" s="8">
        <f t="shared" si="21"/>
        <v>380941420.02390003</v>
      </c>
      <c r="H60" s="8">
        <f t="shared" si="21"/>
        <v>490127797.52041</v>
      </c>
      <c r="I60" s="8">
        <f t="shared" si="21"/>
        <v>579380996.48635006</v>
      </c>
    </row>
    <row r="61" spans="1:10" x14ac:dyDescent="0.25">
      <c r="A61" s="11" t="s">
        <v>49</v>
      </c>
      <c r="C61" s="39"/>
      <c r="D61" s="9">
        <v>0.03</v>
      </c>
      <c r="E61" s="9">
        <v>0.03</v>
      </c>
      <c r="F61" s="9">
        <v>0.03</v>
      </c>
      <c r="G61" s="9">
        <v>0.03</v>
      </c>
      <c r="H61" s="9">
        <v>0.03</v>
      </c>
      <c r="I61" s="9">
        <v>0.03</v>
      </c>
    </row>
    <row r="62" spans="1:10" x14ac:dyDescent="0.25">
      <c r="A62" s="7" t="s">
        <v>23</v>
      </c>
      <c r="C62" s="34">
        <v>0</v>
      </c>
      <c r="D62" s="33">
        <f>+D60*D61</f>
        <v>1385800.3739748001</v>
      </c>
      <c r="E62" s="33">
        <f t="shared" ref="E62:I62" si="22">+E60*E61</f>
        <v>4487071.5316544995</v>
      </c>
      <c r="F62" s="33">
        <f t="shared" si="22"/>
        <v>7698353.5312716002</v>
      </c>
      <c r="G62" s="33">
        <f t="shared" si="22"/>
        <v>11428242.600717001</v>
      </c>
      <c r="H62" s="33">
        <f t="shared" si="22"/>
        <v>14703833.925612299</v>
      </c>
      <c r="I62" s="33">
        <f t="shared" si="22"/>
        <v>17381429.894590501</v>
      </c>
      <c r="J62" t="s">
        <v>35</v>
      </c>
    </row>
    <row r="63" spans="1:10" x14ac:dyDescent="0.25">
      <c r="A63" s="7" t="s">
        <v>14</v>
      </c>
      <c r="C63" s="8">
        <f>+C42</f>
        <v>2140994.4529999997</v>
      </c>
      <c r="D63" s="8">
        <f t="shared" ref="D63:I63" si="23">+D42</f>
        <v>6406626.5431500003</v>
      </c>
      <c r="E63" s="8">
        <f t="shared" si="23"/>
        <v>10996086.122299999</v>
      </c>
      <c r="F63" s="8">
        <f t="shared" si="23"/>
        <v>16085706.586350001</v>
      </c>
      <c r="G63" s="8">
        <f t="shared" si="23"/>
        <v>21057032.447299998</v>
      </c>
      <c r="H63" s="8">
        <f t="shared" si="23"/>
        <v>24904966.440349996</v>
      </c>
      <c r="I63" s="8">
        <f t="shared" si="23"/>
        <v>27727662.7267</v>
      </c>
    </row>
    <row r="64" spans="1:10" x14ac:dyDescent="0.25">
      <c r="A64" s="7" t="s">
        <v>15</v>
      </c>
      <c r="C64" s="35">
        <f>+Total!C66*Total!I26</f>
        <v>577243.92857710551</v>
      </c>
      <c r="D64" s="35">
        <f>+C64</f>
        <v>577243.92857710551</v>
      </c>
      <c r="E64" s="35">
        <f>+D64</f>
        <v>577243.92857710551</v>
      </c>
      <c r="F64" s="36">
        <v>0</v>
      </c>
      <c r="G64" s="36">
        <v>0</v>
      </c>
      <c r="H64" s="36">
        <v>0</v>
      </c>
      <c r="I64" s="36">
        <v>0</v>
      </c>
    </row>
    <row r="65" spans="1:9" x14ac:dyDescent="0.25">
      <c r="C65" s="8">
        <f>SUM(C62:C64)</f>
        <v>2718238.3815771053</v>
      </c>
      <c r="D65" s="8">
        <f>SUM(D62:D64)</f>
        <v>8369670.8457019059</v>
      </c>
      <c r="E65" s="8">
        <f t="shared" ref="E65:I65" si="24">SUM(E62:E64)</f>
        <v>16060401.582531605</v>
      </c>
      <c r="F65" s="8">
        <f t="shared" si="24"/>
        <v>23784060.117621601</v>
      </c>
      <c r="G65" s="8">
        <f t="shared" si="24"/>
        <v>32485275.048016999</v>
      </c>
      <c r="H65" s="8">
        <f t="shared" si="24"/>
        <v>39608800.365962297</v>
      </c>
      <c r="I65" s="8">
        <f t="shared" si="24"/>
        <v>45109092.621290505</v>
      </c>
    </row>
    <row r="66" spans="1:9" x14ac:dyDescent="0.25">
      <c r="A66" s="7" t="s">
        <v>11</v>
      </c>
      <c r="C66" s="31">
        <v>1.0199400000000001</v>
      </c>
      <c r="D66" s="31">
        <v>1.0199400000000001</v>
      </c>
      <c r="E66" s="31">
        <v>1.0199400000000001</v>
      </c>
      <c r="F66" s="31">
        <v>1.0199400000000001</v>
      </c>
      <c r="G66" s="31">
        <v>1.0199400000000001</v>
      </c>
      <c r="H66" s="31">
        <v>1.0199400000000001</v>
      </c>
      <c r="I66" s="31">
        <v>1.0199400000000001</v>
      </c>
    </row>
    <row r="67" spans="1:9" x14ac:dyDescent="0.25">
      <c r="A67" s="7" t="s">
        <v>12</v>
      </c>
      <c r="C67" s="3">
        <f>+C65*C66</f>
        <v>2772440.0549057531</v>
      </c>
      <c r="D67" s="3">
        <f t="shared" ref="D67:I67" si="25">+D65*D66</f>
        <v>8536562.0823652018</v>
      </c>
      <c r="E67" s="3">
        <f t="shared" si="25"/>
        <v>16380645.990087286</v>
      </c>
      <c r="F67" s="3">
        <f t="shared" si="25"/>
        <v>24258314.276366975</v>
      </c>
      <c r="G67" s="3">
        <f t="shared" si="25"/>
        <v>33133031.43247446</v>
      </c>
      <c r="H67" s="3">
        <f t="shared" si="25"/>
        <v>40398599.845259584</v>
      </c>
      <c r="I67" s="3">
        <f t="shared" si="25"/>
        <v>46008567.928159043</v>
      </c>
    </row>
    <row r="69" spans="1:9" x14ac:dyDescent="0.25">
      <c r="A69" s="7" t="s">
        <v>16</v>
      </c>
      <c r="C69" s="8">
        <f>+C48+C67</f>
        <v>12592513.827316502</v>
      </c>
      <c r="D69" s="8">
        <f t="shared" ref="D69:I69" si="26">+D48+D67</f>
        <v>27620687.896129318</v>
      </c>
      <c r="E69" s="8">
        <f t="shared" si="26"/>
        <v>47490571.079567365</v>
      </c>
      <c r="F69" s="8">
        <f t="shared" si="26"/>
        <v>68360153.844472662</v>
      </c>
      <c r="G69" s="8">
        <f t="shared" si="26"/>
        <v>86919121.240532994</v>
      </c>
      <c r="H69" s="8">
        <f t="shared" si="26"/>
        <v>105237248.04404414</v>
      </c>
      <c r="I69" s="8">
        <f t="shared" si="26"/>
        <v>119932325.72352909</v>
      </c>
    </row>
    <row r="70" spans="1:9" x14ac:dyDescent="0.25">
      <c r="A70" s="7" t="s">
        <v>19</v>
      </c>
      <c r="C70" s="8">
        <f>+C69-B69</f>
        <v>12592513.827316502</v>
      </c>
      <c r="D70" s="8">
        <f t="shared" ref="D70:I70" si="27">+D69-C69</f>
        <v>15028174.068812815</v>
      </c>
      <c r="E70" s="8">
        <f t="shared" si="27"/>
        <v>19869883.183438048</v>
      </c>
      <c r="F70" s="8">
        <f t="shared" si="27"/>
        <v>20869582.764905296</v>
      </c>
      <c r="G70" s="8">
        <f t="shared" si="27"/>
        <v>18558967.396060333</v>
      </c>
      <c r="H70" s="8">
        <f t="shared" si="27"/>
        <v>18318126.803511143</v>
      </c>
      <c r="I70" s="8">
        <f t="shared" si="27"/>
        <v>14695077.679484949</v>
      </c>
    </row>
    <row r="71" spans="1:9" x14ac:dyDescent="0.25">
      <c r="A71" s="7"/>
      <c r="C71" s="8"/>
      <c r="D71" s="8"/>
      <c r="E71" s="8"/>
      <c r="F71" s="8"/>
      <c r="G71" s="8"/>
      <c r="H71" s="8"/>
      <c r="I71" s="8"/>
    </row>
    <row r="72" spans="1:9" x14ac:dyDescent="0.25">
      <c r="A72" s="7" t="s">
        <v>28</v>
      </c>
      <c r="C72" s="8">
        <f>+C69*0.8</f>
        <v>10074011.061853202</v>
      </c>
      <c r="D72" s="8">
        <f t="shared" ref="D72:I72" si="28">+D69*0.8</f>
        <v>22096550.316903457</v>
      </c>
      <c r="E72" s="8">
        <f t="shared" si="28"/>
        <v>37992456.863653891</v>
      </c>
      <c r="F72" s="8">
        <f t="shared" si="28"/>
        <v>54688123.075578131</v>
      </c>
      <c r="G72" s="8">
        <f t="shared" si="28"/>
        <v>69535296.992426395</v>
      </c>
      <c r="H72" s="8">
        <f t="shared" si="28"/>
        <v>84189798.435235322</v>
      </c>
      <c r="I72" s="8">
        <f t="shared" si="28"/>
        <v>95945860.578823268</v>
      </c>
    </row>
    <row r="73" spans="1:9" x14ac:dyDescent="0.25">
      <c r="A73" s="7" t="s">
        <v>19</v>
      </c>
      <c r="C73" s="8">
        <f>+C72-B72</f>
        <v>10074011.061853202</v>
      </c>
      <c r="D73" s="8">
        <f t="shared" ref="D73:I73" si="29">+D72-C72</f>
        <v>12022539.255050255</v>
      </c>
      <c r="E73" s="8">
        <f t="shared" si="29"/>
        <v>15895906.546750434</v>
      </c>
      <c r="F73" s="8">
        <f t="shared" si="29"/>
        <v>16695666.21192424</v>
      </c>
      <c r="G73" s="8">
        <f t="shared" si="29"/>
        <v>14847173.916848265</v>
      </c>
      <c r="H73" s="8">
        <f t="shared" si="29"/>
        <v>14654501.442808926</v>
      </c>
      <c r="I73" s="8">
        <f t="shared" si="29"/>
        <v>11756062.143587947</v>
      </c>
    </row>
    <row r="74" spans="1:9" x14ac:dyDescent="0.25">
      <c r="A74" s="7"/>
      <c r="D74" s="8"/>
    </row>
    <row r="75" spans="1:9" x14ac:dyDescent="0.25">
      <c r="A75" s="27"/>
      <c r="B75" t="s">
        <v>32</v>
      </c>
    </row>
    <row r="76" spans="1:9" x14ac:dyDescent="0.25">
      <c r="A76" s="28"/>
      <c r="B76" t="s">
        <v>33</v>
      </c>
    </row>
    <row r="77" spans="1:9" x14ac:dyDescent="0.25">
      <c r="A77" s="29"/>
      <c r="B77" t="s">
        <v>34</v>
      </c>
    </row>
    <row r="78" spans="1:9" x14ac:dyDescent="0.25">
      <c r="A78" s="32"/>
      <c r="B78" t="s">
        <v>36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931D70-9CE0-4E34-B12D-7364874204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B24763-9373-4CEE-A151-432A4A1FC982}">
  <ds:schemaRefs>
    <ds:schemaRef ds:uri="http://schemas.microsoft.com/sharepoint/v3"/>
    <ds:schemaRef ds:uri="7558938a-8a22-4524-afb0-58b165029303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9180bc4-2f7d-45e7-9e22-353907fb92c6"/>
    <ds:schemaRef ds:uri="http://purl.org/dc/elements/1.1/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70B9F79-EE78-4623-B310-CD4F5CE9E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5</vt:i4>
      </vt:variant>
    </vt:vector>
  </HeadingPairs>
  <TitlesOfParts>
    <vt:vector size="17" baseType="lpstr">
      <vt:lpstr>Total</vt:lpstr>
      <vt:lpstr>Title</vt:lpstr>
      <vt:lpstr>CAR Testimony Table</vt:lpstr>
      <vt:lpstr>CAR-1 Revenue Requirement</vt:lpstr>
      <vt:lpstr>CAR- 2 Rate Base and Depr Exp</vt:lpstr>
      <vt:lpstr>CAR-3 Property Tax Expense</vt:lpstr>
      <vt:lpstr>CAR-4 Depr Exp Retirements</vt:lpstr>
      <vt:lpstr>Transmission Rev Req</vt:lpstr>
      <vt:lpstr>Distribution Rev Req</vt:lpstr>
      <vt:lpstr>TDSIC Allocation Factors</vt:lpstr>
      <vt:lpstr>Sheet2</vt:lpstr>
      <vt:lpstr>Sheet3</vt:lpstr>
      <vt:lpstr>'CAR- 2 Rate Base and Depr Exp'!Print_Area</vt:lpstr>
      <vt:lpstr>'CAR Testimony Table'!Print_Area</vt:lpstr>
      <vt:lpstr>'CAR-1 Revenue Requirement'!Print_Area</vt:lpstr>
      <vt:lpstr>'CAR-3 Property Tax Expense'!Print_Area</vt:lpstr>
      <vt:lpstr>'CAR-4 Depr Exp Retirements'!Print_Area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Rogers</dc:creator>
  <cp:lastModifiedBy>Horn, Taylor</cp:lastModifiedBy>
  <cp:lastPrinted>2020-12-21T23:10:17Z</cp:lastPrinted>
  <dcterms:created xsi:type="dcterms:W3CDTF">2019-05-14T12:23:31Z</dcterms:created>
  <dcterms:modified xsi:type="dcterms:W3CDTF">2020-12-23T19:04:07Z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