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becerra\Desktop\Filings\"/>
    </mc:Choice>
  </mc:AlternateContent>
  <bookViews>
    <workbookView xWindow="0" yWindow="0" windowWidth="24210" windowHeight="9660" tabRatio="735"/>
  </bookViews>
  <sheets>
    <sheet name="Cover Page" sheetId="23" r:id="rId1"/>
    <sheet name="Rate Design" sheetId="22" r:id="rId2"/>
    <sheet name="Return" sheetId="15" r:id="rId3"/>
    <sheet name="Tax and Depreciation" sheetId="14" r:id="rId4"/>
    <sheet name="Fuel, Energy, Demand, Customer" sheetId="2" r:id="rId5"/>
    <sheet name="O&amp;M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" localSheetId="3">[1]EGSplit!#REF!</definedName>
    <definedName name="\">[1]EGSplit!#REF!</definedName>
    <definedName name="\\" localSheetId="3" hidden="1">#REF!</definedName>
    <definedName name="\\" hidden="1">#REF!</definedName>
    <definedName name="\\\" localSheetId="3" hidden="1">#REF!</definedName>
    <definedName name="\\\" hidden="1">#REF!</definedName>
    <definedName name="\\\\" localSheetId="3" hidden="1">#REF!</definedName>
    <definedName name="\\\\" hidden="1">#REF!</definedName>
    <definedName name="\0" localSheetId="3">#REF!</definedName>
    <definedName name="\0">#REF!</definedName>
    <definedName name="\A" localSheetId="3">#REF!</definedName>
    <definedName name="\A">#REF!</definedName>
    <definedName name="\C" localSheetId="4">#REF!</definedName>
    <definedName name="\C" localSheetId="3">#REF!</definedName>
    <definedName name="\C">#REF!</definedName>
    <definedName name="\D" localSheetId="3">#REF!</definedName>
    <definedName name="\D">#REF!</definedName>
    <definedName name="\E" localSheetId="4">#REF!</definedName>
    <definedName name="\E" localSheetId="3">#REF!</definedName>
    <definedName name="\E">#REF!</definedName>
    <definedName name="\M" localSheetId="3">#REF!</definedName>
    <definedName name="\M">#REF!</definedName>
    <definedName name="\P" localSheetId="3">[2]dbase!#REF!</definedName>
    <definedName name="\P">[2]dbase!#REF!</definedName>
    <definedName name="\R" localSheetId="4">#REF!</definedName>
    <definedName name="\R" localSheetId="3">#REF!</definedName>
    <definedName name="\R">#REF!</definedName>
    <definedName name="\S" localSheetId="3">[2]dbase!#REF!</definedName>
    <definedName name="\S">[2]dbase!#REF!</definedName>
    <definedName name="\T" localSheetId="3">#REF!</definedName>
    <definedName name="\T">#REF!</definedName>
    <definedName name="\Y" localSheetId="3">[3]d20!#REF!</definedName>
    <definedName name="\Y">[3]d20!#REF!</definedName>
    <definedName name="__123Graph_A" localSheetId="3" hidden="1">#REF!</definedName>
    <definedName name="__123Graph_A" hidden="1">#REF!</definedName>
    <definedName name="__123Graph_B" localSheetId="3" hidden="1">#REF!</definedName>
    <definedName name="__123Graph_B" hidden="1">#REF!</definedName>
    <definedName name="__123Graph_C" localSheetId="3" hidden="1">#REF!</definedName>
    <definedName name="__123Graph_C" hidden="1">#REF!</definedName>
    <definedName name="__123Graph_D" localSheetId="3" hidden="1">#REF!</definedName>
    <definedName name="__123Graph_D" hidden="1">#REF!</definedName>
    <definedName name="__123Graph_E" localSheetId="3" hidden="1">#REF!</definedName>
    <definedName name="__123Graph_E" hidden="1">#REF!</definedName>
    <definedName name="__123Graph_F" localSheetId="3" hidden="1">#REF!</definedName>
    <definedName name="__123Graph_F" hidden="1">#REF!</definedName>
    <definedName name="__123Graph_X" localSheetId="3" hidden="1">#REF!</definedName>
    <definedName name="__123Graph_X" hidden="1">#REF!</definedName>
    <definedName name="_may1" localSheetId="3">#REF!</definedName>
    <definedName name="_may1">#REF!</definedName>
    <definedName name="_Order1" hidden="1">0</definedName>
    <definedName name="_Order2" hidden="1">0</definedName>
    <definedName name="_P" localSheetId="4">#REF!</definedName>
    <definedName name="_P" localSheetId="3">#REF!</definedName>
    <definedName name="_P">#REF!</definedName>
    <definedName name="_PG1" localSheetId="3">#REF!</definedName>
    <definedName name="_PG1">#REF!</definedName>
    <definedName name="_PG2" localSheetId="3">#REF!</definedName>
    <definedName name="_PG2">#REF!</definedName>
    <definedName name="A" localSheetId="3">#REF!</definedName>
    <definedName name="A">#REF!</definedName>
    <definedName name="ACTUAL">"'Vol_Revs'!R5C3:R5C14"</definedName>
    <definedName name="ADJSUTW3" localSheetId="3">#REF!</definedName>
    <definedName name="ADJSUTW3">#REF!</definedName>
    <definedName name="ADJUSRN" localSheetId="3">#REF!</definedName>
    <definedName name="ADJUSRN">#REF!</definedName>
    <definedName name="Adjust2" localSheetId="3">#REF!</definedName>
    <definedName name="Adjust2">#REF!</definedName>
    <definedName name="ADJUSTA" localSheetId="3">#REF!</definedName>
    <definedName name="ADJUSTA">#REF!</definedName>
    <definedName name="ADJUSTAA" localSheetId="4">#REF!</definedName>
    <definedName name="ADJUSTAA" localSheetId="3">#REF!</definedName>
    <definedName name="ADJUSTAA">#REF!</definedName>
    <definedName name="ADJUSTB" localSheetId="3">#REF!</definedName>
    <definedName name="ADJUSTB">#REF!</definedName>
    <definedName name="ADJUSTC" localSheetId="3">#REF!</definedName>
    <definedName name="ADJUSTC">#REF!</definedName>
    <definedName name="ADJUSTD1" localSheetId="3">#REF!</definedName>
    <definedName name="ADJUSTD1">#REF!</definedName>
    <definedName name="ADJUSTD2" localSheetId="3">#REF!</definedName>
    <definedName name="ADJUSTD2">#REF!</definedName>
    <definedName name="ADJUSTD3" localSheetId="3">#REF!</definedName>
    <definedName name="ADJUSTD3">#REF!</definedName>
    <definedName name="ADJUSTD4" localSheetId="3">#REF!</definedName>
    <definedName name="ADJUSTD4">#REF!</definedName>
    <definedName name="ADJUSTG1" localSheetId="3">#REF!</definedName>
    <definedName name="ADJUSTG1">#REF!</definedName>
    <definedName name="ADJUSTG2" localSheetId="3">#REF!</definedName>
    <definedName name="ADJUSTG2">#REF!</definedName>
    <definedName name="ADJUSTG3" localSheetId="3">#REF!</definedName>
    <definedName name="ADJUSTG3">#REF!</definedName>
    <definedName name="ADJUSTG4" localSheetId="3">#REF!</definedName>
    <definedName name="ADJUSTG4">#REF!</definedName>
    <definedName name="ADJUSTH" localSheetId="3">#REF!</definedName>
    <definedName name="ADJUSTH">#REF!</definedName>
    <definedName name="ADJUSTI" localSheetId="3">#REF!</definedName>
    <definedName name="ADJUSTI">#REF!</definedName>
    <definedName name="ADJUSTK" localSheetId="3">#REF!</definedName>
    <definedName name="ADJUSTK">#REF!</definedName>
    <definedName name="ADJUSTM" localSheetId="3">#REF!</definedName>
    <definedName name="ADJUSTM">#REF!</definedName>
    <definedName name="ADJUSTN" localSheetId="3">#REF!</definedName>
    <definedName name="ADJUSTN">#REF!</definedName>
    <definedName name="ADJUSTO" localSheetId="3">#REF!</definedName>
    <definedName name="ADJUSTO">#REF!</definedName>
    <definedName name="ADJUSTP" localSheetId="3">#REF!</definedName>
    <definedName name="ADJUSTP">#REF!</definedName>
    <definedName name="ADJUSTQ" localSheetId="3">#REF!</definedName>
    <definedName name="ADJUSTQ">#REF!</definedName>
    <definedName name="ADJUSTR" localSheetId="3">#REF!</definedName>
    <definedName name="ADJUSTR">#REF!</definedName>
    <definedName name="ADJUSTS" localSheetId="4">#REF!</definedName>
    <definedName name="ADJUSTS" localSheetId="3">#REF!</definedName>
    <definedName name="ADJUSTS">#REF!</definedName>
    <definedName name="ADJUSTT" localSheetId="3">#REF!</definedName>
    <definedName name="ADJUSTT">#REF!</definedName>
    <definedName name="ADJUSTW1" localSheetId="3">#REF!</definedName>
    <definedName name="ADJUSTW1">#REF!</definedName>
    <definedName name="ADJUSTW2" localSheetId="3">#REF!</definedName>
    <definedName name="ADJUSTW2">#REF!</definedName>
    <definedName name="ADJUSTX" localSheetId="3">#REF!</definedName>
    <definedName name="ADJUSTX">#REF!</definedName>
    <definedName name="ADJUSTY" localSheetId="3">#REF!</definedName>
    <definedName name="ADJUSTY">#REF!</definedName>
    <definedName name="ALERT2" localSheetId="3">#REF!</definedName>
    <definedName name="ALERT2">#REF!</definedName>
    <definedName name="Annual_Sales_KU" localSheetId="3">'[4]LGE Sales'!#REF!</definedName>
    <definedName name="Annual_Sales_KU">'[4]LGE Sales'!#REF!</definedName>
    <definedName name="assets" localSheetId="4">#REF!</definedName>
    <definedName name="assets" localSheetId="3">#REF!</definedName>
    <definedName name="assets">#REF!</definedName>
    <definedName name="B" localSheetId="3">#REF!</definedName>
    <definedName name="B">#REF!</definedName>
    <definedName name="Billed_Revenues_Dollars" localSheetId="3">#REF!</definedName>
    <definedName name="Billed_Revenues_Dollars">#REF!</definedName>
    <definedName name="Billed_Sales__KWh" localSheetId="3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 localSheetId="3">#REF!</definedName>
    <definedName name="C_">#REF!</definedName>
    <definedName name="Choices_Wrapper" localSheetId="4">'Fuel, Energy, Demand, Customer'!Choices_Wrapper</definedName>
    <definedName name="Choices_Wrapper">[6]!Choices_Wrapper</definedName>
    <definedName name="CM" localSheetId="4">#REF!</definedName>
    <definedName name="CM" localSheetId="3">#REF!</definedName>
    <definedName name="CM">#REF!</definedName>
    <definedName name="Coal_Annual_KU" localSheetId="3">'[4]LGE Coal'!#REF!</definedName>
    <definedName name="Coal_Annual_KU">'[4]LGE Coal'!#REF!</definedName>
    <definedName name="coal_hide_ku_01" localSheetId="3">'[4]LGE Coal'!#REF!</definedName>
    <definedName name="coal_hide_ku_01">'[4]LGE Coal'!#REF!</definedName>
    <definedName name="coal_hide_lge_01" localSheetId="3">'[4]LGE Coal'!#REF!</definedName>
    <definedName name="coal_hide_lge_01">'[4]LGE Coal'!#REF!</definedName>
    <definedName name="coal_ku_01" localSheetId="3">'[4]LGE Coal'!#REF!</definedName>
    <definedName name="coal_ku_01">'[4]LGE Coal'!#REF!</definedName>
    <definedName name="ColumnAttributes1" localSheetId="3">#REF!</definedName>
    <definedName name="ColumnAttributes1">#REF!</definedName>
    <definedName name="ColumnHeadings1" localSheetId="3">#REF!</definedName>
    <definedName name="ColumnHeadings1">#REF!</definedName>
    <definedName name="Comp" localSheetId="4">'Fuel, Energy, Demand, Customer'!Comp</definedName>
    <definedName name="Comp">[6]!Comp</definedName>
    <definedName name="ConsEarnings" localSheetId="3">#REF!</definedName>
    <definedName name="ConsEarnings">#REF!</definedName>
    <definedName name="CONSOLIDATED" localSheetId="3">#REF!</definedName>
    <definedName name="CONSOLIDATED">#REF!</definedName>
    <definedName name="CORPORATE" localSheetId="3">#REF!</definedName>
    <definedName name="CORPORATE">#REF!</definedName>
    <definedName name="counter" localSheetId="3">#REF!</definedName>
    <definedName name="counter">#REF!</definedName>
    <definedName name="CREDIT" localSheetId="4">#REF!</definedName>
    <definedName name="CREDIT" localSheetId="3">#REF!</definedName>
    <definedName name="CREDIT">#REF!</definedName>
    <definedName name="CurReptgMo">[5]Input!$K$19</definedName>
    <definedName name="CurReptgYr">[5]Input!$K$21</definedName>
    <definedName name="D" localSheetId="3">#REF!</definedName>
    <definedName name="D">#REF!</definedName>
    <definedName name="data" localSheetId="3">#REF!</definedName>
    <definedName name="data">#REF!</definedName>
    <definedName name="data1" localSheetId="3">'[7]1'!#REF!</definedName>
    <definedName name="data1">'[7]1'!#REF!</definedName>
    <definedName name="DateTimeNow">[5]Input!$AE$12</definedName>
    <definedName name="DEBIT" localSheetId="4">#REF!</definedName>
    <definedName name="DEBIT" localSheetId="3">#REF!</definedName>
    <definedName name="DEBIT">#REF!</definedName>
    <definedName name="Detail" localSheetId="3">#REF!</definedName>
    <definedName name="Detail">#REF!</definedName>
    <definedName name="ELEC_NET_OP_INC" localSheetId="3">#REF!</definedName>
    <definedName name="ELEC_NET_OP_INC">#REF!</definedName>
    <definedName name="ELIMS" localSheetId="3">#REF!</definedName>
    <definedName name="ELIMS">#REF!</definedName>
    <definedName name="EXHIB1A" localSheetId="3">'[8]#REF'!#REF!</definedName>
    <definedName name="EXHIB1A">'[8]#REF'!#REF!</definedName>
    <definedName name="EXHIB1B" localSheetId="3">#REF!</definedName>
    <definedName name="EXHIB1B">#REF!</definedName>
    <definedName name="EXHIB1C" localSheetId="3">#REF!</definedName>
    <definedName name="EXHIB1C">#REF!</definedName>
    <definedName name="EXHIB2B" localSheetId="3">'[9]Ex 2'!#REF!</definedName>
    <definedName name="EXHIB2B">'[9]Ex 2'!#REF!</definedName>
    <definedName name="EXHIB3" localSheetId="4">#REF!</definedName>
    <definedName name="EXHIB3" localSheetId="3">#REF!</definedName>
    <definedName name="EXHIB3">#REF!</definedName>
    <definedName name="EXHIB6" localSheetId="3">'[9]not used Ex 4'!#REF!</definedName>
    <definedName name="EXHIB6">'[9]not used Ex 4'!#REF!</definedName>
    <definedName name="F" localSheetId="3">#REF!</definedName>
    <definedName name="F">#REF!</definedName>
    <definedName name="Fac_2000" localSheetId="3">'[4]LGE Base Fuel &amp; FAC'!#REF!</definedName>
    <definedName name="Fac_2000">'[4]LGE Base Fuel &amp; FAC'!#REF!</definedName>
    <definedName name="fac_annual_ku" localSheetId="3">'[4]LGE Base Fuel &amp; FAC'!#REF!</definedName>
    <definedName name="fac_annual_ku">'[4]LGE Base Fuel &amp; FAC'!#REF!</definedName>
    <definedName name="fac_hide_ku_01" localSheetId="3">'[4]LGE Base Fuel &amp; FAC'!#REF!</definedName>
    <definedName name="fac_hide_ku_01">'[4]LGE Base Fuel &amp; FAC'!#REF!</definedName>
    <definedName name="fac_hide_lge_01" localSheetId="3">'[4]LGE Base Fuel &amp; FAC'!#REF!</definedName>
    <definedName name="fac_hide_lge_01">'[4]LGE Base Fuel &amp; FAC'!#REF!</definedName>
    <definedName name="fac_ku_01" localSheetId="3">'[4]LGE Base Fuel &amp; FAC'!#REF!</definedName>
    <definedName name="fac_ku_01">'[4]LGE Base Fuel &amp; FAC'!#REF!</definedName>
    <definedName name="FOOTER" localSheetId="3">#REF!</definedName>
    <definedName name="FOOTER">#REF!</definedName>
    <definedName name="FORECAST">"'IFPSReport'!R5C3:R5C14"</definedName>
    <definedName name="fuelcost" localSheetId="4">#REF!</definedName>
    <definedName name="fuelcost" localSheetId="3">#REF!</definedName>
    <definedName name="fuelcost">#REF!</definedName>
    <definedName name="Gas_Annual_NetRev" localSheetId="3">#REF!</definedName>
    <definedName name="Gas_Annual_NetRev">#REF!</definedName>
    <definedName name="Gas_Annual_Revenue" localSheetId="3">#REF!</definedName>
    <definedName name="Gas_Annual_Revenue">#REF!</definedName>
    <definedName name="gas_data" localSheetId="3">#REF!</definedName>
    <definedName name="gas_data">#REF!</definedName>
    <definedName name="Gas_Monthly_NetRevenue" localSheetId="3">#REF!</definedName>
    <definedName name="Gas_Monthly_NetRevenue">#REF!</definedName>
    <definedName name="GAS_NET_OP_INC" localSheetId="3">#REF!</definedName>
    <definedName name="GAS_NET_OP_INC">#REF!</definedName>
    <definedName name="Gas_Sales_Revenues" localSheetId="3">#REF!</definedName>
    <definedName name="Gas_Sales_Revenues">#REF!</definedName>
    <definedName name="GenEx_Annual_KU" localSheetId="3">'[4]LGE Cost of Sales'!#REF!</definedName>
    <definedName name="GenEx_Annual_KU">'[4]LGE Cost of Sales'!#REF!</definedName>
    <definedName name="genex_hide_ku_01" localSheetId="3">'[4]LGE Cost of Sales'!#REF!</definedName>
    <definedName name="genex_hide_ku_01">'[4]LGE Cost of Sales'!#REF!</definedName>
    <definedName name="genex_hide_lge_01" localSheetId="3">'[4]LGE Cost of Sales'!#REF!</definedName>
    <definedName name="genex_hide_lge_01">'[4]LGE Cost of Sales'!#REF!</definedName>
    <definedName name="genex_ku_01" localSheetId="3">'[4]LGE Cost of Sales'!#REF!</definedName>
    <definedName name="genex_ku_01">'[4]LGE Cost of Sales'!#REF!</definedName>
    <definedName name="H" localSheetId="3">#REF!</definedName>
    <definedName name="H">#REF!</definedName>
    <definedName name="Home_KU" localSheetId="3">#REF!</definedName>
    <definedName name="Home_KU">#REF!</definedName>
    <definedName name="INPUT1" localSheetId="3">#REF!</definedName>
    <definedName name="INPUT1">#REF!</definedName>
    <definedName name="INPUT2" localSheetId="3">#REF!</definedName>
    <definedName name="INPUT2">#REF!</definedName>
    <definedName name="INPUTCOL" localSheetId="3">#REF!</definedName>
    <definedName name="INPUTCOL">#REF!</definedName>
    <definedName name="INPUTROW" localSheetId="3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UELIMBAL" localSheetId="3">#REF!</definedName>
    <definedName name="KUELIMBAL">#REF!</definedName>
    <definedName name="KUELIMCASH" localSheetId="3">#REF!</definedName>
    <definedName name="KUELIMCASH">#REF!</definedName>
    <definedName name="KUPWRGENIS" localSheetId="3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EC" localSheetId="3">#REF!</definedName>
    <definedName name="LEC">#REF!</definedName>
    <definedName name="LECBAL" localSheetId="3">#REF!</definedName>
    <definedName name="LECBAL">#REF!</definedName>
    <definedName name="LECCASH" localSheetId="3">#REF!</definedName>
    <definedName name="LECCASH">#REF!</definedName>
    <definedName name="LES" localSheetId="3">#REF!</definedName>
    <definedName name="LES">#REF!</definedName>
    <definedName name="LGE" localSheetId="3">#REF!</definedName>
    <definedName name="LGE">#REF!</definedName>
    <definedName name="LNGCL" localSheetId="3">#REF!</definedName>
    <definedName name="LNGCL">#REF!</definedName>
    <definedName name="Losses_by_State" localSheetId="3">#REF!</definedName>
    <definedName name="Losses_by_State">#REF!</definedName>
    <definedName name="LOUPHONECOBAL" localSheetId="3">#REF!</definedName>
    <definedName name="LOUPHONECOBAL">#REF!</definedName>
    <definedName name="LOUPHONECOCASH" localSheetId="3">#REF!</definedName>
    <definedName name="LOUPHONECOCASH">#REF!</definedName>
    <definedName name="LOUPHONECOIS" localSheetId="3">#REF!</definedName>
    <definedName name="LOUPHONECOIS">#REF!</definedName>
    <definedName name="LPI" localSheetId="3">#REF!</definedName>
    <definedName name="LPI">#REF!</definedName>
    <definedName name="MAIN" localSheetId="3">#REF!</definedName>
    <definedName name="MAIN">#REF!</definedName>
    <definedName name="MESG1" localSheetId="3">#REF!</definedName>
    <definedName name="MESG1">#REF!</definedName>
    <definedName name="MESG2" localSheetId="3">#REF!</definedName>
    <definedName name="MESG2">#REF!</definedName>
    <definedName name="MONTH_NAME" localSheetId="3">#REF!</definedName>
    <definedName name="MONTH_NAME">#REF!</definedName>
    <definedName name="MONTHCOUNT" localSheetId="3">#REF!</definedName>
    <definedName name="MONTHCOUNT">#REF!</definedName>
    <definedName name="NATURAL" localSheetId="3">#REF!</definedName>
    <definedName name="NATURAL">#REF!</definedName>
    <definedName name="NET_OP_INC" localSheetId="3">#REF!</definedName>
    <definedName name="NET_OP_INC">#REF!</definedName>
    <definedName name="Net_Revenues" localSheetId="3">#REF!</definedName>
    <definedName name="Net_Revenues">#REF!</definedName>
    <definedName name="Net_Unbilled_KWh" localSheetId="3">#REF!</definedName>
    <definedName name="Net_Unbilled_KWh">#REF!</definedName>
    <definedName name="Net_Unbilled_Revenue_Dollars" localSheetId="3">#REF!</definedName>
    <definedName name="Net_Unbilled_Revenue_Dollars">#REF!</definedName>
    <definedName name="netrev_hide_ku_01" localSheetId="3">'[4]LGE Gross Margin-Inc.Stmt'!#REF!</definedName>
    <definedName name="netrev_hide_ku_01">'[4]LGE Gross Margin-Inc.Stmt'!#REF!</definedName>
    <definedName name="netrev_hide_lge_01" localSheetId="3">'[4]LGE Gross Margin-Inc.Stmt'!#REF!</definedName>
    <definedName name="netrev_hide_lge_01">'[4]LGE Gross Margin-Inc.Stmt'!#REF!</definedName>
    <definedName name="netrev_ku_01" localSheetId="3">'[4]LGE Gross Margin-Inc.Stmt'!#REF!</definedName>
    <definedName name="netrev_ku_01">'[4]LGE Gross Margin-Inc.Stmt'!#REF!</definedName>
    <definedName name="NetRevenue_Annual_KU" localSheetId="3">'[4]LGE Gross Margin-Inc.Stmt'!#REF!</definedName>
    <definedName name="NetRevenue_Annual_KU">'[4]LGE Gross Margin-Inc.Stmt'!#REF!</definedName>
    <definedName name="NetRevenues" localSheetId="3">#REF!</definedName>
    <definedName name="NetRevenues">#REF!</definedName>
    <definedName name="NextReptgMo">[5]Input!$AE$19</definedName>
    <definedName name="NextReptgYr">[5]Input!$AE$21</definedName>
    <definedName name="Operating_Revenue_Dollars" localSheetId="3">#REF!</definedName>
    <definedName name="Operating_Revenue_Dollars">#REF!</definedName>
    <definedName name="Operating_Sales__KWh" localSheetId="3">#REF!</definedName>
    <definedName name="Operating_Sales__KWh">#REF!</definedName>
    <definedName name="PAGE" localSheetId="4">#REF!</definedName>
    <definedName name="PAGE" localSheetId="3">#REF!</definedName>
    <definedName name="PAGE">#REF!</definedName>
    <definedName name="PAGE10" localSheetId="4">#REF!</definedName>
    <definedName name="PAGE10" localSheetId="3">#REF!</definedName>
    <definedName name="PAGE10">#REF!</definedName>
    <definedName name="PAGE1B" localSheetId="3">[3]d20!#REF!</definedName>
    <definedName name="PAGE1B">[3]d20!#REF!</definedName>
    <definedName name="PAGE7" localSheetId="4">#REF!</definedName>
    <definedName name="PAGE7" localSheetId="3">#REF!</definedName>
    <definedName name="PAGE7">#REF!</definedName>
    <definedName name="page8" localSheetId="4">#REF!</definedName>
    <definedName name="page8" localSheetId="3">#REF!</definedName>
    <definedName name="page8">#REF!</definedName>
    <definedName name="PAGE9" localSheetId="4">#REF!</definedName>
    <definedName name="PAGE9" localSheetId="3">#REF!</definedName>
    <definedName name="PAGE9">#REF!</definedName>
    <definedName name="PgFERC_449" localSheetId="3">#REF!</definedName>
    <definedName name="PgFERC_449">#REF!</definedName>
    <definedName name="Plan" localSheetId="3">#REF!</definedName>
    <definedName name="Plan">#REF!</definedName>
    <definedName name="_xlnm.Print_Area" localSheetId="1">'Rate Design'!$A$1:$O$126</definedName>
    <definedName name="_xlnm.Print_Area" localSheetId="3">'Tax and Depreciation'!$A$1:$F$17</definedName>
    <definedName name="_xlnm.Print_Titles" localSheetId="1">'Rate Design'!$1:$6</definedName>
    <definedName name="PRINT1" localSheetId="3">#REF!</definedName>
    <definedName name="PRINT1">#REF!</definedName>
    <definedName name="PWRGENBAL" localSheetId="3">#REF!</definedName>
    <definedName name="PWRGENBAL">#REF!</definedName>
    <definedName name="PWRGENCASH" localSheetId="3">#REF!</definedName>
    <definedName name="PWRGENCASH">#REF!</definedName>
    <definedName name="QtrbyMonth" localSheetId="3">#REF!</definedName>
    <definedName name="QtrbyMonth">#REF!</definedName>
    <definedName name="RangeRptgMo">[10]Main!$K$11</definedName>
    <definedName name="RangeRptgYr">[11]Main!$G$5</definedName>
    <definedName name="REPORT" localSheetId="4">#REF!</definedName>
    <definedName name="REPORT" localSheetId="3">#REF!</definedName>
    <definedName name="REPORT">#REF!</definedName>
    <definedName name="ReportTitle1" localSheetId="3">#REF!</definedName>
    <definedName name="ReportTitle1">#REF!</definedName>
    <definedName name="require_hide_ku_01" localSheetId="3">'[4]LGE Require &amp; Source'!#REF!</definedName>
    <definedName name="require_hide_ku_01">'[4]LGE Require &amp; Source'!#REF!</definedName>
    <definedName name="require_hide_lge_01" localSheetId="3">'[4]LGE Require &amp; Source'!#REF!</definedName>
    <definedName name="require_hide_lge_01">'[4]LGE Require &amp; Source'!#REF!</definedName>
    <definedName name="require_ku_01" localSheetId="3">'[4]LGE Require &amp; Source'!#REF!</definedName>
    <definedName name="require_ku_01">'[4]LGE Require &amp; Source'!#REF!</definedName>
    <definedName name="Requirements_Annual_KU" localSheetId="3">'[4]LGE Require &amp; Source'!#REF!</definedName>
    <definedName name="Requirements_Annual_KU">'[4]LGE Require &amp; Source'!#REF!</definedName>
    <definedName name="Requirements_Data" localSheetId="3">'[4]LGE Require &amp; Source'!#REF!</definedName>
    <definedName name="Requirements_Data">'[4]LGE Require &amp; Source'!#REF!</definedName>
    <definedName name="Requirements_KU" localSheetId="3">'[4]LGE Require &amp; Source'!#REF!</definedName>
    <definedName name="Requirements_KU">'[4]LGE Require &amp; Source'!#REF!</definedName>
    <definedName name="RevCol01" localSheetId="3">#REF!</definedName>
    <definedName name="RevCol01">#REF!</definedName>
    <definedName name="RevCol01A" localSheetId="3">#REF!</definedName>
    <definedName name="RevCol01A">#REF!</definedName>
    <definedName name="RevCol01B" localSheetId="4">#REF!</definedName>
    <definedName name="RevCol01B" localSheetId="3">[12]RevDatabase!#REF!</definedName>
    <definedName name="RevCol01B">[12]RevDatabase!#REF!</definedName>
    <definedName name="RevCol02" localSheetId="3">#REF!</definedName>
    <definedName name="RevCol02">#REF!</definedName>
    <definedName name="RevCol02A" localSheetId="3">#REF!</definedName>
    <definedName name="RevCol02A">#REF!</definedName>
    <definedName name="RevCol02B" localSheetId="4">#REF!</definedName>
    <definedName name="RevCol02B" localSheetId="3">[12]RevDatabase!#REF!</definedName>
    <definedName name="RevCol02B">[12]RevDatabase!#REF!</definedName>
    <definedName name="RevCol03" localSheetId="3">#REF!</definedName>
    <definedName name="RevCol03">#REF!</definedName>
    <definedName name="RevCol04" localSheetId="3">#REF!</definedName>
    <definedName name="RevCol04">#REF!</definedName>
    <definedName name="RevCol05" localSheetId="3">#REF!</definedName>
    <definedName name="RevCol05">#REF!</definedName>
    <definedName name="RevCol06" localSheetId="3">#REF!</definedName>
    <definedName name="RevCol06">#REF!</definedName>
    <definedName name="RevCol07" localSheetId="3">#REF!</definedName>
    <definedName name="RevCol07">#REF!</definedName>
    <definedName name="RevCol08" localSheetId="3">#REF!</definedName>
    <definedName name="RevCol08">#REF!</definedName>
    <definedName name="RevCol09" localSheetId="3">#REF!</definedName>
    <definedName name="RevCol09">#REF!</definedName>
    <definedName name="RevCol10" localSheetId="3">#REF!</definedName>
    <definedName name="RevCol10">#REF!</definedName>
    <definedName name="RevCol11" localSheetId="3">#REF!</definedName>
    <definedName name="RevCol11">#REF!</definedName>
    <definedName name="RevCol12" localSheetId="3">#REF!</definedName>
    <definedName name="RevCol12">#REF!</definedName>
    <definedName name="RevCol13" localSheetId="3">#REF!</definedName>
    <definedName name="RevCol13">#REF!</definedName>
    <definedName name="RevCol14" localSheetId="3">#REF!</definedName>
    <definedName name="RevCol14">#REF!</definedName>
    <definedName name="RevCol15" localSheetId="3">#REF!</definedName>
    <definedName name="RevCol15">#REF!</definedName>
    <definedName name="RevCol16" localSheetId="3">#REF!</definedName>
    <definedName name="RevCol16">#REF!</definedName>
    <definedName name="RevCol17" localSheetId="3">#REF!</definedName>
    <definedName name="RevCol17">#REF!</definedName>
    <definedName name="RevCol18" localSheetId="3">#REF!</definedName>
    <definedName name="RevCol18">#REF!</definedName>
    <definedName name="RevCol19" localSheetId="3">#REF!</definedName>
    <definedName name="RevCol19">#REF!</definedName>
    <definedName name="RevCol20" localSheetId="3">#REF!</definedName>
    <definedName name="RevCol20">#REF!</definedName>
    <definedName name="RevCol21" localSheetId="3">#REF!</definedName>
    <definedName name="RevCol21">#REF!</definedName>
    <definedName name="RevCol22" localSheetId="3">#REF!</definedName>
    <definedName name="RevCol22">#REF!</definedName>
    <definedName name="RevCol23" localSheetId="3">#REF!</definedName>
    <definedName name="RevCol23">#REF!</definedName>
    <definedName name="RevCol24" localSheetId="3">#REF!</definedName>
    <definedName name="RevCol24">#REF!</definedName>
    <definedName name="RevCol25" localSheetId="3">#REF!</definedName>
    <definedName name="RevCol25">#REF!</definedName>
    <definedName name="RevCol26" localSheetId="3">#REF!</definedName>
    <definedName name="RevCol26">#REF!</definedName>
    <definedName name="RevCol27" localSheetId="3">#REF!</definedName>
    <definedName name="RevCol27">#REF!</definedName>
    <definedName name="RevCol28" localSheetId="3">#REF!</definedName>
    <definedName name="RevCol28">#REF!</definedName>
    <definedName name="RevCol29" localSheetId="3">#REF!</definedName>
    <definedName name="RevCol29">#REF!</definedName>
    <definedName name="RevCol30" localSheetId="3">#REF!</definedName>
    <definedName name="RevCol30">#REF!</definedName>
    <definedName name="RevCol31" localSheetId="3">#REF!</definedName>
    <definedName name="RevCol31">#REF!</definedName>
    <definedName name="RevCol32" localSheetId="3">#REF!</definedName>
    <definedName name="RevCol32">#REF!</definedName>
    <definedName name="RevCol33" localSheetId="3">#REF!</definedName>
    <definedName name="RevCol33">#REF!</definedName>
    <definedName name="RevCol34" localSheetId="3">#REF!</definedName>
    <definedName name="RevCol34">#REF!</definedName>
    <definedName name="RevCol35" localSheetId="3">#REF!</definedName>
    <definedName name="RevCol35">#REF!</definedName>
    <definedName name="RevCol36" localSheetId="3">#REF!</definedName>
    <definedName name="RevCol36">#REF!</definedName>
    <definedName name="RevCol37" localSheetId="3">#REF!</definedName>
    <definedName name="RevCol37">#REF!</definedName>
    <definedName name="RevColTmp" localSheetId="4">#REF!</definedName>
    <definedName name="RevColTmp" localSheetId="3">[12]RevDatabase!#REF!</definedName>
    <definedName name="RevColTmp">[12]RevDatabase!#REF!</definedName>
    <definedName name="RevColTmpA" localSheetId="4">#REF!</definedName>
    <definedName name="RevColTmpA" localSheetId="3">[12]RevDatabase!#REF!</definedName>
    <definedName name="RevColTmpA">[12]RevDatabase!#REF!</definedName>
    <definedName name="RevColTmpB" localSheetId="4">#REF!</definedName>
    <definedName name="RevColTmpB" localSheetId="3">[12]RevDatabase!#REF!</definedName>
    <definedName name="RevColTmpB">[12]RevDatabase!#REF!</definedName>
    <definedName name="revenues_hide_ku_01" localSheetId="3">'[4]KU Other Electric Revenues'!#REF!</definedName>
    <definedName name="revenues_hide_ku_01">'[4]KU Other Electric Revenues'!#REF!</definedName>
    <definedName name="revenues_ku_01" localSheetId="3">'[4]KU Other Electric Revenues'!#REF!</definedName>
    <definedName name="revenues_ku_01">'[4]KU Other Electric Revenues'!#REF!</definedName>
    <definedName name="RowDetails1" localSheetId="3">#REF!</definedName>
    <definedName name="RowDetails1">#REF!</definedName>
    <definedName name="RPTCOL" localSheetId="3">#REF!</definedName>
    <definedName name="RPTCOL">#REF!</definedName>
    <definedName name="RPTROW" localSheetId="3">#REF!</definedName>
    <definedName name="RPTROW">#REF!</definedName>
    <definedName name="Sales" localSheetId="3">'[4]LGE Sales'!#REF!</definedName>
    <definedName name="Sales">'[4]LGE Sales'!#REF!</definedName>
    <definedName name="sales_hide_ku_01" localSheetId="3">'[4]LGE Sales'!#REF!</definedName>
    <definedName name="sales_hide_ku_01">'[4]LGE Sales'!#REF!</definedName>
    <definedName name="sales_ku_01" localSheetId="3">'[4]LGE Sales'!#REF!</definedName>
    <definedName name="sales_ku_01">'[4]LGE Sales'!#REF!</definedName>
    <definedName name="sales_title_ku" localSheetId="3">'[4]LGE Sales'!#REF!</definedName>
    <definedName name="sales_title_ku">'[4]LGE Sales'!#REF!</definedName>
    <definedName name="SCHEDZ" localSheetId="4">#REF!</definedName>
    <definedName name="SCHEDZ" localSheetId="3">#REF!</definedName>
    <definedName name="SCHEDZ">#REF!</definedName>
    <definedName name="shoot" localSheetId="3">#REF!</definedName>
    <definedName name="shoot">#REF!</definedName>
    <definedName name="START" localSheetId="3">#REF!</definedName>
    <definedName name="START">#REF!</definedName>
    <definedName name="START2" localSheetId="3">#REF!</definedName>
    <definedName name="START2">#REF!</definedName>
    <definedName name="START3" localSheetId="3">#REF!</definedName>
    <definedName name="START3">#REF!</definedName>
    <definedName name="Support" localSheetId="4">#REF!</definedName>
    <definedName name="Support" localSheetId="3">#REF!</definedName>
    <definedName name="Support">#REF!</definedName>
    <definedName name="SUPPORT5" localSheetId="4">#REF!</definedName>
    <definedName name="SUPPORT5" localSheetId="3">#REF!</definedName>
    <definedName name="SUPPORT5">#REF!</definedName>
    <definedName name="SUPPORT6" localSheetId="4">#REF!</definedName>
    <definedName name="SUPPORT6" localSheetId="3">#REF!</definedName>
    <definedName name="SUPPORT6">#REF!</definedName>
    <definedName name="TAX_RATE" localSheetId="3">'[8]#REF'!#REF!</definedName>
    <definedName name="TAX_RATE">'[8]#REF'!#REF!</definedName>
    <definedName name="TempReptgMo">[5]Input!$AG$19</definedName>
    <definedName name="TempReptgYr">[5]Input!$AG$21</definedName>
    <definedName name="TenyrNIAC" localSheetId="3">#REF!</definedName>
    <definedName name="TenyrNIAC">#REF!</definedName>
    <definedName name="TenyrRev" localSheetId="3">#REF!</definedName>
    <definedName name="TenyrRev">#REF!</definedName>
    <definedName name="test" localSheetId="4">'Fuel, Energy, Demand, Customer'!test</definedName>
    <definedName name="test">[6]!test</definedName>
    <definedName name="Title" localSheetId="3">#REF!</definedName>
    <definedName name="Title">#REF!</definedName>
    <definedName name="Title_Choice" localSheetId="3">#REF!</definedName>
    <definedName name="Title_Choice">#REF!</definedName>
    <definedName name="Titles" localSheetId="3">#REF!</definedName>
    <definedName name="Titles">#REF!</definedName>
    <definedName name="Titles_KU" localSheetId="3">#REF!</definedName>
    <definedName name="Titles_KU">#REF!</definedName>
    <definedName name="ttt" localSheetId="4">#REF!</definedName>
    <definedName name="ttt" localSheetId="3">#REF!</definedName>
    <definedName name="ttt">#REF!</definedName>
    <definedName name="UpdateDate">[5]Input!$M$12</definedName>
    <definedName name="UpdateTime">[5]Input!$O$12</definedName>
    <definedName name="Variance" localSheetId="3">#REF!</definedName>
    <definedName name="Variance">#REF!</definedName>
    <definedName name="VIEW1" localSheetId="3">#REF!</definedName>
    <definedName name="VIEW1">#REF!</definedName>
    <definedName name="vol_rev_annual_ku" localSheetId="3">'[4]LGE Retail Margin'!#REF!</definedName>
    <definedName name="vol_rev_annual_ku">'[4]LGE Retail Margin'!#REF!</definedName>
    <definedName name="vol_rev_hide_ku_monthly" localSheetId="3">'[4]LGE Retail Margin'!#REF!</definedName>
    <definedName name="vol_rev_hide_ku_monthly">'[4]LGE Retail Margin'!#REF!</definedName>
    <definedName name="vol_rev_hide_lge_01" localSheetId="3">'[4]LGE Retail Margin'!#REF!</definedName>
    <definedName name="vol_rev_hide_lge_01">'[4]LGE Retail Margin'!#REF!</definedName>
    <definedName name="vol_rev_ku_monthly" localSheetId="3">'[4]LGE Retail Margin'!#REF!</definedName>
    <definedName name="vol_rev_ku_monthly">'[4]LGE Retail Margin'!#REF!</definedName>
    <definedName name="volrev_data" localSheetId="3">'[4]LGE Retail Margin'!#REF!</definedName>
    <definedName name="volrev_data">'[4]LGE Retail Margin'!#REF!</definedName>
    <definedName name="YTD" localSheetId="4">#REF!</definedName>
    <definedName name="YTD" localSheetId="3">#REF!</definedName>
    <definedName name="YTD">#REF!</definedName>
  </definedNames>
  <calcPr calcId="152511" calcMode="manual" iterate="1" calcCompleted="0" calcOnSave="0"/>
</workbook>
</file>

<file path=xl/calcChain.xml><?xml version="1.0" encoding="utf-8"?>
<calcChain xmlns="http://schemas.openxmlformats.org/spreadsheetml/2006/main">
  <c r="F14" i="15" l="1"/>
  <c r="H91" i="22"/>
  <c r="H92" i="22"/>
  <c r="H93" i="22"/>
  <c r="H50" i="22"/>
  <c r="H47" i="22"/>
  <c r="H48" i="22"/>
  <c r="H49" i="22"/>
  <c r="D16" i="3"/>
  <c r="D9" i="3"/>
  <c r="H52" i="22"/>
  <c r="H53" i="22"/>
  <c r="H54" i="22"/>
  <c r="H55" i="22"/>
  <c r="H56" i="22"/>
  <c r="H57" i="22"/>
  <c r="H58" i="22"/>
  <c r="H59" i="22"/>
  <c r="H51" i="22"/>
  <c r="A8" i="14"/>
  <c r="A9" i="14"/>
  <c r="A11" i="14"/>
  <c r="H107" i="22"/>
  <c r="H111" i="22"/>
  <c r="H106" i="22"/>
  <c r="H108" i="22"/>
  <c r="H113" i="22"/>
  <c r="H110" i="22"/>
  <c r="H114" i="22"/>
  <c r="H112" i="22"/>
  <c r="H109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63" i="22"/>
  <c r="H64" i="22"/>
  <c r="H65" i="22"/>
  <c r="H66" i="22"/>
  <c r="H67" i="22"/>
  <c r="H68" i="22"/>
  <c r="H69" i="22"/>
  <c r="M66" i="22"/>
  <c r="M69" i="22"/>
  <c r="M65" i="22"/>
  <c r="M126" i="22"/>
  <c r="M122" i="22"/>
  <c r="M118" i="22"/>
  <c r="M68" i="22"/>
  <c r="M64" i="22"/>
  <c r="M125" i="22"/>
  <c r="M121" i="22"/>
  <c r="M117" i="22"/>
  <c r="M67" i="22"/>
  <c r="M63" i="22"/>
  <c r="M124" i="22"/>
  <c r="M120" i="22"/>
  <c r="M116" i="22"/>
  <c r="M123" i="22"/>
  <c r="M119" i="22"/>
  <c r="M115" i="22"/>
  <c r="H62" i="22"/>
  <c r="M62" i="22"/>
  <c r="H60" i="22"/>
  <c r="H61" i="22"/>
  <c r="M60" i="22"/>
  <c r="M61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8" i="22"/>
  <c r="D15" i="15"/>
  <c r="E14" i="15"/>
  <c r="G14" i="15"/>
  <c r="E10" i="15"/>
  <c r="G10" i="15"/>
  <c r="E8" i="15"/>
  <c r="G8" i="15"/>
  <c r="E11" i="15"/>
  <c r="G11" i="15"/>
  <c r="E13" i="15"/>
  <c r="G13" i="15"/>
  <c r="E9" i="15"/>
  <c r="G9" i="15"/>
  <c r="E12" i="15"/>
  <c r="G12" i="15"/>
  <c r="G15" i="15"/>
  <c r="G106" i="22"/>
  <c r="G115" i="22"/>
  <c r="G63" i="22"/>
  <c r="G65" i="22"/>
  <c r="G69" i="22"/>
  <c r="G118" i="22"/>
  <c r="G120" i="22"/>
  <c r="G124" i="22"/>
  <c r="G126" i="22"/>
  <c r="G121" i="22"/>
  <c r="G116" i="22"/>
  <c r="G64" i="22"/>
  <c r="G66" i="22"/>
  <c r="G117" i="22"/>
  <c r="G119" i="22"/>
  <c r="G123" i="22"/>
  <c r="G58" i="22"/>
  <c r="G57" i="22"/>
  <c r="G56" i="22"/>
  <c r="G62" i="22"/>
  <c r="G55" i="22"/>
  <c r="G59" i="22"/>
  <c r="G110" i="22"/>
  <c r="G112" i="22"/>
  <c r="G114" i="22"/>
  <c r="G53" i="22"/>
  <c r="G61" i="22"/>
  <c r="G109" i="22"/>
  <c r="G52" i="22"/>
  <c r="G108" i="22"/>
  <c r="G111" i="22"/>
  <c r="G113" i="22"/>
  <c r="G60" i="22"/>
  <c r="G107" i="22"/>
  <c r="G54" i="22"/>
  <c r="G68" i="22"/>
  <c r="G125" i="22"/>
  <c r="G122" i="22"/>
  <c r="G67" i="22"/>
  <c r="G92" i="22"/>
  <c r="G93" i="22"/>
  <c r="G90" i="22"/>
  <c r="G91" i="22"/>
  <c r="G50" i="22"/>
  <c r="G51" i="22"/>
  <c r="G47" i="22"/>
  <c r="G48" i="22"/>
  <c r="G49" i="22"/>
  <c r="G8" i="22"/>
  <c r="N126" i="22"/>
  <c r="N62" i="22"/>
  <c r="N123" i="22"/>
  <c r="N66" i="22"/>
  <c r="N121" i="22"/>
  <c r="N120" i="22"/>
  <c r="N65" i="22"/>
  <c r="N63" i="22"/>
  <c r="N61" i="22"/>
  <c r="N119" i="22"/>
  <c r="N118" i="22"/>
  <c r="N117" i="22"/>
  <c r="N116" i="22"/>
  <c r="N124" i="22"/>
  <c r="N69" i="22"/>
  <c r="N115" i="22"/>
  <c r="N64" i="22"/>
  <c r="N60" i="22"/>
  <c r="N68" i="22"/>
  <c r="N125" i="22"/>
  <c r="N122" i="22"/>
  <c r="N67" i="22"/>
  <c r="A74" i="22"/>
  <c r="A9" i="22"/>
  <c r="A8" i="3"/>
  <c r="A9" i="3"/>
  <c r="A14" i="3"/>
  <c r="A15" i="3"/>
  <c r="A16" i="3"/>
  <c r="A22" i="2"/>
  <c r="A23" i="2"/>
  <c r="A24" i="2"/>
  <c r="A26" i="2"/>
  <c r="A27" i="2"/>
  <c r="A28" i="2"/>
  <c r="A10" i="2"/>
  <c r="A11" i="2"/>
  <c r="A13" i="2"/>
  <c r="A14" i="2"/>
  <c r="A15" i="2"/>
  <c r="A13" i="14"/>
  <c r="A9" i="15"/>
  <c r="A10" i="15"/>
  <c r="A11" i="15"/>
  <c r="A12" i="15"/>
  <c r="A13" i="15"/>
  <c r="A14" i="15"/>
  <c r="A15" i="15"/>
  <c r="A17" i="15"/>
  <c r="O125" i="22"/>
  <c r="O115" i="22"/>
  <c r="O124" i="22"/>
  <c r="O117" i="22"/>
  <c r="O63" i="22"/>
  <c r="O120" i="22"/>
  <c r="O66" i="22"/>
  <c r="O62" i="22"/>
  <c r="O67" i="22"/>
  <c r="O60" i="22"/>
  <c r="O119" i="22"/>
  <c r="A10" i="22"/>
  <c r="A75" i="22"/>
  <c r="O122" i="22"/>
  <c r="O68" i="22"/>
  <c r="O64" i="22"/>
  <c r="O69" i="22"/>
  <c r="O116" i="22"/>
  <c r="O118" i="22"/>
  <c r="O61" i="22"/>
  <c r="O65" i="22"/>
  <c r="O121" i="22"/>
  <c r="O123" i="22"/>
  <c r="O126" i="22"/>
  <c r="A11" i="22"/>
  <c r="A76" i="22"/>
  <c r="D46" i="22"/>
  <c r="D45" i="22"/>
  <c r="A77" i="22"/>
  <c r="A12" i="22"/>
  <c r="D104" i="22"/>
  <c r="D100" i="22"/>
  <c r="D89" i="22"/>
  <c r="A13" i="22"/>
  <c r="A78" i="22"/>
  <c r="E15" i="15"/>
  <c r="A79" i="22"/>
  <c r="A14" i="22"/>
  <c r="G22" i="22"/>
  <c r="G98" i="22"/>
  <c r="G32" i="22"/>
  <c r="G23" i="22"/>
  <c r="G101" i="22"/>
  <c r="G33" i="22"/>
  <c r="G88" i="22"/>
  <c r="G21" i="22"/>
  <c r="G102" i="22"/>
  <c r="G43" i="22"/>
  <c r="G46" i="22"/>
  <c r="G44" i="22"/>
  <c r="G45" i="22"/>
  <c r="G41" i="22"/>
  <c r="G103" i="22"/>
  <c r="G40" i="22"/>
  <c r="G36" i="22"/>
  <c r="G30" i="22"/>
  <c r="G26" i="22"/>
  <c r="G19" i="22"/>
  <c r="G16" i="22"/>
  <c r="G13" i="22"/>
  <c r="G9" i="22"/>
  <c r="G20" i="22"/>
  <c r="G14" i="22"/>
  <c r="G10" i="22"/>
  <c r="G11" i="22"/>
  <c r="G105" i="22"/>
  <c r="G89" i="22"/>
  <c r="G42" i="22"/>
  <c r="G37" i="22"/>
  <c r="G31" i="22"/>
  <c r="G27" i="22"/>
  <c r="G100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38" i="22"/>
  <c r="G34" i="22"/>
  <c r="G28" i="22"/>
  <c r="G24" i="22"/>
  <c r="G17" i="22"/>
  <c r="G15" i="22"/>
  <c r="G104" i="22"/>
  <c r="G99" i="22"/>
  <c r="G97" i="22"/>
  <c r="G96" i="22"/>
  <c r="G95" i="22"/>
  <c r="G94" i="22"/>
  <c r="G39" i="22"/>
  <c r="G35" i="22"/>
  <c r="G29" i="22"/>
  <c r="G25" i="22"/>
  <c r="G18" i="22"/>
  <c r="G12" i="22"/>
  <c r="A15" i="22"/>
  <c r="A80" i="22"/>
  <c r="M15" i="22"/>
  <c r="M16" i="22"/>
  <c r="A81" i="22"/>
  <c r="N16" i="22"/>
  <c r="N15" i="22"/>
  <c r="A16" i="22"/>
  <c r="O15" i="22"/>
  <c r="O16" i="22"/>
  <c r="A17" i="22"/>
  <c r="A82" i="22"/>
  <c r="A83" i="22"/>
  <c r="A18" i="22"/>
  <c r="A19" i="22"/>
  <c r="A84" i="22"/>
  <c r="A85" i="22"/>
  <c r="A20" i="22"/>
  <c r="A21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F16" i="3"/>
  <c r="L93" i="22"/>
  <c r="L101" i="22"/>
  <c r="L83" i="22"/>
  <c r="L74" i="22"/>
  <c r="L102" i="22"/>
  <c r="L90" i="22"/>
  <c r="L92" i="22"/>
  <c r="L75" i="22"/>
  <c r="L79" i="22"/>
  <c r="L82" i="22"/>
  <c r="L87" i="22"/>
  <c r="L76" i="22"/>
  <c r="L91" i="22"/>
  <c r="L78" i="22"/>
  <c r="L99" i="22"/>
  <c r="L100" i="22"/>
  <c r="L97" i="22"/>
  <c r="L96" i="22"/>
  <c r="L88" i="22"/>
  <c r="L73" i="22"/>
  <c r="L85" i="22"/>
  <c r="L98" i="22"/>
  <c r="L94" i="22"/>
  <c r="G16" i="3"/>
  <c r="H16" i="3"/>
  <c r="L95" i="22"/>
  <c r="L81" i="22"/>
  <c r="L77" i="22"/>
  <c r="L84" i="22"/>
  <c r="L80" i="22"/>
  <c r="L89" i="22"/>
  <c r="L86" i="22"/>
  <c r="L103" i="22"/>
  <c r="L105" i="22"/>
  <c r="L104" i="22"/>
  <c r="L108" i="22"/>
  <c r="L107" i="22"/>
  <c r="L109" i="22"/>
  <c r="L112" i="22"/>
  <c r="L110" i="22"/>
  <c r="L111" i="22"/>
  <c r="L106" i="22"/>
  <c r="L114" i="22"/>
  <c r="L113" i="22"/>
  <c r="F9" i="3"/>
  <c r="D11" i="2"/>
  <c r="G9" i="3"/>
  <c r="H9" i="3"/>
  <c r="L18" i="22"/>
  <c r="L19" i="22"/>
  <c r="L11" i="22"/>
  <c r="L41" i="22"/>
  <c r="L48" i="22"/>
  <c r="L43" i="22"/>
  <c r="L38" i="22"/>
  <c r="L44" i="22"/>
  <c r="L40" i="22"/>
  <c r="L12" i="22"/>
  <c r="L29" i="22"/>
  <c r="L39" i="22"/>
  <c r="L22" i="22"/>
  <c r="L36" i="22"/>
  <c r="L42" i="22"/>
  <c r="L8" i="22"/>
  <c r="L37" i="22"/>
  <c r="L9" i="22"/>
  <c r="L23" i="22"/>
  <c r="L24" i="22"/>
  <c r="L13" i="22"/>
  <c r="L49" i="22"/>
  <c r="L32" i="22"/>
  <c r="L10" i="22"/>
  <c r="L28" i="22"/>
  <c r="L50" i="22"/>
  <c r="L17" i="22"/>
  <c r="L35" i="22"/>
  <c r="L45" i="22"/>
  <c r="L27" i="22"/>
  <c r="L46" i="22"/>
  <c r="L30" i="22"/>
  <c r="L26" i="22"/>
  <c r="L34" i="22"/>
  <c r="L20" i="22"/>
  <c r="L47" i="22"/>
  <c r="L25" i="22"/>
  <c r="L21" i="22"/>
  <c r="L33" i="22"/>
  <c r="L14" i="22"/>
  <c r="L31" i="22"/>
  <c r="L54" i="22"/>
  <c r="L59" i="22"/>
  <c r="L56" i="22"/>
  <c r="L55" i="22"/>
  <c r="L52" i="22"/>
  <c r="L58" i="22"/>
  <c r="L53" i="22"/>
  <c r="L57" i="22"/>
  <c r="L51" i="22"/>
  <c r="D28" i="2"/>
  <c r="D15" i="2"/>
  <c r="E28" i="2"/>
  <c r="E15" i="2"/>
  <c r="E26" i="2"/>
  <c r="E13" i="2"/>
  <c r="E24" i="2"/>
  <c r="E11" i="2"/>
  <c r="E27" i="2"/>
  <c r="E14" i="2"/>
  <c r="C17" i="2"/>
  <c r="K52" i="22"/>
  <c r="K48" i="22"/>
  <c r="M48" i="22"/>
  <c r="N48" i="22"/>
  <c r="O48" i="22"/>
  <c r="K26" i="22"/>
  <c r="K34" i="22"/>
  <c r="K10" i="22"/>
  <c r="K33" i="22"/>
  <c r="K18" i="22"/>
  <c r="K54" i="22"/>
  <c r="K43" i="22"/>
  <c r="K45" i="22"/>
  <c r="K32" i="22"/>
  <c r="K41" i="22"/>
  <c r="K22" i="22"/>
  <c r="K21" i="22"/>
  <c r="K39" i="22"/>
  <c r="K11" i="22"/>
  <c r="K49" i="22"/>
  <c r="M49" i="22"/>
  <c r="N49" i="22"/>
  <c r="O49" i="22"/>
  <c r="K24" i="22"/>
  <c r="K38" i="22"/>
  <c r="K40" i="22"/>
  <c r="K31" i="22"/>
  <c r="K42" i="22"/>
  <c r="K29" i="22"/>
  <c r="K14" i="22"/>
  <c r="K47" i="22"/>
  <c r="M47" i="22"/>
  <c r="N47" i="22"/>
  <c r="O47" i="22"/>
  <c r="K46" i="22"/>
  <c r="K13" i="22"/>
  <c r="K58" i="22"/>
  <c r="K35" i="22"/>
  <c r="K50" i="22"/>
  <c r="M50" i="22"/>
  <c r="N50" i="22"/>
  <c r="O50" i="22"/>
  <c r="K30" i="22"/>
  <c r="K12" i="22"/>
  <c r="K8" i="22"/>
  <c r="K17" i="22"/>
  <c r="K36" i="22"/>
  <c r="K23" i="22"/>
  <c r="K44" i="22"/>
  <c r="K57" i="22"/>
  <c r="K9" i="22"/>
  <c r="K51" i="22"/>
  <c r="K55" i="22"/>
  <c r="K28" i="22"/>
  <c r="K19" i="22"/>
  <c r="K25" i="22"/>
  <c r="K53" i="22"/>
  <c r="K27" i="22"/>
  <c r="K56" i="22"/>
  <c r="K59" i="22"/>
  <c r="K20" i="22"/>
  <c r="K37" i="22"/>
  <c r="I45" i="22"/>
  <c r="I53" i="22"/>
  <c r="I35" i="22"/>
  <c r="I57" i="22"/>
  <c r="I25" i="22"/>
  <c r="M25" i="22"/>
  <c r="N25" i="22"/>
  <c r="I26" i="22"/>
  <c r="I24" i="22"/>
  <c r="I30" i="22"/>
  <c r="I18" i="22"/>
  <c r="I17" i="22"/>
  <c r="I31" i="22"/>
  <c r="I52" i="22"/>
  <c r="I9" i="22"/>
  <c r="I22" i="22"/>
  <c r="I43" i="22"/>
  <c r="I13" i="22"/>
  <c r="I20" i="22"/>
  <c r="M20" i="22"/>
  <c r="N20" i="22"/>
  <c r="O20" i="22"/>
  <c r="I21" i="22"/>
  <c r="I40" i="22"/>
  <c r="I28" i="22"/>
  <c r="I12" i="22"/>
  <c r="M12" i="22"/>
  <c r="N12" i="22"/>
  <c r="I32" i="22"/>
  <c r="I29" i="22"/>
  <c r="I51" i="22"/>
  <c r="I54" i="22"/>
  <c r="I58" i="22"/>
  <c r="I56" i="22"/>
  <c r="I42" i="22"/>
  <c r="I59" i="22"/>
  <c r="M59" i="22"/>
  <c r="N59" i="22"/>
  <c r="O59" i="22"/>
  <c r="I27" i="22"/>
  <c r="I33" i="22"/>
  <c r="I38" i="22"/>
  <c r="I14" i="22"/>
  <c r="M14" i="22"/>
  <c r="N14" i="22"/>
  <c r="I11" i="22"/>
  <c r="I34" i="22"/>
  <c r="I19" i="22"/>
  <c r="I39" i="22"/>
  <c r="M39" i="22"/>
  <c r="N39" i="22"/>
  <c r="O39" i="22"/>
  <c r="I41" i="22"/>
  <c r="I37" i="22"/>
  <c r="I46" i="22"/>
  <c r="I55" i="22"/>
  <c r="I36" i="22"/>
  <c r="I8" i="22"/>
  <c r="I10" i="22"/>
  <c r="I23" i="22"/>
  <c r="M23" i="22"/>
  <c r="N23" i="22"/>
  <c r="I44" i="22"/>
  <c r="I106" i="22"/>
  <c r="I102" i="22"/>
  <c r="I87" i="22"/>
  <c r="I76" i="22"/>
  <c r="I82" i="22"/>
  <c r="I99" i="22"/>
  <c r="I77" i="22"/>
  <c r="M77" i="22"/>
  <c r="N77" i="22"/>
  <c r="O77" i="22"/>
  <c r="I110" i="22"/>
  <c r="I104" i="22"/>
  <c r="I107" i="22"/>
  <c r="I103" i="22"/>
  <c r="M103" i="22"/>
  <c r="N103" i="22"/>
  <c r="I100" i="22"/>
  <c r="I93" i="22"/>
  <c r="I88" i="22"/>
  <c r="I97" i="22"/>
  <c r="I81" i="22"/>
  <c r="I79" i="22"/>
  <c r="I114" i="22"/>
  <c r="I113" i="22"/>
  <c r="M113" i="22"/>
  <c r="N113" i="22"/>
  <c r="O113" i="22"/>
  <c r="I91" i="22"/>
  <c r="I94" i="22"/>
  <c r="I111" i="22"/>
  <c r="I84" i="22"/>
  <c r="I80" i="22"/>
  <c r="I78" i="22"/>
  <c r="I89" i="22"/>
  <c r="I108" i="22"/>
  <c r="M108" i="22"/>
  <c r="N108" i="22"/>
  <c r="O108" i="22"/>
  <c r="I98" i="22"/>
  <c r="I90" i="22"/>
  <c r="I95" i="22"/>
  <c r="I75" i="22"/>
  <c r="M75" i="22"/>
  <c r="N75" i="22"/>
  <c r="O75" i="22"/>
  <c r="I112" i="22"/>
  <c r="I85" i="22"/>
  <c r="I83" i="22"/>
  <c r="I109" i="22"/>
  <c r="I96" i="22"/>
  <c r="I101" i="22"/>
  <c r="I74" i="22"/>
  <c r="I86" i="22"/>
  <c r="M86" i="22"/>
  <c r="N86" i="22"/>
  <c r="I105" i="22"/>
  <c r="I92" i="22"/>
  <c r="I73" i="22"/>
  <c r="C30" i="2"/>
  <c r="J104" i="22"/>
  <c r="J106" i="22"/>
  <c r="J77" i="22"/>
  <c r="J101" i="22"/>
  <c r="J112" i="22"/>
  <c r="J99" i="22"/>
  <c r="J76" i="22"/>
  <c r="J95" i="22"/>
  <c r="J86" i="22"/>
  <c r="J105" i="22"/>
  <c r="J94" i="22"/>
  <c r="J88" i="22"/>
  <c r="J83" i="22"/>
  <c r="J93" i="22"/>
  <c r="J78" i="22"/>
  <c r="J110" i="22"/>
  <c r="J89" i="22"/>
  <c r="J98" i="22"/>
  <c r="J107" i="22"/>
  <c r="J90" i="22"/>
  <c r="J111" i="22"/>
  <c r="J109" i="22"/>
  <c r="J75" i="22"/>
  <c r="J85" i="22"/>
  <c r="J81" i="22"/>
  <c r="J82" i="22"/>
  <c r="J103" i="22"/>
  <c r="J97" i="22"/>
  <c r="J91" i="22"/>
  <c r="J114" i="22"/>
  <c r="J96" i="22"/>
  <c r="J84" i="22"/>
  <c r="J113" i="22"/>
  <c r="J80" i="22"/>
  <c r="J79" i="22"/>
  <c r="J87" i="22"/>
  <c r="J92" i="22"/>
  <c r="J73" i="22"/>
  <c r="J108" i="22"/>
  <c r="J74" i="22"/>
  <c r="J100" i="22"/>
  <c r="J102" i="22"/>
  <c r="J21" i="22"/>
  <c r="J9" i="22"/>
  <c r="J12" i="22"/>
  <c r="J41" i="22"/>
  <c r="J14" i="22"/>
  <c r="J44" i="22"/>
  <c r="J20" i="22"/>
  <c r="J56" i="22"/>
  <c r="J59" i="22"/>
  <c r="J36" i="22"/>
  <c r="J28" i="22"/>
  <c r="J35" i="22"/>
  <c r="J24" i="22"/>
  <c r="J54" i="22"/>
  <c r="J46" i="22"/>
  <c r="J30" i="22"/>
  <c r="J37" i="22"/>
  <c r="J18" i="22"/>
  <c r="J58" i="22"/>
  <c r="J38" i="22"/>
  <c r="J8" i="22"/>
  <c r="J55" i="22"/>
  <c r="J57" i="22"/>
  <c r="J31" i="22"/>
  <c r="J52" i="22"/>
  <c r="J17" i="22"/>
  <c r="J39" i="22"/>
  <c r="J53" i="22"/>
  <c r="J25" i="22"/>
  <c r="J29" i="22"/>
  <c r="J19" i="22"/>
  <c r="J51" i="22"/>
  <c r="J23" i="22"/>
  <c r="J43" i="22"/>
  <c r="J27" i="22"/>
  <c r="J34" i="22"/>
  <c r="J33" i="22"/>
  <c r="J32" i="22"/>
  <c r="J42" i="22"/>
  <c r="J22" i="22"/>
  <c r="J40" i="22"/>
  <c r="J45" i="22"/>
  <c r="J11" i="22"/>
  <c r="J26" i="22"/>
  <c r="J10" i="22"/>
  <c r="J13" i="22"/>
  <c r="K104" i="22"/>
  <c r="K114" i="22"/>
  <c r="K77" i="22"/>
  <c r="K109" i="22"/>
  <c r="K80" i="22"/>
  <c r="K76" i="22"/>
  <c r="K108" i="22"/>
  <c r="K90" i="22"/>
  <c r="K95" i="22"/>
  <c r="K112" i="22"/>
  <c r="K87" i="22"/>
  <c r="K84" i="22"/>
  <c r="K93" i="22"/>
  <c r="K102" i="22"/>
  <c r="K113" i="22"/>
  <c r="K79" i="22"/>
  <c r="K98" i="22"/>
  <c r="K111" i="22"/>
  <c r="K88" i="22"/>
  <c r="K96" i="22"/>
  <c r="K99" i="22"/>
  <c r="K91" i="22"/>
  <c r="K101" i="22"/>
  <c r="K78" i="22"/>
  <c r="K75" i="22"/>
  <c r="K83" i="22"/>
  <c r="K110" i="22"/>
  <c r="K82" i="22"/>
  <c r="K107" i="22"/>
  <c r="K85" i="22"/>
  <c r="K94" i="22"/>
  <c r="K89" i="22"/>
  <c r="K73" i="22"/>
  <c r="K97" i="22"/>
  <c r="K100" i="22"/>
  <c r="K105" i="22"/>
  <c r="K103" i="22"/>
  <c r="K106" i="22"/>
  <c r="K86" i="22"/>
  <c r="K81" i="22"/>
  <c r="K92" i="22"/>
  <c r="K74" i="22"/>
  <c r="O86" i="22"/>
  <c r="O23" i="22"/>
  <c r="M54" i="22"/>
  <c r="N54" i="22"/>
  <c r="O54" i="22"/>
  <c r="M9" i="22"/>
  <c r="N9" i="22"/>
  <c r="O25" i="22"/>
  <c r="M45" i="22"/>
  <c r="N45" i="22"/>
  <c r="O45" i="22"/>
  <c r="M87" i="22"/>
  <c r="N87" i="22"/>
  <c r="O87" i="22"/>
  <c r="M55" i="22"/>
  <c r="N55" i="22"/>
  <c r="O55" i="22"/>
  <c r="O12" i="22"/>
  <c r="M18" i="22"/>
  <c r="N18" i="22"/>
  <c r="M73" i="22"/>
  <c r="N73" i="22"/>
  <c r="M74" i="22"/>
  <c r="N74" i="22"/>
  <c r="M83" i="22"/>
  <c r="N83" i="22"/>
  <c r="O83" i="22"/>
  <c r="M95" i="22"/>
  <c r="N95" i="22"/>
  <c r="M89" i="22"/>
  <c r="N89" i="22"/>
  <c r="O89" i="22"/>
  <c r="M111" i="22"/>
  <c r="N111" i="22"/>
  <c r="O111" i="22"/>
  <c r="M114" i="22"/>
  <c r="N114" i="22"/>
  <c r="O114" i="22"/>
  <c r="M88" i="22"/>
  <c r="N88" i="22"/>
  <c r="M107" i="22"/>
  <c r="N107" i="22"/>
  <c r="O107" i="22"/>
  <c r="M99" i="22"/>
  <c r="N99" i="22"/>
  <c r="O99" i="22"/>
  <c r="M102" i="22"/>
  <c r="N102" i="22"/>
  <c r="O102" i="22"/>
  <c r="M10" i="22"/>
  <c r="N10" i="22"/>
  <c r="M46" i="22"/>
  <c r="N46" i="22"/>
  <c r="O46" i="22"/>
  <c r="M19" i="22"/>
  <c r="N19" i="22"/>
  <c r="M38" i="22"/>
  <c r="N38" i="22"/>
  <c r="M42" i="22"/>
  <c r="N42" i="22"/>
  <c r="O42" i="22"/>
  <c r="M51" i="22"/>
  <c r="N51" i="22"/>
  <c r="O51" i="22"/>
  <c r="M28" i="22"/>
  <c r="N28" i="22"/>
  <c r="O28" i="22"/>
  <c r="M13" i="22"/>
  <c r="N13" i="22"/>
  <c r="M52" i="22"/>
  <c r="N52" i="22"/>
  <c r="O52" i="22"/>
  <c r="M30" i="22"/>
  <c r="N30" i="22"/>
  <c r="M57" i="22"/>
  <c r="N57" i="22"/>
  <c r="O57" i="22"/>
  <c r="M109" i="22"/>
  <c r="N109" i="22"/>
  <c r="O109" i="22"/>
  <c r="M84" i="22"/>
  <c r="N84" i="22"/>
  <c r="M97" i="22"/>
  <c r="N97" i="22"/>
  <c r="M92" i="22"/>
  <c r="N92" i="22"/>
  <c r="O92" i="22"/>
  <c r="M101" i="22"/>
  <c r="N101" i="22"/>
  <c r="O101" i="22"/>
  <c r="M85" i="22"/>
  <c r="N85" i="22"/>
  <c r="M90" i="22"/>
  <c r="N90" i="22"/>
  <c r="O90" i="22"/>
  <c r="M78" i="22"/>
  <c r="N78" i="22"/>
  <c r="M94" i="22"/>
  <c r="N94" i="22"/>
  <c r="M79" i="22"/>
  <c r="N79" i="22"/>
  <c r="M93" i="22"/>
  <c r="N93" i="22"/>
  <c r="O93" i="22"/>
  <c r="M104" i="22"/>
  <c r="N104" i="22"/>
  <c r="O104" i="22"/>
  <c r="M82" i="22"/>
  <c r="N82" i="22"/>
  <c r="M106" i="22"/>
  <c r="N106" i="22"/>
  <c r="O106" i="22"/>
  <c r="M8" i="22"/>
  <c r="N8" i="22"/>
  <c r="M37" i="22"/>
  <c r="N37" i="22"/>
  <c r="O37" i="22"/>
  <c r="M34" i="22"/>
  <c r="N34" i="22"/>
  <c r="O34" i="22"/>
  <c r="M33" i="22"/>
  <c r="N33" i="22"/>
  <c r="O33" i="22"/>
  <c r="M56" i="22"/>
  <c r="N56" i="22"/>
  <c r="O56" i="22"/>
  <c r="M29" i="22"/>
  <c r="N29" i="22"/>
  <c r="O29" i="22"/>
  <c r="M40" i="22"/>
  <c r="N40" i="22"/>
  <c r="M43" i="22"/>
  <c r="N43" i="22"/>
  <c r="O43" i="22"/>
  <c r="M31" i="22"/>
  <c r="N31" i="22"/>
  <c r="O31" i="22"/>
  <c r="M24" i="22"/>
  <c r="N24" i="22"/>
  <c r="M35" i="22"/>
  <c r="N35" i="22"/>
  <c r="O35" i="22"/>
  <c r="O103" i="22"/>
  <c r="O14" i="22"/>
  <c r="M105" i="22"/>
  <c r="N105" i="22"/>
  <c r="O105" i="22"/>
  <c r="M96" i="22"/>
  <c r="N96" i="22"/>
  <c r="M112" i="22"/>
  <c r="N112" i="22"/>
  <c r="O112" i="22"/>
  <c r="M98" i="22"/>
  <c r="N98" i="22"/>
  <c r="O98" i="22"/>
  <c r="M80" i="22"/>
  <c r="N80" i="22"/>
  <c r="O80" i="22"/>
  <c r="M91" i="22"/>
  <c r="N91" i="22"/>
  <c r="O91" i="22"/>
  <c r="M81" i="22"/>
  <c r="N81" i="22"/>
  <c r="O81" i="22"/>
  <c r="M100" i="22"/>
  <c r="N100" i="22"/>
  <c r="O100" i="22"/>
  <c r="M110" i="22"/>
  <c r="N110" i="22"/>
  <c r="O110" i="22"/>
  <c r="M76" i="22"/>
  <c r="N76" i="22"/>
  <c r="M44" i="22"/>
  <c r="N44" i="22"/>
  <c r="M36" i="22"/>
  <c r="N36" i="22"/>
  <c r="O36" i="22"/>
  <c r="M41" i="22"/>
  <c r="N41" i="22"/>
  <c r="M11" i="22"/>
  <c r="N11" i="22"/>
  <c r="M27" i="22"/>
  <c r="N27" i="22"/>
  <c r="M58" i="22"/>
  <c r="N58" i="22"/>
  <c r="O58" i="22"/>
  <c r="M32" i="22"/>
  <c r="N32" i="22"/>
  <c r="O32" i="22"/>
  <c r="M21" i="22"/>
  <c r="N21" i="22"/>
  <c r="O21" i="22"/>
  <c r="M22" i="22"/>
  <c r="N22" i="22"/>
  <c r="O22" i="22"/>
  <c r="M17" i="22"/>
  <c r="N17" i="22"/>
  <c r="O17" i="22"/>
  <c r="M26" i="22"/>
  <c r="N26" i="22"/>
  <c r="O26" i="22"/>
  <c r="M53" i="22"/>
  <c r="N53" i="22"/>
  <c r="O53" i="22"/>
  <c r="O41" i="22"/>
  <c r="O8" i="22"/>
  <c r="O19" i="22"/>
  <c r="O74" i="22"/>
  <c r="O79" i="22"/>
  <c r="O85" i="22"/>
  <c r="O97" i="22"/>
  <c r="O30" i="22"/>
  <c r="O73" i="22"/>
  <c r="O27" i="22"/>
  <c r="O44" i="22"/>
  <c r="O40" i="22"/>
  <c r="O82" i="22"/>
  <c r="O94" i="22"/>
  <c r="O84" i="22"/>
  <c r="O10" i="22"/>
  <c r="O88" i="22"/>
  <c r="O95" i="22"/>
  <c r="O18" i="22"/>
  <c r="O9" i="22"/>
  <c r="O11" i="22"/>
  <c r="O76" i="22"/>
  <c r="O96" i="22"/>
  <c r="O24" i="22"/>
  <c r="O78" i="22"/>
  <c r="O13" i="22"/>
  <c r="O38" i="22"/>
</calcChain>
</file>

<file path=xl/comments1.xml><?xml version="1.0" encoding="utf-8"?>
<comments xmlns="http://schemas.openxmlformats.org/spreadsheetml/2006/main">
  <authors>
    <author>Chris Wall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Chris Wall:</t>
        </r>
        <r>
          <rPr>
            <sz val="9"/>
            <color indexed="81"/>
            <rFont val="Tahoma"/>
            <family val="2"/>
          </rPr>
          <t xml:space="preserve">
Includes MU-4</t>
        </r>
      </text>
    </comment>
  </commentList>
</comments>
</file>

<file path=xl/comments2.xml><?xml version="1.0" encoding="utf-8"?>
<comments xmlns="http://schemas.openxmlformats.org/spreadsheetml/2006/main">
  <authors>
    <author>Bickey Rimal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Bickey Rimal:</t>
        </r>
        <r>
          <rPr>
            <sz val="9"/>
            <color indexed="81"/>
            <rFont val="Tahoma"/>
            <family val="2"/>
          </rPr>
          <t xml:space="preserve">
Only includes Company maintained lamps.</t>
        </r>
      </text>
    </comment>
  </commentList>
</comments>
</file>

<file path=xl/sharedStrings.xml><?xml version="1.0" encoding="utf-8"?>
<sst xmlns="http://schemas.openxmlformats.org/spreadsheetml/2006/main" count="409" uniqueCount="211">
  <si>
    <t>Indianapolis Power &amp; Light Company</t>
  </si>
  <si>
    <t>Cause No. 45029</t>
  </si>
  <si>
    <t>WP New Lighting Rates</t>
  </si>
  <si>
    <t>Indianapolis Power and Light Company</t>
  </si>
  <si>
    <t xml:space="preserve"> </t>
  </si>
  <si>
    <t>Lighting Rate Design - Rate MU-1 (New) and Rate APL (New)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</si>
  <si>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</si>
  <si>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</si>
  <si>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</si>
  <si>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</si>
  <si>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</si>
  <si>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</si>
  <si>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</si>
  <si>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</si>
  <si>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</si>
  <si>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</si>
  <si>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</si>
  <si>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</si>
  <si>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</si>
  <si>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</si>
  <si>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Line No.</t>
  </si>
  <si>
    <t>Rate</t>
  </si>
  <si>
    <t>Rate Code</t>
  </si>
  <si>
    <t>Watts with Ballast</t>
  </si>
  <si>
    <t>Description</t>
  </si>
  <si>
    <t>Installed Cost</t>
  </si>
  <si>
    <t>Return</t>
  </si>
  <si>
    <t>Depreciation, Property Tax, and Insurance</t>
  </si>
  <si>
    <t>Fuel &amp; Energy Expense</t>
  </si>
  <si>
    <t>Demand Expense</t>
  </si>
  <si>
    <t>Customer Expense</t>
  </si>
  <si>
    <t>O&amp;M Expense</t>
  </si>
  <si>
    <t>Total Expenses</t>
  </si>
  <si>
    <t>Proposed Annual Rate</t>
  </si>
  <si>
    <t>Proposed Monthly Rate</t>
  </si>
  <si>
    <r>
      <t>[</t>
    </r>
    <r>
      <rPr>
        <b/>
        <sz val="10"/>
        <color theme="1"/>
        <rFont val="Century Gothic"/>
        <family val="2"/>
      </rPr>
      <t>E</t>
    </r>
    <r>
      <rPr>
        <sz val="10"/>
        <color theme="1"/>
        <rFont val="Century Gothic"/>
        <family val="2"/>
      </rPr>
      <t>*(WACC)]* Revenue Conversion Factor</t>
    </r>
  </si>
  <si>
    <r>
      <t>(</t>
    </r>
    <r>
      <rPr>
        <b/>
        <sz val="10"/>
        <color theme="1"/>
        <rFont val="Century Gothic"/>
        <family val="2"/>
      </rPr>
      <t>E</t>
    </r>
    <r>
      <rPr>
        <sz val="10"/>
        <color theme="1"/>
        <rFont val="Century Gothic"/>
        <family val="2"/>
      </rPr>
      <t>*Depr)+ (</t>
    </r>
    <r>
      <rPr>
        <b/>
        <sz val="10"/>
        <color theme="1"/>
        <rFont val="Century Gothic"/>
        <family val="2"/>
      </rPr>
      <t>E</t>
    </r>
    <r>
      <rPr>
        <sz val="10"/>
        <color theme="1"/>
        <rFont val="Century Gothic"/>
        <family val="2"/>
      </rPr>
      <t>*Tax Rate*.3)+ Insurance</t>
    </r>
  </si>
  <si>
    <r>
      <t>Operating Hours*Fuel &amp; Energy Component *(</t>
    </r>
    <r>
      <rPr>
        <b/>
        <sz val="10"/>
        <color theme="1"/>
        <rFont val="Century Gothic"/>
        <family val="2"/>
      </rPr>
      <t>C</t>
    </r>
    <r>
      <rPr>
        <sz val="10"/>
        <color theme="1"/>
        <rFont val="Century Gothic"/>
        <family val="2"/>
      </rPr>
      <t>/1000)</t>
    </r>
  </si>
  <si>
    <r>
      <t>Demand Component*</t>
    </r>
    <r>
      <rPr>
        <b/>
        <sz val="10"/>
        <color theme="1"/>
        <rFont val="Century Gothic"/>
        <family val="2"/>
      </rPr>
      <t>C</t>
    </r>
  </si>
  <si>
    <t>Customer Component</t>
  </si>
  <si>
    <t>O&amp;M Component</t>
  </si>
  <si>
    <r>
      <t>(</t>
    </r>
    <r>
      <rPr>
        <b/>
        <sz val="10"/>
        <color theme="1"/>
        <rFont val="Century Gothic"/>
        <family val="2"/>
      </rPr>
      <t>G</t>
    </r>
    <r>
      <rPr>
        <sz val="10"/>
        <color theme="1"/>
        <rFont val="Century Gothic"/>
        <family val="2"/>
      </rPr>
      <t>+</t>
    </r>
    <r>
      <rPr>
        <b/>
        <sz val="10"/>
        <color theme="1"/>
        <rFont val="Century Gothic"/>
        <family val="2"/>
      </rPr>
      <t>H</t>
    </r>
    <r>
      <rPr>
        <sz val="10"/>
        <color theme="1"/>
        <rFont val="Century Gothic"/>
        <family val="2"/>
      </rPr>
      <t>+</t>
    </r>
    <r>
      <rPr>
        <b/>
        <sz val="10"/>
        <color theme="1"/>
        <rFont val="Century Gothic"/>
        <family val="2"/>
      </rPr>
      <t>I</t>
    </r>
    <r>
      <rPr>
        <sz val="10"/>
        <color theme="1"/>
        <rFont val="Century Gothic"/>
        <family val="2"/>
      </rPr>
      <t>+</t>
    </r>
    <r>
      <rPr>
        <b/>
        <sz val="10"/>
        <color theme="1"/>
        <rFont val="Century Gothic"/>
        <family val="2"/>
      </rPr>
      <t>J</t>
    </r>
    <r>
      <rPr>
        <sz val="10"/>
        <color theme="1"/>
        <rFont val="Century Gothic"/>
        <family val="2"/>
      </rPr>
      <t>+</t>
    </r>
    <r>
      <rPr>
        <b/>
        <sz val="10"/>
        <color theme="1"/>
        <rFont val="Century Gothic"/>
        <family val="2"/>
      </rPr>
      <t>K</t>
    </r>
    <r>
      <rPr>
        <sz val="10"/>
        <color theme="1"/>
        <rFont val="Century Gothic"/>
        <family val="2"/>
      </rPr>
      <t>)* Revenue Conversion Factor for Expense</t>
    </r>
  </si>
  <si>
    <r>
      <rPr>
        <b/>
        <sz val="10"/>
        <color theme="1"/>
        <rFont val="Century Gothic"/>
        <family val="2"/>
      </rPr>
      <t>F</t>
    </r>
    <r>
      <rPr>
        <sz val="10"/>
        <color theme="1"/>
        <rFont val="Century Gothic"/>
        <family val="2"/>
      </rPr>
      <t>+</t>
    </r>
    <r>
      <rPr>
        <b/>
        <sz val="10"/>
        <color theme="1"/>
        <rFont val="Century Gothic"/>
        <family val="2"/>
      </rPr>
      <t>L (Rounded)</t>
    </r>
  </si>
  <si>
    <t>M/12</t>
  </si>
  <si>
    <t xml:space="preserve">APL  </t>
  </si>
  <si>
    <t xml:space="preserve">100 WATT LIGHT - LIGHT ONLY            </t>
  </si>
  <si>
    <t xml:space="preserve">150 WATT HPS REDDY SENT. - LIGHT ONLY       </t>
  </si>
  <si>
    <t xml:space="preserve">250 WATT HPS REDDY SENT. - LIGHT ONLY  </t>
  </si>
  <si>
    <t>400 WATT HPS REDDY SENT.  - LIGHT ONLY</t>
  </si>
  <si>
    <t>150 WATT HPS FLOOD - OVERHEAD  - LIGHT ONLY</t>
  </si>
  <si>
    <t>250 WATT HPS FLOOD - OVERHEAD - LIGHT ONLY</t>
  </si>
  <si>
    <t>400 WATT HPS FLOOD - OVERHEAD - LIGHT ONLY</t>
  </si>
  <si>
    <t xml:space="preserve">WOOD POLE WITH OVERHEAD FEED IF PAIRED W/LIGHT        </t>
  </si>
  <si>
    <t xml:space="preserve">WOOD POLE WITH UNDERGROUND FEED IF PAIRED W/LIGHT     </t>
  </si>
  <si>
    <t xml:space="preserve">400 WATT HPS-1ST FIXTURE                </t>
  </si>
  <si>
    <t xml:space="preserve">250 WATT HPS-1ST FIXTURE                </t>
  </si>
  <si>
    <t xml:space="preserve">150 WATT HPS-1ST FIXTURE                </t>
  </si>
  <si>
    <t xml:space="preserve">100 WATT HPS-1ST FIXTURE                </t>
  </si>
  <si>
    <t>400 WATT HPS - 1ST FIXTURE PAINTED BRONZ</t>
  </si>
  <si>
    <t>250 WATT HPS - 1ST FIXTURE PAINTED BRONZ</t>
  </si>
  <si>
    <t xml:space="preserve">400 WATT HPS-1ST FIXTURE-SHOEBOX        </t>
  </si>
  <si>
    <t xml:space="preserve">250 WATT HPS-1ST FIXTURE-SHOEBOX        </t>
  </si>
  <si>
    <t xml:space="preserve">150 WATT HPS-1ST FIXTURE-FLOOD          </t>
  </si>
  <si>
    <t xml:space="preserve">250 WATT HPS-1ST FIXTURE-FLOOD          </t>
  </si>
  <si>
    <t xml:space="preserve">400 WATT HPS-1ST FIXTURE-FLOOD          </t>
  </si>
  <si>
    <t xml:space="preserve">400 WATT HPS-ADDIT'L FIXTURE - LIGHT ONLY </t>
  </si>
  <si>
    <t>250 WATT HPS-ADDIT'L FIXTURE  - LIGHT ONLY</t>
  </si>
  <si>
    <t>150 WATT HPS-ADDIT'L FIXTURE - LIGHT ONLY</t>
  </si>
  <si>
    <t>100 WATT HPS-ADDIT'L FIXTURE - LIGHT ONLY</t>
  </si>
  <si>
    <t xml:space="preserve">400 WATT HPS -ADDITIONAL FIXTURE-PAINTED - LIGHT ONLY </t>
  </si>
  <si>
    <t>250 WATT HPS -ADDITIONAL FIXTURE-PAINTED - LIGHT ONLY</t>
  </si>
  <si>
    <t>400 WATT HPS-ADDIT'L FIXTURE-SHOEBOX - LIGHT ONLY</t>
  </si>
  <si>
    <t>250 WATT HPS-ADDIT'L FIXTURE-SHOEBOX - LIGHT ONLY</t>
  </si>
  <si>
    <t>150 WATT HPS-ADDIT'L FIXTURE-FLOOD - LIGHT ONLY</t>
  </si>
  <si>
    <t>250 WATT HPS-ADDIT'L FIXTURE-FLOOD - LIGHT ONLY</t>
  </si>
  <si>
    <t>400 WATT HPS-ADDIT'L FIXTURE-FLOOD - LIGHT ONLY</t>
  </si>
  <si>
    <t xml:space="preserve">100 W HPS POST TOP WASH                 </t>
  </si>
  <si>
    <t xml:space="preserve">100 W HPS POST TOP                      </t>
  </si>
  <si>
    <t xml:space="preserve">150 W HPS POST TOP WASH         </t>
  </si>
  <si>
    <t xml:space="preserve">150 W HPS POST TOP                 </t>
  </si>
  <si>
    <t>250 WATT MH 18' DIRECT EMBEDDED</t>
  </si>
  <si>
    <t>250 WATT MH 12' ANCHOR BASED</t>
  </si>
  <si>
    <t>2-250 WATT MH 18' DIRECT EMBEDDED</t>
  </si>
  <si>
    <t>2-250 WATT MH 12' ANCHOR BASED</t>
  </si>
  <si>
    <t>250 WATT MH 18' DIRECT EMBEDDED - METERED</t>
  </si>
  <si>
    <t>250 WATT MH 12' ANCHOR BASED - METERED</t>
  </si>
  <si>
    <t>2-250 WATT MH 18' DIRECT EMBEDDED - METERED</t>
  </si>
  <si>
    <t>2-250 WATT MH 12' ANCHOR BASED - METERED</t>
  </si>
  <si>
    <t>LED COBRA HEAD (5,000-6,000 LUMENS) - LIGHT ONLY</t>
  </si>
  <si>
    <t>LED COBRA HEAD (6,500-7,500 LUMENS) - LIGHT ONLY</t>
  </si>
  <si>
    <t>LED COBRA HEAD (12,500-13,500 LUMENS) - LIGHT ONLY</t>
  </si>
  <si>
    <t>LED COBRA HEAD (20,000-21,500 LUMENS) - LIGHT ONLY</t>
  </si>
  <si>
    <t>LED AREA LIGHT (11,500-16500 LUMENS) - LIGHT ONLY</t>
  </si>
  <si>
    <t>LED AREA LIGHT (21,000-26,000) - LIGHT ONLY</t>
  </si>
  <si>
    <t>LED TRADITIONAL POST TOP (6000-7,500 LUMENS) - LIGHT ONLY</t>
  </si>
  <si>
    <t>LED TWIN WASHINGTON POST TOP (2 at 6000-7,500 LUMENS) - LIGHT ONLY</t>
  </si>
  <si>
    <t>LED WASHINGTON POST TOP (6000-7500 LUMENS) - LIGHT ONLY</t>
  </si>
  <si>
    <t>12' FIBERGLASS TRADITIONAL COLUMN WITH UNDERGROUND FEED IF PAIRED W/LIGHT</t>
  </si>
  <si>
    <t>12' FIBERGLASS FLUTED COLUMN WITHOUT BASE MOUNT WITH UNDERGROUND FEED IF PAIRED W/LIGHT</t>
  </si>
  <si>
    <t>14' ALUMINUM FLUTED COLUMN WITHOUT BASE MOUNT WITH UNDERGROUND FEED IF PAIRED W/LIGHT</t>
  </si>
  <si>
    <t>14' FIBERGLASS FLUTED COLUMN DIRECT BURY WITH UNDERGROUND FEED IF PAIRED W/LIGHT</t>
  </si>
  <si>
    <t>14' FIBERGLASS SMOOTH ROUND COLUMN DIRECT BURY WITH UNDERGROUND FEED IF PAIRED W/LIGHT</t>
  </si>
  <si>
    <t>ALUMINUM COLUMN WITH BASE WITH UNDERGROUND FEED IF PAIRED W/LIGHT</t>
  </si>
  <si>
    <t>ALUMINUM COLUMN WITHOUT BASE WITH UNDERGROUND FEED IF PAIRED W/LIGHT</t>
  </si>
  <si>
    <t>ALUMINUM BRONZE COLUMN WITH BASE WITH UNDERGROUND FEED IF PAIRED W/LIGHT</t>
  </si>
  <si>
    <t>ALUMINUM BRONZE COLUMN WITHOUT BASE WITH UNDERGROUND FEED IF PAIRED W/LIGHT</t>
  </si>
  <si>
    <t>FIBERGLASS COLUMN DIRECT BURY WITH UNDERGROUND FEED IF PAIRED W/LIGHT</t>
  </si>
  <si>
    <t xml:space="preserve">MU-1  </t>
  </si>
  <si>
    <t xml:space="preserve">MU-1 </t>
  </si>
  <si>
    <t xml:space="preserve">400 WATT HPS - OVERHEAD                 </t>
  </si>
  <si>
    <t>MU-1</t>
  </si>
  <si>
    <t xml:space="preserve">400 WATT HPS -  TRAFFIC COLUMN          </t>
  </si>
  <si>
    <t xml:space="preserve">400 WATT HPS - METAL COLUMN             </t>
  </si>
  <si>
    <t xml:space="preserve">250 WATT HPS - OVERHEAD                 </t>
  </si>
  <si>
    <t xml:space="preserve">250 WATT HPS - TRAFFIC COLUMN           </t>
  </si>
  <si>
    <t xml:space="preserve">250 WATT HPS - METAL COLUMN             </t>
  </si>
  <si>
    <t xml:space="preserve">150 WATT HPS - OVERHEAD                 </t>
  </si>
  <si>
    <t xml:space="preserve">150 WATT HPS - TRAFFIC COLUMN           </t>
  </si>
  <si>
    <t xml:space="preserve">150 WATT HPS - METAL COLUMN             </t>
  </si>
  <si>
    <t xml:space="preserve">100 WATT HPS - OVERHEAD                 </t>
  </si>
  <si>
    <t xml:space="preserve">100 WATT HPS - TRAFFIC COLUMN           </t>
  </si>
  <si>
    <t xml:space="preserve">100 WATT HPS - METAL COLUMN             </t>
  </si>
  <si>
    <t xml:space="preserve">100 W HPS - POST TOP                    </t>
  </si>
  <si>
    <t xml:space="preserve">100 W HPS - POST TOP WASH               </t>
  </si>
  <si>
    <t xml:space="preserve">150 W HPS- POST TOP               </t>
  </si>
  <si>
    <t xml:space="preserve">150 W HPS - POST TOP WASH               </t>
  </si>
  <si>
    <t xml:space="preserve">1-150 &amp; 4-100 WATT HPS - CLUSTER        </t>
  </si>
  <si>
    <t>400 WATT HPS-METAL COLUMN-PAINTED BRONZE</t>
  </si>
  <si>
    <t>400 WATT HPS-TRAFFIC COLUMN</t>
  </si>
  <si>
    <t>250 WATT HPS-METAL COLUMN-PAINTED BRONZE</t>
  </si>
  <si>
    <t>250 WATT HPS-TRAFFIC COLUMN</t>
  </si>
  <si>
    <t xml:space="preserve">100 WATT HPS - FIBERGLASS COLUMN        </t>
  </si>
  <si>
    <t xml:space="preserve">150 WATT HPS - FIBERGLASS COLUMN        </t>
  </si>
  <si>
    <t xml:space="preserve">250 WATT HPS - FIBERGLASS COLUMN        </t>
  </si>
  <si>
    <t xml:space="preserve">400 WATT HPS - FIBERGLASS COLUMN        </t>
  </si>
  <si>
    <t>150 WATT HPS UPASS -WALL MOUNTED</t>
  </si>
  <si>
    <t xml:space="preserve">250 W HPS - SHOEBOX                     </t>
  </si>
  <si>
    <t xml:space="preserve">2-250 W HPS-SHOEBOX                     </t>
  </si>
  <si>
    <t xml:space="preserve">400 WATT HPS UPASS 8760HRS WALL MOUNTED </t>
  </si>
  <si>
    <t xml:space="preserve">150 WATT HPS UPASS 8760HRS WALL MOUNTED </t>
  </si>
  <si>
    <t xml:space="preserve">400 W HPS - SHOEBOX                     </t>
  </si>
  <si>
    <t xml:space="preserve">2-400 W HPS-SHOEBOX                     </t>
  </si>
  <si>
    <t xml:space="preserve">PEDESTRIAN LIGHT FOR CIRCLE CENTRE MALL </t>
  </si>
  <si>
    <t>(A)</t>
  </si>
  <si>
    <t>(B)</t>
  </si>
  <si>
    <t>(C)</t>
  </si>
  <si>
    <t>(D)</t>
  </si>
  <si>
    <t>(E)</t>
  </si>
  <si>
    <t>Line</t>
  </si>
  <si>
    <t>Balance 6/30/2017</t>
  </si>
  <si>
    <t>% of Total</t>
  </si>
  <si>
    <t>Required Return</t>
  </si>
  <si>
    <t>Weighted Required Return</t>
  </si>
  <si>
    <t>No.</t>
  </si>
  <si>
    <t>Long Term Debt</t>
  </si>
  <si>
    <t>Preferred Stock</t>
  </si>
  <si>
    <t>Common Equity</t>
  </si>
  <si>
    <t>Customer Deposits</t>
  </si>
  <si>
    <t>Prepaid Pension Asset (net)</t>
  </si>
  <si>
    <t>Deferred Income Taxes and Pre-1971 ITC</t>
  </si>
  <si>
    <t>Post-1970 ITC</t>
  </si>
  <si>
    <t>Weighted Average Cost of Capital [1]</t>
  </si>
  <si>
    <t>Revenue Conversion Factor for Capital</t>
  </si>
  <si>
    <t>[1]</t>
  </si>
  <si>
    <t>IPL Financial Exhibit IPL-CC, Schedule CC3</t>
  </si>
  <si>
    <t>Tax and Depreciation</t>
  </si>
  <si>
    <t>APL</t>
  </si>
  <si>
    <t>Depreciation [1]</t>
  </si>
  <si>
    <t>Depreciation - LED Only[1]</t>
  </si>
  <si>
    <t>Property Tax [2]</t>
  </si>
  <si>
    <t>Insurance</t>
  </si>
  <si>
    <t>Revenue Conversion Factor for Debt &amp; Expense</t>
  </si>
  <si>
    <t>[1] JJS Attachment 1</t>
  </si>
  <si>
    <t>[2] Property Tax is 2016 pay 2017 average rate for Marion County</t>
  </si>
  <si>
    <t>Fuel, Energy, Demand, and Customer components based on Allocated Cost of Service Study (ACOSS)</t>
  </si>
  <si>
    <t>(F)</t>
  </si>
  <si>
    <t>Amount</t>
  </si>
  <si>
    <t>Alloc. Factor</t>
  </si>
  <si>
    <t>Per Unit Amount ($)</t>
  </si>
  <si>
    <t>Alloc. Factor Desc.</t>
  </si>
  <si>
    <t>Source</t>
  </si>
  <si>
    <t>APL Specific O&amp;M (Account 587 &amp; 598)</t>
  </si>
  <si>
    <t>ACOSS Model</t>
  </si>
  <si>
    <t>Depreciation Expense (Account 371)</t>
  </si>
  <si>
    <t>Customer Excluding O&amp;M and Depr</t>
  </si>
  <si>
    <t># of All Lamps</t>
  </si>
  <si>
    <t>Demand Component</t>
  </si>
  <si>
    <t>Watts of All Lamps</t>
  </si>
  <si>
    <t>Energy Component</t>
  </si>
  <si>
    <t>kWh of All Lamps</t>
  </si>
  <si>
    <t>Fuel Component</t>
  </si>
  <si>
    <t>ACOSS Un-Mitigated Revenue Requirement</t>
  </si>
  <si>
    <t>MU1 Specific O&amp;M (Account 585 &amp; 596)</t>
  </si>
  <si>
    <t>Depreciation Expense (Account 373)</t>
  </si>
  <si>
    <t>Operation and Maintenance (O&amp;M) Costs</t>
  </si>
  <si>
    <t>(G)</t>
  </si>
  <si>
    <t>O&amp;M Accounts</t>
  </si>
  <si>
    <t>Inventory as of June 30, 2016</t>
  </si>
  <si>
    <t>Average Annual O&amp;M Per Light</t>
  </si>
  <si>
    <t>25% LED Reduction</t>
  </si>
  <si>
    <t>Average Annual O&amp;M Per LED Light</t>
  </si>
  <si>
    <t>587 (APL)</t>
  </si>
  <si>
    <t>598 (APL)</t>
  </si>
  <si>
    <t xml:space="preserve">APL Total </t>
  </si>
  <si>
    <t>Customer Installations Expense</t>
  </si>
  <si>
    <t>Maintenance of Miscellaneous Distribution Plant</t>
  </si>
  <si>
    <t>596 (MU-1)</t>
  </si>
  <si>
    <t>585 (MU-1)</t>
  </si>
  <si>
    <t xml:space="preserve">MU-1 Total </t>
  </si>
  <si>
    <t>Maintenance Street Lighting &amp; Signal System</t>
  </si>
  <si>
    <t>Street Lighting &amp; Signal System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</si>
</sst>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&quot;$&quot;#,##0.00;\(&quot;$&quot;#,##0.00\)"/>
    <numFmt numFmtId="167" formatCode="[$-409]mmmm\ d\,;@"/>
    <numFmt numFmtId="168" formatCode="&quot;$&quot;#,##0\ ;\(&quot;$&quot;#,##0\)"/>
    <numFmt numFmtId="169" formatCode="_([$€-2]* #,##0.00_);_([$€-2]* \(#,##0.00\);_([$€-2]* &quot;-&quot;??_)"/>
    <numFmt numFmtId="170" formatCode="_(&quot;$&quot;* #,##0_);_(&quot;$&quot;* \(#,##0\);_(&quot;$&quot;* &quot;-&quot;????_);_(@_)"/>
    <numFmt numFmtId="171" formatCode="&quot;$&quot;#,##0.000_);\(&quot;$&quot;#,##0.000\)"/>
    <numFmt numFmtId="172" formatCode="&quot;$&quot;#,##0.0000_);\(&quot;$&quot;#,##0.0000\)"/>
    <numFmt numFmtId="173" formatCode="_(&quot;$&quot;* #,##0_);_(&quot;$&quot;* \(#,##0\);_(&quot;$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Times New Roman"/>
      <family val="1"/>
    </font>
    <font>
      <sz val="11"/>
      <name val="Times New Roman"/>
      <family val="1"/>
    </font>
    <font>
      <sz val="12"/>
      <name val="Helv"/>
    </font>
    <font>
      <sz val="12"/>
      <name val="Courier New"/>
      <family val="3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rgb="FFFA7D00"/>
      <name val="Arial"/>
      <family val="2"/>
    </font>
    <font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i/>
      <u/>
      <sz val="10"/>
      <color indexed="18"/>
      <name val="Century Gothic"/>
      <family val="2"/>
    </font>
    <font>
      <sz val="10"/>
      <name val="Century Gothic"/>
      <family val="2"/>
    </font>
    <font>
      <i/>
      <sz val="10"/>
      <color theme="1"/>
      <name val="Century Gothic"/>
      <family val="2"/>
    </font>
    <font>
      <b/>
      <u/>
      <sz val="10"/>
      <name val="Century Gothic"/>
      <family val="2"/>
    </font>
    <font>
      <b/>
      <i/>
      <sz val="10"/>
      <color indexed="18"/>
      <name val="Century Gothic"/>
      <family val="2"/>
    </font>
    <font>
      <sz val="10"/>
      <name val="Verdana"/>
      <family val="2"/>
    </font>
    <font>
      <sz val="10"/>
      <color rgb="FFFF0000"/>
      <name val="Century Gothic"/>
      <family val="2"/>
    </font>
    <font>
      <sz val="10"/>
      <color theme="0" tint="-0.1499984740745262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/>
    <xf numFmtId="167" fontId="6" fillId="0" borderId="0">
      <alignment vertical="top"/>
    </xf>
    <xf numFmtId="0" fontId="7" fillId="4" borderId="0">
      <alignment horizontal="left"/>
    </xf>
    <xf numFmtId="0" fontId="8" fillId="4" borderId="0">
      <alignment horizontal="right"/>
    </xf>
    <xf numFmtId="0" fontId="9" fillId="5" borderId="0">
      <alignment horizontal="center"/>
    </xf>
    <xf numFmtId="0" fontId="8" fillId="4" borderId="0">
      <alignment horizontal="right"/>
    </xf>
    <xf numFmtId="0" fontId="10" fillId="5" borderId="0">
      <alignment horizontal="left"/>
    </xf>
    <xf numFmtId="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 applyProtection="0"/>
    <xf numFmtId="0" fontId="13" fillId="0" borderId="0" applyProtection="0"/>
    <xf numFmtId="0" fontId="14" fillId="0" borderId="0" applyProtection="0"/>
    <xf numFmtId="0" fontId="15" fillId="0" borderId="0" applyProtection="0"/>
    <xf numFmtId="0" fontId="11" fillId="0" borderId="0" applyProtection="0"/>
    <xf numFmtId="0" fontId="12" fillId="0" borderId="0" applyProtection="0"/>
    <xf numFmtId="0" fontId="16" fillId="0" borderId="0" applyProtection="0"/>
    <xf numFmtId="2" fontId="11" fillId="0" borderId="0" applyFont="0" applyFill="0" applyBorder="0" applyAlignment="0" applyProtection="0"/>
    <xf numFmtId="0" fontId="7" fillId="4" borderId="0">
      <alignment horizontal="left"/>
    </xf>
    <xf numFmtId="0" fontId="17" fillId="5" borderId="0">
      <alignment horizontal="left"/>
    </xf>
    <xf numFmtId="0" fontId="11" fillId="0" borderId="0"/>
    <xf numFmtId="4" fontId="18" fillId="6" borderId="0">
      <alignment horizontal="right"/>
    </xf>
    <xf numFmtId="0" fontId="19" fillId="6" borderId="0">
      <alignment horizontal="center" vertical="center"/>
    </xf>
    <xf numFmtId="0" fontId="17" fillId="6" borderId="4"/>
    <xf numFmtId="0" fontId="19" fillId="6" borderId="0" applyBorder="0">
      <alignment horizontal="centerContinuous"/>
    </xf>
    <xf numFmtId="0" fontId="20" fillId="6" borderId="0" applyBorder="0">
      <alignment horizontal="centerContinuous"/>
    </xf>
    <xf numFmtId="0" fontId="17" fillId="7" borderId="0">
      <alignment horizontal="center"/>
    </xf>
    <xf numFmtId="49" fontId="21" fillId="5" borderId="0">
      <alignment horizontal="center"/>
    </xf>
    <xf numFmtId="0" fontId="8" fillId="4" borderId="0">
      <alignment horizontal="center"/>
    </xf>
    <xf numFmtId="0" fontId="8" fillId="4" borderId="0">
      <alignment horizontal="centerContinuous"/>
    </xf>
    <xf numFmtId="0" fontId="22" fillId="5" borderId="0">
      <alignment horizontal="left"/>
    </xf>
    <xf numFmtId="49" fontId="22" fillId="5" borderId="0">
      <alignment horizontal="center"/>
    </xf>
    <xf numFmtId="0" fontId="7" fillId="4" borderId="0">
      <alignment horizontal="left"/>
    </xf>
    <xf numFmtId="49" fontId="22" fillId="5" borderId="0">
      <alignment horizontal="left"/>
    </xf>
    <xf numFmtId="0" fontId="7" fillId="4" borderId="0">
      <alignment horizontal="centerContinuous"/>
    </xf>
    <xf numFmtId="0" fontId="7" fillId="4" borderId="0">
      <alignment horizontal="right"/>
    </xf>
    <xf numFmtId="49" fontId="17" fillId="5" borderId="0">
      <alignment horizontal="left"/>
    </xf>
    <xf numFmtId="0" fontId="8" fillId="4" borderId="0">
      <alignment horizontal="right"/>
    </xf>
    <xf numFmtId="0" fontId="22" fillId="8" borderId="0">
      <alignment horizontal="center"/>
    </xf>
    <xf numFmtId="0" fontId="23" fillId="8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5" borderId="0">
      <alignment horizontal="center"/>
    </xf>
    <xf numFmtId="0" fontId="12" fillId="6" borderId="0">
      <alignment horizontal="left" wrapText="1"/>
    </xf>
    <xf numFmtId="41" fontId="25" fillId="9" borderId="5">
      <alignment horizontal="left"/>
      <protection locked="0"/>
    </xf>
    <xf numFmtId="41" fontId="26" fillId="6" borderId="0">
      <alignment horizontal="left"/>
    </xf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10" borderId="7" applyNumberFormat="0" applyAlignment="0" applyProtection="0"/>
    <xf numFmtId="0" fontId="40" fillId="0" borderId="0"/>
  </cellStyleXfs>
  <cellXfs count="127">
    <xf numFmtId="0" fontId="0" fillId="0" borderId="0" xfId="0"/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Fill="1"/>
    <xf numFmtId="44" fontId="33" fillId="0" borderId="0" xfId="0" applyNumberFormat="1" applyFont="1"/>
    <xf numFmtId="0" fontId="36" fillId="0" borderId="0" xfId="5" applyFont="1"/>
    <xf numFmtId="0" fontId="32" fillId="2" borderId="6" xfId="0" applyFont="1" applyFill="1" applyBorder="1"/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Border="1"/>
    <xf numFmtId="0" fontId="33" fillId="0" borderId="2" xfId="0" applyFont="1" applyBorder="1"/>
    <xf numFmtId="0" fontId="36" fillId="0" borderId="0" xfId="0" applyFont="1" applyFill="1"/>
    <xf numFmtId="0" fontId="36" fillId="0" borderId="0" xfId="0" applyFont="1" applyFill="1" applyAlignment="1">
      <alignment horizontal="left"/>
    </xf>
    <xf numFmtId="0" fontId="36" fillId="0" borderId="0" xfId="0" applyFont="1" applyFill="1" applyAlignment="1"/>
    <xf numFmtId="0" fontId="36" fillId="0" borderId="0" xfId="0" applyFont="1" applyFill="1" applyAlignment="1">
      <alignment horizontal="centerContinuous"/>
    </xf>
    <xf numFmtId="7" fontId="36" fillId="0" borderId="0" xfId="0" applyNumberFormat="1" applyFont="1" applyFill="1"/>
    <xf numFmtId="0" fontId="38" fillId="0" borderId="0" xfId="0" applyFont="1" applyFill="1" applyAlignment="1"/>
    <xf numFmtId="0" fontId="36" fillId="0" borderId="0" xfId="0" applyFont="1" applyFill="1" applyAlignment="1">
      <alignment horizontal="center"/>
    </xf>
    <xf numFmtId="0" fontId="34" fillId="0" borderId="0" xfId="0" applyFont="1" applyFill="1" applyAlignment="1"/>
    <xf numFmtId="0" fontId="34" fillId="0" borderId="0" xfId="0" applyFont="1" applyFill="1" applyAlignment="1">
      <alignment horizontal="right"/>
    </xf>
    <xf numFmtId="0" fontId="36" fillId="0" borderId="6" xfId="0" applyFont="1" applyFill="1" applyBorder="1"/>
    <xf numFmtId="0" fontId="32" fillId="0" borderId="1" xfId="0" applyFont="1" applyBorder="1"/>
    <xf numFmtId="0" fontId="37" fillId="0" borderId="0" xfId="0" applyFont="1" applyBorder="1"/>
    <xf numFmtId="0" fontId="33" fillId="0" borderId="0" xfId="0" applyFont="1" applyBorder="1" applyAlignment="1">
      <alignment horizontal="left" indent="1"/>
    </xf>
    <xf numFmtId="0" fontId="32" fillId="0" borderId="0" xfId="0" applyFont="1" applyBorder="1"/>
    <xf numFmtId="0" fontId="37" fillId="0" borderId="0" xfId="0" applyFont="1" applyBorder="1" applyAlignment="1">
      <alignment horizontal="left"/>
    </xf>
    <xf numFmtId="0" fontId="32" fillId="0" borderId="2" xfId="0" applyFont="1" applyBorder="1"/>
    <xf numFmtId="0" fontId="33" fillId="0" borderId="1" xfId="0" applyFont="1" applyBorder="1"/>
    <xf numFmtId="0" fontId="36" fillId="0" borderId="0" xfId="5" applyFont="1" applyFill="1"/>
    <xf numFmtId="0" fontId="34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wrapText="1"/>
    </xf>
    <xf numFmtId="0" fontId="37" fillId="0" borderId="1" xfId="0" applyFont="1" applyBorder="1"/>
    <xf numFmtId="0" fontId="36" fillId="0" borderId="1" xfId="5" applyFont="1" applyBorder="1"/>
    <xf numFmtId="0" fontId="36" fillId="0" borderId="0" xfId="5" applyFont="1" applyBorder="1"/>
    <xf numFmtId="0" fontId="36" fillId="0" borderId="2" xfId="5" applyFont="1" applyBorder="1"/>
    <xf numFmtId="0" fontId="33" fillId="0" borderId="6" xfId="0" applyFont="1" applyBorder="1" applyAlignment="1">
      <alignment horizontal="center" vertical="center" wrapText="1"/>
    </xf>
    <xf numFmtId="164" fontId="33" fillId="0" borderId="0" xfId="7" applyNumberFormat="1" applyFont="1" applyFill="1" applyAlignment="1">
      <alignment horizontal="center"/>
    </xf>
    <xf numFmtId="165" fontId="33" fillId="0" borderId="0" xfId="9" applyFont="1" applyAlignment="1">
      <alignment horizontal="center"/>
    </xf>
    <xf numFmtId="164" fontId="33" fillId="0" borderId="2" xfId="7" applyNumberFormat="1" applyFont="1" applyFill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0" xfId="0" applyFont="1" applyFill="1" applyBorder="1"/>
    <xf numFmtId="0" fontId="32" fillId="2" borderId="2" xfId="0" applyFont="1" applyFill="1" applyBorder="1"/>
    <xf numFmtId="0" fontId="36" fillId="0" borderId="0" xfId="5" applyFont="1" applyAlignment="1">
      <alignment horizontal="center"/>
    </xf>
    <xf numFmtId="0" fontId="36" fillId="0" borderId="2" xfId="5" applyFont="1" applyBorder="1" applyAlignment="1">
      <alignment horizontal="center"/>
    </xf>
    <xf numFmtId="0" fontId="29" fillId="0" borderId="0" xfId="0" applyFont="1" applyFill="1" applyBorder="1"/>
    <xf numFmtId="1" fontId="29" fillId="0" borderId="0" xfId="0" applyNumberFormat="1" applyFont="1" applyFill="1" applyBorder="1"/>
    <xf numFmtId="0" fontId="30" fillId="0" borderId="0" xfId="0" applyFont="1" applyFill="1" applyBorder="1" applyAlignment="1"/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165" fontId="31" fillId="0" borderId="0" xfId="9" applyFont="1" applyFill="1" applyBorder="1" applyAlignment="1">
      <alignment horizontal="center" vertical="center" wrapText="1"/>
    </xf>
    <xf numFmtId="165" fontId="31" fillId="0" borderId="0" xfId="9" applyFont="1" applyFill="1" applyBorder="1" applyAlignment="1">
      <alignment horizontal="center"/>
    </xf>
    <xf numFmtId="1" fontId="31" fillId="0" borderId="0" xfId="9" applyNumberFormat="1" applyFont="1" applyFill="1" applyBorder="1" applyAlignment="1">
      <alignment horizontal="center"/>
    </xf>
    <xf numFmtId="165" fontId="31" fillId="0" borderId="0" xfId="9" applyFont="1" applyFill="1" applyBorder="1" applyAlignment="1">
      <alignment horizontal="left" wrapText="1"/>
    </xf>
    <xf numFmtId="165" fontId="31" fillId="0" borderId="0" xfId="9" applyFont="1" applyFill="1" applyBorder="1" applyAlignment="1">
      <alignment horizontal="left" vertical="center" wrapText="1"/>
    </xf>
    <xf numFmtId="165" fontId="35" fillId="11" borderId="0" xfId="9" applyFont="1" applyFill="1" applyBorder="1" applyAlignment="1"/>
    <xf numFmtId="0" fontId="33" fillId="11" borderId="0" xfId="0" applyFont="1" applyFill="1" applyBorder="1"/>
    <xf numFmtId="165" fontId="39" fillId="11" borderId="0" xfId="9" applyFont="1" applyFill="1" applyBorder="1" applyAlignment="1"/>
    <xf numFmtId="165" fontId="34" fillId="0" borderId="2" xfId="9" applyFont="1" applyFill="1" applyBorder="1" applyAlignment="1">
      <alignment horizontal="center"/>
    </xf>
    <xf numFmtId="165" fontId="34" fillId="0" borderId="2" xfId="9" applyFont="1" applyFill="1" applyBorder="1" applyAlignment="1">
      <alignment horizontal="center" wrapText="1"/>
    </xf>
    <xf numFmtId="0" fontId="2" fillId="0" borderId="0" xfId="64" applyFont="1" applyFill="1"/>
    <xf numFmtId="0" fontId="36" fillId="0" borderId="2" xfId="0" applyFont="1" applyFill="1" applyBorder="1" applyAlignment="1">
      <alignment horizontal="centerContinuous"/>
    </xf>
    <xf numFmtId="0" fontId="41" fillId="11" borderId="0" xfId="0" applyFont="1" applyFill="1" applyBorder="1"/>
    <xf numFmtId="166" fontId="42" fillId="0" borderId="0" xfId="0" applyNumberFormat="1" applyFont="1" applyFill="1" applyBorder="1"/>
    <xf numFmtId="165" fontId="33" fillId="0" borderId="0" xfId="9" applyFont="1" applyFill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5" fontId="32" fillId="0" borderId="0" xfId="0" applyNumberFormat="1" applyFont="1" applyFill="1" applyBorder="1"/>
    <xf numFmtId="41" fontId="33" fillId="0" borderId="0" xfId="0" applyNumberFormat="1" applyFont="1"/>
    <xf numFmtId="173" fontId="33" fillId="0" borderId="6" xfId="2" applyNumberFormat="1" applyFont="1" applyFill="1" applyBorder="1"/>
    <xf numFmtId="0" fontId="32" fillId="0" borderId="0" xfId="0" applyFont="1" applyFill="1" applyBorder="1" applyAlignment="1">
      <alignment horizontal="center" wrapText="1"/>
    </xf>
    <xf numFmtId="171" fontId="29" fillId="0" borderId="0" xfId="0" applyNumberFormat="1" applyFont="1" applyFill="1" applyBorder="1"/>
    <xf numFmtId="166" fontId="36" fillId="0" borderId="0" xfId="0" applyNumberFormat="1" applyFont="1" applyFill="1" applyBorder="1"/>
    <xf numFmtId="166" fontId="36" fillId="3" borderId="0" xfId="0" applyNumberFormat="1" applyFont="1" applyFill="1" applyBorder="1"/>
    <xf numFmtId="173" fontId="36" fillId="0" borderId="6" xfId="2" applyNumberFormat="1" applyFont="1" applyFill="1" applyBorder="1"/>
    <xf numFmtId="44" fontId="36" fillId="0" borderId="6" xfId="2" applyFont="1" applyFill="1" applyBorder="1"/>
    <xf numFmtId="165" fontId="29" fillId="0" borderId="0" xfId="0" applyNumberFormat="1" applyFont="1" applyFill="1" applyBorder="1"/>
    <xf numFmtId="166" fontId="36" fillId="0" borderId="0" xfId="0" applyNumberFormat="1" applyFont="1" applyFill="1" applyBorder="1" applyAlignment="1">
      <alignment horizontal="right"/>
    </xf>
    <xf numFmtId="7" fontId="30" fillId="0" borderId="0" xfId="0" applyNumberFormat="1" applyFont="1" applyFill="1" applyBorder="1" applyAlignment="1"/>
    <xf numFmtId="170" fontId="33" fillId="0" borderId="0" xfId="0" applyNumberFormat="1" applyFont="1" applyFill="1" applyBorder="1"/>
    <xf numFmtId="37" fontId="33" fillId="0" borderId="0" xfId="0" applyNumberFormat="1" applyFont="1" applyFill="1" applyBorder="1"/>
    <xf numFmtId="171" fontId="33" fillId="0" borderId="0" xfId="0" applyNumberFormat="1" applyFont="1" applyFill="1" applyBorder="1"/>
    <xf numFmtId="171" fontId="36" fillId="0" borderId="0" xfId="0" applyNumberFormat="1" applyFont="1" applyFill="1" applyBorder="1"/>
    <xf numFmtId="7" fontId="36" fillId="0" borderId="0" xfId="0" applyNumberFormat="1" applyFont="1" applyFill="1" applyBorder="1"/>
    <xf numFmtId="172" fontId="36" fillId="0" borderId="0" xfId="0" applyNumberFormat="1" applyFont="1" applyFill="1" applyBorder="1"/>
    <xf numFmtId="170" fontId="32" fillId="0" borderId="2" xfId="0" applyNumberFormat="1" applyFont="1" applyFill="1" applyBorder="1"/>
    <xf numFmtId="0" fontId="33" fillId="0" borderId="2" xfId="0" applyFont="1" applyFill="1" applyBorder="1"/>
    <xf numFmtId="164" fontId="33" fillId="0" borderId="6" xfId="1" applyNumberFormat="1" applyFont="1" applyFill="1" applyBorder="1"/>
    <xf numFmtId="0" fontId="33" fillId="0" borderId="6" xfId="0" applyFont="1" applyFill="1" applyBorder="1" applyAlignment="1">
      <alignment horizontal="center" vertical="center" wrapText="1"/>
    </xf>
    <xf numFmtId="166" fontId="36" fillId="12" borderId="0" xfId="0" applyNumberFormat="1" applyFont="1" applyFill="1" applyBorder="1"/>
    <xf numFmtId="0" fontId="33" fillId="0" borderId="2" xfId="0" applyFont="1" applyFill="1" applyBorder="1" applyAlignment="1">
      <alignment horizontal="center" vertical="center" wrapText="1"/>
    </xf>
    <xf numFmtId="0" fontId="33" fillId="13" borderId="0" xfId="0" applyFont="1" applyFill="1" applyBorder="1"/>
    <xf numFmtId="165" fontId="31" fillId="13" borderId="0" xfId="9" applyFont="1" applyFill="1" applyBorder="1" applyAlignment="1">
      <alignment horizontal="center" vertical="center" wrapText="1"/>
    </xf>
    <xf numFmtId="165" fontId="31" fillId="13" borderId="0" xfId="9" applyFont="1" applyFill="1" applyBorder="1" applyAlignment="1">
      <alignment horizontal="center"/>
    </xf>
    <xf numFmtId="1" fontId="31" fillId="13" borderId="0" xfId="9" applyNumberFormat="1" applyFont="1" applyFill="1" applyBorder="1" applyAlignment="1">
      <alignment horizontal="center"/>
    </xf>
    <xf numFmtId="165" fontId="31" fillId="13" borderId="0" xfId="9" applyFont="1" applyFill="1" applyBorder="1" applyAlignment="1">
      <alignment horizontal="left" wrapText="1"/>
    </xf>
    <xf numFmtId="166" fontId="36" fillId="13" borderId="0" xfId="0" applyNumberFormat="1" applyFont="1" applyFill="1" applyBorder="1"/>
    <xf numFmtId="165" fontId="31" fillId="13" borderId="0" xfId="9" applyFont="1" applyFill="1" applyBorder="1" applyAlignment="1">
      <alignment horizontal="left" vertical="center" wrapText="1"/>
    </xf>
    <xf numFmtId="0" fontId="33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42" fontId="36" fillId="0" borderId="0" xfId="2" applyNumberFormat="1" applyFont="1" applyFill="1" applyBorder="1" applyAlignment="1">
      <alignment horizontal="left"/>
    </xf>
    <xf numFmtId="10" fontId="36" fillId="0" borderId="0" xfId="0" applyNumberFormat="1" applyFont="1" applyFill="1" applyBorder="1" applyAlignment="1">
      <alignment horizontal="center"/>
    </xf>
    <xf numFmtId="10" fontId="36" fillId="0" borderId="0" xfId="0" quotePrefix="1" applyNumberFormat="1" applyFont="1" applyFill="1" applyBorder="1" applyAlignment="1">
      <alignment horizontal="center"/>
    </xf>
    <xf numFmtId="10" fontId="36" fillId="0" borderId="0" xfId="3" applyNumberFormat="1" applyFont="1" applyFill="1" applyBorder="1" applyAlignment="1">
      <alignment horizontal="center"/>
    </xf>
    <xf numFmtId="42" fontId="36" fillId="0" borderId="3" xfId="2" applyNumberFormat="1" applyFont="1" applyFill="1" applyBorder="1" applyAlignment="1">
      <alignment horizontal="left"/>
    </xf>
    <xf numFmtId="10" fontId="36" fillId="0" borderId="3" xfId="0" applyNumberFormat="1" applyFont="1" applyFill="1" applyBorder="1" applyAlignment="1">
      <alignment horizontal="center"/>
    </xf>
    <xf numFmtId="10" fontId="34" fillId="0" borderId="3" xfId="0" applyNumberFormat="1" applyFont="1" applyFill="1" applyBorder="1" applyAlignment="1">
      <alignment horizontal="center"/>
    </xf>
    <xf numFmtId="0" fontId="33" fillId="0" borderId="6" xfId="0" applyFont="1" applyFill="1" applyBorder="1"/>
    <xf numFmtId="0" fontId="33" fillId="0" borderId="0" xfId="0" quotePrefix="1" applyFont="1" applyFill="1" applyAlignment="1">
      <alignment horizontal="center"/>
    </xf>
    <xf numFmtId="0" fontId="33" fillId="0" borderId="2" xfId="0" applyFont="1" applyFill="1" applyBorder="1" applyAlignment="1">
      <alignment horizontal="center" wrapText="1"/>
    </xf>
    <xf numFmtId="165" fontId="33" fillId="0" borderId="2" xfId="9" applyFont="1" applyFill="1" applyBorder="1" applyAlignment="1">
      <alignment horizontal="center"/>
    </xf>
    <xf numFmtId="10" fontId="36" fillId="0" borderId="0" xfId="0" applyNumberFormat="1" applyFont="1" applyFill="1"/>
    <xf numFmtId="44" fontId="34" fillId="0" borderId="6" xfId="2" applyFont="1" applyFill="1" applyBorder="1"/>
    <xf numFmtId="164" fontId="36" fillId="0" borderId="6" xfId="1" applyNumberFormat="1" applyFont="1" applyFill="1" applyBorder="1"/>
    <xf numFmtId="0" fontId="33" fillId="0" borderId="2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36" fillId="0" borderId="0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wrapText="1"/>
    </xf>
    <xf numFmtId="0" fontId="36" fillId="0" borderId="2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left" indent="1"/>
    </xf>
    <xf numFmtId="0" fontId="36" fillId="0" borderId="2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 wrapText="1" indent="1"/>
    </xf>
    <xf numFmtId="0" fontId="33" fillId="0" borderId="2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6" xfId="0" applyFont="1" applyFill="1" applyBorder="1" applyAlignment="1">
      <alignment horizontal="center" vertical="center"/>
    </xf>
  </cellXfs>
  <cellStyles count="65">
    <cellStyle name="˙˙˙˙˙˙˙˙˙˙˙˙˙˙˙˙˙˙˙˙˙˙˙˙˙˙˙˙˙˙˙˙˙˙˙˙˙˙˙˙˙_x0008_" xfId="10"/>
    <cellStyle name="Calculation 2" xfId="63"/>
    <cellStyle name="ColumnAttributeAbovePrompt" xfId="11"/>
    <cellStyle name="ColumnAttributePrompt" xfId="12"/>
    <cellStyle name="ColumnAttributeValue" xfId="13"/>
    <cellStyle name="ColumnHeadingPrompt" xfId="14"/>
    <cellStyle name="ColumnHeadingValue" xfId="15"/>
    <cellStyle name="Comma" xfId="1" builtinId="3"/>
    <cellStyle name="Comma 2" xfId="7"/>
    <cellStyle name="Comma 3" xfId="62"/>
    <cellStyle name="Comma0" xfId="16"/>
    <cellStyle name="Currency" xfId="2" builtinId="4"/>
    <cellStyle name="Currency 2" xfId="17"/>
    <cellStyle name="Currency 3" xfId="6"/>
    <cellStyle name="Currency 4" xfId="61"/>
    <cellStyle name="Currency0" xfId="18"/>
    <cellStyle name="Date" xfId="19"/>
    <cellStyle name="Euro" xfId="20"/>
    <cellStyle name="F2" xfId="21"/>
    <cellStyle name="F3" xfId="22"/>
    <cellStyle name="F4" xfId="23"/>
    <cellStyle name="F5" xfId="24"/>
    <cellStyle name="F6" xfId="25"/>
    <cellStyle name="F7" xfId="26"/>
    <cellStyle name="F8" xfId="27"/>
    <cellStyle name="Fixed" xfId="28"/>
    <cellStyle name="Input Cells" xfId="59"/>
    <cellStyle name="LineItemPrompt" xfId="29"/>
    <cellStyle name="LineItemValue" xfId="30"/>
    <cellStyle name="Normal" xfId="0" builtinId="0"/>
    <cellStyle name="Normal 2" xfId="9"/>
    <cellStyle name="Normal 3" xfId="31"/>
    <cellStyle name="Normal 4" xfId="5"/>
    <cellStyle name="Normal 8" xfId="64"/>
    <cellStyle name="Output Amounts" xfId="32"/>
    <cellStyle name="Output Column Headings" xfId="33"/>
    <cellStyle name="Output Line Items" xfId="34"/>
    <cellStyle name="Output Report Heading" xfId="35"/>
    <cellStyle name="Output Report Title" xfId="36"/>
    <cellStyle name="Percent" xfId="3" builtinId="5"/>
    <cellStyle name="Percent 2" xfId="4"/>
    <cellStyle name="Percent 3" xfId="8"/>
    <cellStyle name="ReportTitlePrompt" xfId="37"/>
    <cellStyle name="ReportTitleValue" xfId="38"/>
    <cellStyle name="RowAcctAbovePrompt" xfId="39"/>
    <cellStyle name="RowAcctSOBAbovePrompt" xfId="40"/>
    <cellStyle name="RowAcctSOBValue" xfId="41"/>
    <cellStyle name="RowAcctValue" xfId="42"/>
    <cellStyle name="RowAttrAbovePrompt" xfId="43"/>
    <cellStyle name="RowAttrValue" xfId="44"/>
    <cellStyle name="RowColSetAbovePrompt" xfId="45"/>
    <cellStyle name="RowColSetLeftPrompt" xfId="46"/>
    <cellStyle name="RowColSetValue" xfId="47"/>
    <cellStyle name="RowLeftPrompt" xfId="48"/>
    <cellStyle name="SampleUsingFormatMask" xfId="49"/>
    <cellStyle name="SampleWithNoFormatMask" xfId="50"/>
    <cellStyle name="STYL5 - Style5" xfId="51"/>
    <cellStyle name="STYL6 - Style6" xfId="52"/>
    <cellStyle name="STYLE1 - Style1" xfId="53"/>
    <cellStyle name="STYLE2 - Style2" xfId="54"/>
    <cellStyle name="STYLE3 - Style3" xfId="55"/>
    <cellStyle name="STYLE4 - Style4" xfId="56"/>
    <cellStyle name="Sub-total" xfId="60"/>
    <cellStyle name="Title: Minor" xfId="58"/>
    <cellStyle name="UploadThisRowValue" xfId="57"/>
  </cellStyles>
  <dxfs count="0"/>
  <tableStyles count="0" defaultTableStyle="TableStyleMedium2" defaultPivotStyle="PivotStyleLight16"/>
  <colors>
    <mruColors>
      <color rgb="FFFFDE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28575</xdr:rowOff>
    </xdr:from>
    <xdr:to>
      <xdr:col>8</xdr:col>
      <xdr:colOff>342900</xdr:colOff>
      <xdr:row>5</xdr:row>
      <xdr:rowOff>104775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2971800" y="28575"/>
          <a:ext cx="2247900" cy="102870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FF0000"/>
              </a:solidFill>
              <a:latin typeface="Calibri"/>
            </a:rPr>
            <a:t>FILED</a:t>
          </a:r>
          <a:endParaRPr 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</a:rPr>
            <a:t>NOVEMBER 13, 2018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</a:rPr>
            <a:t>INDIANA UTILITY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</a:rPr>
            <a:t>REGULATORY COMMISSION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FF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DAVID\PSC\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WINDOWS\TEMP\1999\FACJA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ials\LG&amp;E\2008\lge0308re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06Plan\Utility%20Plan\Supporting%20Schedules\Gross%20Margin\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Monthly%20Reporting\Tax%20Report\LGE\LGELedger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My%20Documents\BellarExhibi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WINNT\Profiles\e004977\Temporary%20Internet%20Files\OLK2D\Rate%20Case%20LGE%20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05Plan\Utility%20Plan\Margin\100504%20Version%20of%20GM%202005%20Plan\KU-Whsle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05Plan\Utility%20Plan\Margin\100504%20Version%20of%20GM%202005%20Plan\KU-Whsle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Documents%20and%20Settings\e011661\Local%20Settings\Temporary%20Internet%20Files\OLK29\Rate%20Case%20KU%2012mosJune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System_Increase"/>
      <sheetName val="Book1"/>
      <sheetName val="Sheet1"/>
      <sheetName val="Sheet2"/>
      <sheetName val="MU-1 Fixed Charges"/>
      <sheetName val="APL New"/>
      <sheetName val="MU1 New"/>
      <sheetName val="FixedCH"/>
      <sheetName val="Mapping-APL"/>
      <sheetName val="Mapping-MU1"/>
      <sheetName val="APL Vintage-Proposed"/>
      <sheetName val="MU1 Vintage-Proposed"/>
      <sheetName val="Fuel"/>
      <sheetName val="O&amp;M"/>
      <sheetName val="MCS"/>
      <sheetName val="Rev"/>
      <sheetName val="ShortEx"/>
      <sheetName val="MCS (2)"/>
      <sheetName val="Rev (2)"/>
      <sheetName val="Notes"/>
      <sheetName val="ProRata Ex"/>
      <sheetName val="Sheet3"/>
    </sheetNames>
    <definedNames>
      <definedName name="Choices_Wrapper" refersTo="#REF!"/>
      <definedName name="Comp" refersTo="#REF!"/>
      <definedName name="test" refersTo="#REF!"/>
    </defined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tabSelected="1" workbookViewId="0">
      <selection activeCell="F3" sqref="F3"/>
    </sheetView>
  </sheetViews>
  <sheetFormatPr defaultRowHeight="15" x14ac:dyDescent="0.25"/>
  <sheetData>
    <row r="3" spans="2:2" x14ac:dyDescent="0.25">
      <c r="B3" t="s">
        <v>0</v>
      </c>
    </row>
    <row r="4" spans="2:2" x14ac:dyDescent="0.25">
      <c r="B4" t="s">
        <v>1</v>
      </c>
    </row>
    <row r="5" spans="2:2" x14ac:dyDescent="0.25">
      <c r="B5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28"/>
  <sheetViews>
    <sheetView zoomScale="85" zoomScaleNormal="85" zoomScaleSheetLayoutView="70" workbookViewId="0">
      <selection activeCell="E22" sqref="E22"/>
    </sheetView>
  </sheetViews>
  <sheetFormatPr defaultColWidth="9.140625" defaultRowHeight="16.5" x14ac:dyDescent="0.3"/>
  <cols>
    <col min="1" max="1" width="6.28515625" style="43" customWidth="1"/>
    <col min="2" max="2" width="6.7109375" style="43" customWidth="1"/>
    <col min="3" max="3" width="6.5703125" style="43" customWidth="1"/>
    <col min="4" max="4" width="12.42578125" style="44" bestFit="1" customWidth="1"/>
    <col min="5" max="5" width="58.140625" style="43" customWidth="1"/>
    <col min="6" max="14" width="17.5703125" style="43" customWidth="1"/>
    <col min="15" max="15" width="17.28515625" style="43" customWidth="1"/>
    <col min="16" max="16" width="2.7109375" style="43" customWidth="1"/>
    <col min="17" max="17" width="10.5703125" style="43" bestFit="1" customWidth="1"/>
    <col min="18" max="16384" width="9.140625" style="43"/>
  </cols>
  <sheetData>
    <row r="1" spans="1:18" x14ac:dyDescent="0.3">
      <c r="A1" s="58" t="s">
        <v>3</v>
      </c>
      <c r="L1" s="43" t="s">
        <v>4</v>
      </c>
    </row>
    <row r="2" spans="1:18" x14ac:dyDescent="0.3">
      <c r="A2" s="58" t="s">
        <v>5</v>
      </c>
    </row>
    <row r="3" spans="1:18" ht="8.4499999999999993" customHeight="1" x14ac:dyDescent="0.4">
      <c r="C3" s="45"/>
      <c r="D3" s="45"/>
      <c r="E3" s="45"/>
      <c r="F3" s="45"/>
      <c r="G3" s="45"/>
      <c r="H3" s="75"/>
      <c r="I3" s="45"/>
      <c r="J3" s="45"/>
      <c r="K3" s="45"/>
      <c r="L3" s="45"/>
      <c r="M3" s="45"/>
      <c r="N3" s="45"/>
    </row>
    <row r="4" spans="1:18" x14ac:dyDescent="0.3">
      <c r="B4" s="46" t="s">
        <v>6</v>
      </c>
      <c r="C4" s="46" t="s">
        <v>7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6" t="s">
        <v>17</v>
      </c>
      <c r="N4" s="46" t="s">
        <v>18</v>
      </c>
      <c r="O4" s="46" t="s">
        <v>19</v>
      </c>
    </row>
    <row r="5" spans="1:18" ht="39.75" x14ac:dyDescent="0.3">
      <c r="A5" s="87" t="s">
        <v>20</v>
      </c>
      <c r="B5" s="56" t="s">
        <v>21</v>
      </c>
      <c r="C5" s="57" t="s">
        <v>22</v>
      </c>
      <c r="D5" s="57" t="s">
        <v>23</v>
      </c>
      <c r="E5" s="56" t="s">
        <v>24</v>
      </c>
      <c r="F5" s="57" t="s">
        <v>25</v>
      </c>
      <c r="G5" s="57" t="s">
        <v>26</v>
      </c>
      <c r="H5" s="57" t="s">
        <v>27</v>
      </c>
      <c r="I5" s="57" t="s">
        <v>28</v>
      </c>
      <c r="J5" s="57" t="s">
        <v>29</v>
      </c>
      <c r="K5" s="57" t="s">
        <v>30</v>
      </c>
      <c r="L5" s="57" t="s">
        <v>31</v>
      </c>
      <c r="M5" s="57" t="s">
        <v>32</v>
      </c>
      <c r="N5" s="57" t="s">
        <v>33</v>
      </c>
      <c r="O5" s="57" t="s">
        <v>34</v>
      </c>
    </row>
    <row r="6" spans="1:18" ht="67.5" customHeight="1" x14ac:dyDescent="0.3">
      <c r="A6" s="39"/>
      <c r="D6" s="43"/>
      <c r="F6" s="47"/>
      <c r="G6" s="47" t="s">
        <v>35</v>
      </c>
      <c r="H6" s="47" t="s">
        <v>36</v>
      </c>
      <c r="I6" s="47" t="s">
        <v>37</v>
      </c>
      <c r="J6" s="47" t="s">
        <v>38</v>
      </c>
      <c r="K6" s="47" t="s">
        <v>39</v>
      </c>
      <c r="L6" s="47" t="s">
        <v>40</v>
      </c>
      <c r="M6" s="47" t="s">
        <v>41</v>
      </c>
      <c r="N6" s="47" t="s">
        <v>42</v>
      </c>
      <c r="O6" s="67" t="s">
        <v>43</v>
      </c>
    </row>
    <row r="7" spans="1:18" x14ac:dyDescent="0.3">
      <c r="A7" s="39"/>
      <c r="B7" s="55" t="s">
        <v>44</v>
      </c>
      <c r="C7" s="53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8" x14ac:dyDescent="0.3">
      <c r="A8" s="39">
        <v>1</v>
      </c>
      <c r="B8" s="48" t="s">
        <v>44</v>
      </c>
      <c r="C8" s="49">
        <v>271</v>
      </c>
      <c r="D8" s="50">
        <v>123</v>
      </c>
      <c r="E8" s="51" t="s">
        <v>45</v>
      </c>
      <c r="F8" s="69">
        <v>467.28</v>
      </c>
      <c r="G8" s="69">
        <f>(F8*Return!$G$15)*Return!$F$17</f>
        <v>39.484110489119999</v>
      </c>
      <c r="H8" s="69">
        <f>(F8*'Tax and Depreciation'!$E$7)+(F8*'Tax and Depreciation'!$E$9*0.3)+'Tax and Depreciation'!$E$11</f>
        <v>6.6670322799999999</v>
      </c>
      <c r="I8" s="69">
        <f>3941*SUM('Fuel, Energy, Demand, Customer'!$E$14:$E$15)*(D8/1000)</f>
        <v>16.978268375693521</v>
      </c>
      <c r="J8" s="69">
        <f>'Fuel, Energy, Demand, Customer'!$E$13*D8</f>
        <v>19.787550904911924</v>
      </c>
      <c r="K8" s="69">
        <f>'Fuel, Energy, Demand, Customer'!$E$11</f>
        <v>58.772105837075429</v>
      </c>
      <c r="L8" s="69">
        <f>'O&amp;M'!$F$9</f>
        <v>38.229999999999997</v>
      </c>
      <c r="M8" s="69">
        <f>SUM(H8:L8)*'Tax and Depreciation'!$E$13</f>
        <v>143.25910439094824</v>
      </c>
      <c r="N8" s="69">
        <f>ROUND((G8+M8)/12,2)*12</f>
        <v>182.76</v>
      </c>
      <c r="O8" s="69">
        <f>N8/12</f>
        <v>15.229999999999999</v>
      </c>
      <c r="P8" s="61"/>
      <c r="Q8" s="68"/>
      <c r="R8" s="73"/>
    </row>
    <row r="9" spans="1:18" x14ac:dyDescent="0.3">
      <c r="A9" s="39">
        <f>A8+1</f>
        <v>2</v>
      </c>
      <c r="B9" s="48" t="s">
        <v>44</v>
      </c>
      <c r="C9" s="49">
        <v>272</v>
      </c>
      <c r="D9" s="50">
        <v>186</v>
      </c>
      <c r="E9" s="51" t="s">
        <v>46</v>
      </c>
      <c r="F9" s="69">
        <v>522.24</v>
      </c>
      <c r="G9" s="69">
        <f>(F9*Return!$G$15)*Return!$F$17</f>
        <v>44.128107048960004</v>
      </c>
      <c r="H9" s="69">
        <f>(F9*'Tax and Depreciation'!$E$7)+(F9*'Tax and Depreciation'!$E$9*0.3)+'Tax and Depreciation'!$E$11</f>
        <v>7.33004224</v>
      </c>
      <c r="I9" s="69">
        <f>3941*SUM('Fuel, Energy, Demand, Customer'!$E$14:$E$15)*(D9/1000)</f>
        <v>25.674454616902398</v>
      </c>
      <c r="J9" s="69">
        <f>'Fuel, Energy, Demand, Customer'!$E$13*D9</f>
        <v>29.922637953769254</v>
      </c>
      <c r="K9" s="69">
        <f>'Fuel, Energy, Demand, Customer'!$E$11</f>
        <v>58.772105837075429</v>
      </c>
      <c r="L9" s="69">
        <f>'O&amp;M'!$F$9</f>
        <v>38.229999999999997</v>
      </c>
      <c r="M9" s="69">
        <f>SUM(H9:L9)*'Tax and Depreciation'!$E$13</f>
        <v>163.14541767717327</v>
      </c>
      <c r="N9" s="69">
        <f t="shared" ref="N9:N49" si="0">ROUND((G9+M9)/12,2)*12</f>
        <v>207.24</v>
      </c>
      <c r="O9" s="69">
        <f t="shared" ref="O9:O45" si="1">N9/12</f>
        <v>17.27</v>
      </c>
      <c r="P9" s="61"/>
      <c r="Q9" s="68"/>
      <c r="R9" s="73"/>
    </row>
    <row r="10" spans="1:18" x14ac:dyDescent="0.3">
      <c r="A10" s="39">
        <f t="shared" ref="A10:A69" si="2">A9+1</f>
        <v>3</v>
      </c>
      <c r="B10" s="48" t="s">
        <v>44</v>
      </c>
      <c r="C10" s="49">
        <v>273</v>
      </c>
      <c r="D10" s="50">
        <v>303</v>
      </c>
      <c r="E10" s="51" t="s">
        <v>47</v>
      </c>
      <c r="F10" s="69">
        <v>565.91</v>
      </c>
      <c r="G10" s="69">
        <f>(F10*Return!$G$15)*Return!$F$17</f>
        <v>47.81812396614</v>
      </c>
      <c r="H10" s="69">
        <f>(F10*'Tax and Depreciation'!$E$7)+(F10*'Tax and Depreciation'!$E$9*0.3)+'Tax and Depreciation'!$E$11</f>
        <v>7.8568552850000009</v>
      </c>
      <c r="I10" s="69">
        <f>3941*SUM('Fuel, Energy, Demand, Customer'!$E$14:$E$15)*(D10/1000)</f>
        <v>41.824514779147457</v>
      </c>
      <c r="J10" s="69">
        <f>'Fuel, Energy, Demand, Customer'!$E$13*D10</f>
        <v>48.744942473075717</v>
      </c>
      <c r="K10" s="69">
        <f>'Fuel, Energy, Demand, Customer'!$E$11</f>
        <v>58.772105837075429</v>
      </c>
      <c r="L10" s="69">
        <f>'O&amp;M'!$F$9</f>
        <v>38.229999999999997</v>
      </c>
      <c r="M10" s="69">
        <f>SUM(H10:L10)*'Tax and Depreciation'!$E$13</f>
        <v>199.35848386780575</v>
      </c>
      <c r="N10" s="69">
        <f t="shared" si="0"/>
        <v>247.20000000000002</v>
      </c>
      <c r="O10" s="69">
        <f t="shared" si="1"/>
        <v>20.6</v>
      </c>
      <c r="P10" s="61"/>
      <c r="Q10" s="68"/>
      <c r="R10" s="73"/>
    </row>
    <row r="11" spans="1:18" x14ac:dyDescent="0.3">
      <c r="A11" s="39">
        <f t="shared" si="2"/>
        <v>4</v>
      </c>
      <c r="B11" s="48" t="s">
        <v>44</v>
      </c>
      <c r="C11" s="49">
        <v>274</v>
      </c>
      <c r="D11" s="50">
        <v>469</v>
      </c>
      <c r="E11" s="51" t="s">
        <v>48</v>
      </c>
      <c r="F11" s="69">
        <v>577.69000000000005</v>
      </c>
      <c r="G11" s="69">
        <f>(F11*Return!$G$15)*Return!$F$17</f>
        <v>48.81350750826001</v>
      </c>
      <c r="H11" s="69">
        <f>(F11*'Tax and Depreciation'!$E$7)+(F11*'Tax and Depreciation'!$E$9*0.3)+'Tax and Depreciation'!$E$11</f>
        <v>7.9989633150000001</v>
      </c>
      <c r="I11" s="69">
        <f>3941*SUM('Fuel, Energy, Demand, Customer'!$E$14:$E$15)*(D11/1000)</f>
        <v>64.738275351221631</v>
      </c>
      <c r="J11" s="69">
        <f>'Fuel, Energy, Demand, Customer'!$E$13*D11</f>
        <v>75.450092474826775</v>
      </c>
      <c r="K11" s="69">
        <f>'Fuel, Energy, Demand, Customer'!$E$11</f>
        <v>58.772105837075429</v>
      </c>
      <c r="L11" s="69">
        <f>'O&amp;M'!$F$9</f>
        <v>38.229999999999997</v>
      </c>
      <c r="M11" s="69">
        <f>SUM(H11:L11)*'Tax and Depreciation'!$E$13</f>
        <v>250.12019655575389</v>
      </c>
      <c r="N11" s="69">
        <f t="shared" si="0"/>
        <v>298.92</v>
      </c>
      <c r="O11" s="69">
        <f t="shared" si="1"/>
        <v>24.91</v>
      </c>
      <c r="P11" s="61"/>
      <c r="Q11" s="68"/>
      <c r="R11" s="73"/>
    </row>
    <row r="12" spans="1:18" x14ac:dyDescent="0.3">
      <c r="A12" s="39">
        <f t="shared" si="2"/>
        <v>5</v>
      </c>
      <c r="B12" s="48" t="s">
        <v>44</v>
      </c>
      <c r="C12" s="49">
        <v>287</v>
      </c>
      <c r="D12" s="50">
        <v>186</v>
      </c>
      <c r="E12" s="51" t="s">
        <v>49</v>
      </c>
      <c r="F12" s="69">
        <v>584.41999999999996</v>
      </c>
      <c r="G12" s="69">
        <f>(F12*Return!$G$15)*Return!$F$17</f>
        <v>49.382177392679999</v>
      </c>
      <c r="H12" s="69">
        <f>(F12*'Tax and Depreciation'!$E$7)+(F12*'Tax and Depreciation'!$E$9*0.3)+'Tax and Depreciation'!$E$11</f>
        <v>8.0801506700000001</v>
      </c>
      <c r="I12" s="69">
        <f>3941*SUM('Fuel, Energy, Demand, Customer'!$E$14:$E$15)*(D12/1000)</f>
        <v>25.674454616902398</v>
      </c>
      <c r="J12" s="69">
        <f>'Fuel, Energy, Demand, Customer'!$E$13*D12</f>
        <v>29.922637953769254</v>
      </c>
      <c r="K12" s="69">
        <f>'Fuel, Energy, Demand, Customer'!$E$11</f>
        <v>58.772105837075429</v>
      </c>
      <c r="L12" s="69">
        <f>'O&amp;M'!$F$9</f>
        <v>38.229999999999997</v>
      </c>
      <c r="M12" s="69">
        <f>SUM(H12:L12)*'Tax and Depreciation'!$E$13</f>
        <v>163.91061078770059</v>
      </c>
      <c r="N12" s="69">
        <f t="shared" si="0"/>
        <v>213.24</v>
      </c>
      <c r="O12" s="69">
        <f t="shared" si="1"/>
        <v>17.77</v>
      </c>
      <c r="P12" s="61"/>
      <c r="Q12" s="68"/>
      <c r="R12" s="73"/>
    </row>
    <row r="13" spans="1:18" x14ac:dyDescent="0.3">
      <c r="A13" s="39">
        <f t="shared" si="2"/>
        <v>6</v>
      </c>
      <c r="B13" s="48" t="s">
        <v>44</v>
      </c>
      <c r="C13" s="49">
        <v>288</v>
      </c>
      <c r="D13" s="50">
        <v>303</v>
      </c>
      <c r="E13" s="51" t="s">
        <v>50</v>
      </c>
      <c r="F13" s="69">
        <v>616.21</v>
      </c>
      <c r="G13" s="69">
        <f>(F13*Return!$G$15)*Return!$F$17</f>
        <v>52.068360992340004</v>
      </c>
      <c r="H13" s="69">
        <f>(F13*'Tax and Depreciation'!$E$7)+(F13*'Tax and Depreciation'!$E$9*0.3)+'Tax and Depreciation'!$E$11</f>
        <v>8.4636493350000013</v>
      </c>
      <c r="I13" s="69">
        <f>3941*SUM('Fuel, Energy, Demand, Customer'!$E$14:$E$15)*(D13/1000)</f>
        <v>41.824514779147457</v>
      </c>
      <c r="J13" s="69">
        <f>'Fuel, Energy, Demand, Customer'!$E$13*D13</f>
        <v>48.744942473075717</v>
      </c>
      <c r="K13" s="69">
        <f>'Fuel, Energy, Demand, Customer'!$E$11</f>
        <v>58.772105837075429</v>
      </c>
      <c r="L13" s="69">
        <f>'O&amp;M'!$F$9</f>
        <v>38.229999999999997</v>
      </c>
      <c r="M13" s="69">
        <f>SUM(H13:L13)*'Tax and Depreciation'!$E$13</f>
        <v>199.97748054615124</v>
      </c>
      <c r="N13" s="69">
        <f t="shared" si="0"/>
        <v>252</v>
      </c>
      <c r="O13" s="69">
        <f t="shared" si="1"/>
        <v>21</v>
      </c>
      <c r="P13" s="61"/>
      <c r="Q13" s="68"/>
      <c r="R13" s="73"/>
    </row>
    <row r="14" spans="1:18" x14ac:dyDescent="0.3">
      <c r="A14" s="39">
        <f t="shared" si="2"/>
        <v>7</v>
      </c>
      <c r="B14" s="48" t="s">
        <v>44</v>
      </c>
      <c r="C14" s="49">
        <v>289</v>
      </c>
      <c r="D14" s="50">
        <v>469</v>
      </c>
      <c r="E14" s="51" t="s">
        <v>51</v>
      </c>
      <c r="F14" s="69">
        <v>617.20000000000005</v>
      </c>
      <c r="G14" s="69">
        <f>(F14*Return!$G$15)*Return!$F$17</f>
        <v>52.15201376880001</v>
      </c>
      <c r="H14" s="69">
        <f>(F14*'Tax and Depreciation'!$E$7)+(F14*'Tax and Depreciation'!$E$9*0.3)+'Tax and Depreciation'!$E$11</f>
        <v>8.4755921999999995</v>
      </c>
      <c r="I14" s="69">
        <f>3941*SUM('Fuel, Energy, Demand, Customer'!$E$14:$E$15)*(D14/1000)</f>
        <v>64.738275351221631</v>
      </c>
      <c r="J14" s="69">
        <f>'Fuel, Energy, Demand, Customer'!$E$13*D14</f>
        <v>75.450092474826775</v>
      </c>
      <c r="K14" s="69">
        <f>'Fuel, Energy, Demand, Customer'!$E$11</f>
        <v>58.772105837075429</v>
      </c>
      <c r="L14" s="69">
        <f>'O&amp;M'!$F$9</f>
        <v>38.229999999999997</v>
      </c>
      <c r="M14" s="69">
        <f>SUM(H14:L14)*'Tax and Depreciation'!$E$13</f>
        <v>250.60641044763128</v>
      </c>
      <c r="N14" s="69">
        <f t="shared" si="0"/>
        <v>302.76</v>
      </c>
      <c r="O14" s="69">
        <f t="shared" si="1"/>
        <v>25.23</v>
      </c>
      <c r="P14" s="61"/>
      <c r="Q14" s="68"/>
      <c r="R14" s="73"/>
    </row>
    <row r="15" spans="1:18" x14ac:dyDescent="0.3">
      <c r="A15" s="39">
        <f t="shared" si="2"/>
        <v>8</v>
      </c>
      <c r="B15" s="48" t="s">
        <v>44</v>
      </c>
      <c r="C15" s="49">
        <v>296</v>
      </c>
      <c r="D15" s="50">
        <v>0</v>
      </c>
      <c r="E15" s="51" t="s">
        <v>52</v>
      </c>
      <c r="F15" s="69">
        <v>860.41</v>
      </c>
      <c r="G15" s="69">
        <f>(F15*Return!$G$15)*Return!$F$17</f>
        <v>72.702712519140007</v>
      </c>
      <c r="H15" s="69">
        <f>(F15*'Tax and Depreciation'!$E$7)+(F15*'Tax and Depreciation'!$E$9*0.3)+'Tax and Depreciation'!$E$11</f>
        <v>11.409556035</v>
      </c>
      <c r="I15" s="70"/>
      <c r="J15" s="70"/>
      <c r="K15" s="70"/>
      <c r="L15" s="70"/>
      <c r="M15" s="69">
        <f>SUM(H15:L15)*'Tax and Depreciation'!$E$13</f>
        <v>11.63900220686385</v>
      </c>
      <c r="N15" s="69">
        <f t="shared" si="0"/>
        <v>84.36</v>
      </c>
      <c r="O15" s="69">
        <f t="shared" si="1"/>
        <v>7.03</v>
      </c>
      <c r="P15" s="61"/>
      <c r="Q15" s="68"/>
      <c r="R15" s="73"/>
    </row>
    <row r="16" spans="1:18" x14ac:dyDescent="0.3">
      <c r="A16" s="39">
        <f t="shared" si="2"/>
        <v>9</v>
      </c>
      <c r="B16" s="48" t="s">
        <v>44</v>
      </c>
      <c r="C16" s="49">
        <v>297</v>
      </c>
      <c r="D16" s="50">
        <v>0</v>
      </c>
      <c r="E16" s="51" t="s">
        <v>53</v>
      </c>
      <c r="F16" s="69">
        <v>1092.02</v>
      </c>
      <c r="G16" s="69">
        <f>(F16*Return!$G$15)*Return!$F$17</f>
        <v>92.273237323080011</v>
      </c>
      <c r="H16" s="69">
        <f>(F16*'Tax and Depreciation'!$E$7)+(F16*'Tax and Depreciation'!$E$9*0.3)+'Tax and Depreciation'!$E$11</f>
        <v>14.203583269999999</v>
      </c>
      <c r="I16" s="70"/>
      <c r="J16" s="70"/>
      <c r="K16" s="70"/>
      <c r="L16" s="70"/>
      <c r="M16" s="69">
        <f>SUM(H16:L16)*'Tax and Depreciation'!$E$13</f>
        <v>14.4892173295597</v>
      </c>
      <c r="N16" s="69">
        <f t="shared" si="0"/>
        <v>106.80000000000001</v>
      </c>
      <c r="O16" s="69">
        <f t="shared" si="1"/>
        <v>8.9</v>
      </c>
      <c r="P16" s="61"/>
      <c r="Q16" s="68"/>
      <c r="R16" s="73"/>
    </row>
    <row r="17" spans="1:18" x14ac:dyDescent="0.3">
      <c r="A17" s="39">
        <f t="shared" si="2"/>
        <v>10</v>
      </c>
      <c r="B17" s="48" t="s">
        <v>44</v>
      </c>
      <c r="C17" s="49">
        <v>329</v>
      </c>
      <c r="D17" s="50">
        <v>469</v>
      </c>
      <c r="E17" s="51" t="s">
        <v>54</v>
      </c>
      <c r="F17" s="69">
        <v>1864.32</v>
      </c>
      <c r="G17" s="69">
        <f>(F17*Return!$G$15)*Return!$F$17</f>
        <v>157.53085273728001</v>
      </c>
      <c r="H17" s="69">
        <f>(F17*'Tax and Depreciation'!$E$7)+(F17*'Tax and Depreciation'!$E$9*0.3)+'Tax and Depreciation'!$E$11</f>
        <v>23.520224320000001</v>
      </c>
      <c r="I17" s="69">
        <f>3941*SUM('Fuel, Energy, Demand, Customer'!$E$14:$E$15)*(D17/1000)</f>
        <v>64.738275351221631</v>
      </c>
      <c r="J17" s="69">
        <f>'Fuel, Energy, Demand, Customer'!$E$13*D17</f>
        <v>75.450092474826775</v>
      </c>
      <c r="K17" s="69">
        <f>'Fuel, Energy, Demand, Customer'!$E$11</f>
        <v>58.772105837075429</v>
      </c>
      <c r="L17" s="69">
        <f>'O&amp;M'!$F$9</f>
        <v>38.229999999999997</v>
      </c>
      <c r="M17" s="69">
        <f>SUM(H17:L17)*'Tax and Depreciation'!$E$13</f>
        <v>265.95359011956447</v>
      </c>
      <c r="N17" s="69">
        <f t="shared" si="0"/>
        <v>423.48</v>
      </c>
      <c r="O17" s="69">
        <f t="shared" si="1"/>
        <v>35.29</v>
      </c>
      <c r="P17" s="61"/>
      <c r="Q17" s="68"/>
      <c r="R17" s="73"/>
    </row>
    <row r="18" spans="1:18" x14ac:dyDescent="0.3">
      <c r="A18" s="39">
        <f t="shared" si="2"/>
        <v>11</v>
      </c>
      <c r="B18" s="48" t="s">
        <v>44</v>
      </c>
      <c r="C18" s="49">
        <v>330</v>
      </c>
      <c r="D18" s="50">
        <v>303</v>
      </c>
      <c r="E18" s="51" t="s">
        <v>55</v>
      </c>
      <c r="F18" s="69">
        <v>1852.53</v>
      </c>
      <c r="G18" s="69">
        <f>(F18*Return!$G$15)*Return!$F$17</f>
        <v>156.53462421762001</v>
      </c>
      <c r="H18" s="69">
        <f>(F18*'Tax and Depreciation'!$E$7)+(F18*'Tax and Depreciation'!$E$9*0.3)+'Tax and Depreciation'!$E$11</f>
        <v>23.377995654999999</v>
      </c>
      <c r="I18" s="69">
        <f>3941*SUM('Fuel, Energy, Demand, Customer'!$E$14:$E$15)*(D18/1000)</f>
        <v>41.824514779147457</v>
      </c>
      <c r="J18" s="69">
        <f>'Fuel, Energy, Demand, Customer'!$E$13*D18</f>
        <v>48.744942473075717</v>
      </c>
      <c r="K18" s="69">
        <f>'Fuel, Energy, Demand, Customer'!$E$11</f>
        <v>58.772105837075429</v>
      </c>
      <c r="L18" s="69">
        <f>'O&amp;M'!$F$9</f>
        <v>38.229999999999997</v>
      </c>
      <c r="M18" s="69">
        <f>SUM(H18:L18)*'Tax and Depreciation'!$E$13</f>
        <v>215.19175437064646</v>
      </c>
      <c r="N18" s="69">
        <f t="shared" si="0"/>
        <v>371.76</v>
      </c>
      <c r="O18" s="69">
        <f t="shared" si="1"/>
        <v>30.98</v>
      </c>
      <c r="P18" s="61"/>
      <c r="Q18" s="68"/>
      <c r="R18" s="73"/>
    </row>
    <row r="19" spans="1:18" x14ac:dyDescent="0.3">
      <c r="A19" s="39">
        <f t="shared" si="2"/>
        <v>12</v>
      </c>
      <c r="B19" s="48" t="s">
        <v>44</v>
      </c>
      <c r="C19" s="49">
        <v>331</v>
      </c>
      <c r="D19" s="50">
        <v>186</v>
      </c>
      <c r="E19" s="51" t="s">
        <v>56</v>
      </c>
      <c r="F19" s="69">
        <v>1862.59</v>
      </c>
      <c r="G19" s="69">
        <f>(F19*Return!$G$15)*Return!$F$17</f>
        <v>157.38467162286</v>
      </c>
      <c r="H19" s="69">
        <f>(F19*'Tax and Depreciation'!$E$7)+(F19*'Tax and Depreciation'!$E$9*0.3)+'Tax and Depreciation'!$E$11</f>
        <v>23.499354464999996</v>
      </c>
      <c r="I19" s="69">
        <f>3941*SUM('Fuel, Energy, Demand, Customer'!$E$14:$E$15)*(D19/1000)</f>
        <v>25.674454616902398</v>
      </c>
      <c r="J19" s="69">
        <f>'Fuel, Energy, Demand, Customer'!$E$13*D19</f>
        <v>29.922637953769254</v>
      </c>
      <c r="K19" s="69">
        <f>'Fuel, Energy, Demand, Customer'!$E$11</f>
        <v>58.772105837075429</v>
      </c>
      <c r="L19" s="69">
        <f>'O&amp;M'!$F$9</f>
        <v>38.229999999999997</v>
      </c>
      <c r="M19" s="69">
        <f>SUM(H19:L19)*'Tax and Depreciation'!$E$13</f>
        <v>179.63989477101802</v>
      </c>
      <c r="N19" s="69">
        <f t="shared" si="0"/>
        <v>337.08</v>
      </c>
      <c r="O19" s="69">
        <f t="shared" si="1"/>
        <v>28.09</v>
      </c>
      <c r="P19" s="61"/>
      <c r="Q19" s="68"/>
      <c r="R19" s="73"/>
    </row>
    <row r="20" spans="1:18" x14ac:dyDescent="0.3">
      <c r="A20" s="39">
        <f t="shared" si="2"/>
        <v>13</v>
      </c>
      <c r="B20" s="48" t="s">
        <v>44</v>
      </c>
      <c r="C20" s="49">
        <v>332</v>
      </c>
      <c r="D20" s="50">
        <v>123</v>
      </c>
      <c r="E20" s="51" t="s">
        <v>57</v>
      </c>
      <c r="F20" s="69">
        <v>1768.58</v>
      </c>
      <c r="G20" s="69">
        <f>(F20*Return!$G$15)*Return!$F$17</f>
        <v>149.44103776931999</v>
      </c>
      <c r="H20" s="69">
        <f>(F20*'Tax and Depreciation'!$E$7)+(F20*'Tax and Depreciation'!$E$9*0.3)+'Tax and Depreciation'!$E$11</f>
        <v>22.365264830000001</v>
      </c>
      <c r="I20" s="69">
        <f>3941*SUM('Fuel, Energy, Demand, Customer'!$E$14:$E$15)*(D20/1000)</f>
        <v>16.978268375693521</v>
      </c>
      <c r="J20" s="69">
        <f>'Fuel, Energy, Demand, Customer'!$E$13*D20</f>
        <v>19.787550904911924</v>
      </c>
      <c r="K20" s="69">
        <f>'Fuel, Energy, Demand, Customer'!$E$11</f>
        <v>58.772105837075429</v>
      </c>
      <c r="L20" s="69">
        <f>'O&amp;M'!$F$9</f>
        <v>38.229999999999997</v>
      </c>
      <c r="M20" s="69">
        <f>SUM(H20:L20)*'Tax and Depreciation'!$E$13</f>
        <v>159.27302839752875</v>
      </c>
      <c r="N20" s="69">
        <f t="shared" si="0"/>
        <v>308.76</v>
      </c>
      <c r="O20" s="69">
        <f t="shared" si="1"/>
        <v>25.73</v>
      </c>
      <c r="P20" s="61"/>
      <c r="Q20" s="68"/>
      <c r="R20" s="73"/>
    </row>
    <row r="21" spans="1:18" x14ac:dyDescent="0.3">
      <c r="A21" s="39">
        <f t="shared" si="2"/>
        <v>14</v>
      </c>
      <c r="B21" s="48" t="s">
        <v>44</v>
      </c>
      <c r="C21" s="49">
        <v>333</v>
      </c>
      <c r="D21" s="50">
        <v>469</v>
      </c>
      <c r="E21" s="51" t="s">
        <v>58</v>
      </c>
      <c r="F21" s="69">
        <v>2840.35</v>
      </c>
      <c r="G21" s="69">
        <f>(F21*Return!$G$15)*Return!$F$17</f>
        <v>240.00319557390003</v>
      </c>
      <c r="H21" s="69">
        <f>(F21*'Tax and Depreciation'!$E$7)+(F21*'Tax and Depreciation'!$E$9*0.3)+'Tax and Depreciation'!$E$11</f>
        <v>35.294562225</v>
      </c>
      <c r="I21" s="69">
        <f>3941*SUM('Fuel, Energy, Demand, Customer'!$E$14:$E$15)*(D21/1000)</f>
        <v>64.738275351221631</v>
      </c>
      <c r="J21" s="69">
        <f>'Fuel, Energy, Demand, Customer'!$E$13*D21</f>
        <v>75.450092474826775</v>
      </c>
      <c r="K21" s="69">
        <f>'Fuel, Energy, Demand, Customer'!$E$11</f>
        <v>58.772105837075429</v>
      </c>
      <c r="L21" s="69">
        <f>'O&amp;M'!$F$9</f>
        <v>38.229999999999997</v>
      </c>
      <c r="M21" s="69">
        <f>SUM(H21:L21)*'Tax and Depreciation'!$E$13</f>
        <v>277.96470995983401</v>
      </c>
      <c r="N21" s="69">
        <f t="shared" si="0"/>
        <v>517.91999999999996</v>
      </c>
      <c r="O21" s="69">
        <f t="shared" si="1"/>
        <v>43.16</v>
      </c>
      <c r="P21" s="61"/>
      <c r="Q21" s="68"/>
      <c r="R21" s="73"/>
    </row>
    <row r="22" spans="1:18" x14ac:dyDescent="0.3">
      <c r="A22" s="39">
        <f t="shared" si="2"/>
        <v>15</v>
      </c>
      <c r="B22" s="48" t="s">
        <v>44</v>
      </c>
      <c r="C22" s="49">
        <v>334</v>
      </c>
      <c r="D22" s="50">
        <v>303</v>
      </c>
      <c r="E22" s="51" t="s">
        <v>59</v>
      </c>
      <c r="F22" s="69">
        <v>2918.39</v>
      </c>
      <c r="G22" s="69">
        <f>(F22*Return!$G$15)*Return!$F$17</f>
        <v>246.59740029606002</v>
      </c>
      <c r="H22" s="69">
        <f>(F22*'Tax and Depreciation'!$E$7)+(F22*'Tax and Depreciation'!$E$9*0.3)+'Tax and Depreciation'!$E$11</f>
        <v>36.235997765</v>
      </c>
      <c r="I22" s="69">
        <f>3941*SUM('Fuel, Energy, Demand, Customer'!$E$14:$E$15)*(D22/1000)</f>
        <v>41.824514779147457</v>
      </c>
      <c r="J22" s="69">
        <f>'Fuel, Energy, Demand, Customer'!$E$13*D22</f>
        <v>48.744942473075717</v>
      </c>
      <c r="K22" s="69">
        <f>'Fuel, Energy, Demand, Customer'!$E$11</f>
        <v>58.772105837075429</v>
      </c>
      <c r="L22" s="69">
        <f>'O&amp;M'!$F$9</f>
        <v>38.229999999999997</v>
      </c>
      <c r="M22" s="69">
        <f>SUM(H22:L22)*'Tax and Depreciation'!$E$13</f>
        <v>228.30833090307857</v>
      </c>
      <c r="N22" s="69">
        <f t="shared" si="0"/>
        <v>474.96</v>
      </c>
      <c r="O22" s="69">
        <f t="shared" si="1"/>
        <v>39.58</v>
      </c>
      <c r="P22" s="61"/>
      <c r="Q22" s="68"/>
      <c r="R22" s="73"/>
    </row>
    <row r="23" spans="1:18" x14ac:dyDescent="0.3">
      <c r="A23" s="39">
        <f t="shared" si="2"/>
        <v>16</v>
      </c>
      <c r="B23" s="48" t="s">
        <v>44</v>
      </c>
      <c r="C23" s="49">
        <v>335</v>
      </c>
      <c r="D23" s="50">
        <v>469</v>
      </c>
      <c r="E23" s="51" t="s">
        <v>60</v>
      </c>
      <c r="F23" s="69">
        <v>1833.23</v>
      </c>
      <c r="G23" s="69">
        <f>(F23*Return!$G$15)*Return!$F$17</f>
        <v>154.90381756542001</v>
      </c>
      <c r="H23" s="69">
        <f>(F23*'Tax and Depreciation'!$E$7)+(F23*'Tax and Depreciation'!$E$9*0.3)+'Tax and Depreciation'!$E$11</f>
        <v>23.145170105000002</v>
      </c>
      <c r="I23" s="69">
        <f>3941*SUM('Fuel, Energy, Demand, Customer'!$E$14:$E$15)*(D23/1000)</f>
        <v>64.738275351221631</v>
      </c>
      <c r="J23" s="69">
        <f>'Fuel, Energy, Demand, Customer'!$E$13*D23</f>
        <v>75.450092474826775</v>
      </c>
      <c r="K23" s="69">
        <f>'Fuel, Energy, Demand, Customer'!$E$11</f>
        <v>58.772105837075429</v>
      </c>
      <c r="L23" s="69">
        <f>'O&amp;M'!$F$9</f>
        <v>38.229999999999997</v>
      </c>
      <c r="M23" s="69">
        <f>SUM(H23:L23)*'Tax and Depreciation'!$E$13</f>
        <v>265.57099356430081</v>
      </c>
      <c r="N23" s="69">
        <f t="shared" si="0"/>
        <v>420.48</v>
      </c>
      <c r="O23" s="69">
        <f t="shared" si="1"/>
        <v>35.04</v>
      </c>
      <c r="P23" s="61"/>
      <c r="Q23" s="68"/>
      <c r="R23" s="73"/>
    </row>
    <row r="24" spans="1:18" x14ac:dyDescent="0.3">
      <c r="A24" s="39">
        <f t="shared" si="2"/>
        <v>17</v>
      </c>
      <c r="B24" s="48" t="s">
        <v>44</v>
      </c>
      <c r="C24" s="49">
        <v>336</v>
      </c>
      <c r="D24" s="50">
        <v>303</v>
      </c>
      <c r="E24" s="51" t="s">
        <v>61</v>
      </c>
      <c r="F24" s="69">
        <v>1815.03</v>
      </c>
      <c r="G24" s="69">
        <f>(F24*Return!$G$15)*Return!$F$17</f>
        <v>153.36595844262001</v>
      </c>
      <c r="H24" s="69">
        <f>(F24*'Tax and Depreciation'!$E$7)+(F24*'Tax and Depreciation'!$E$9*0.3)+'Tax and Depreciation'!$E$11</f>
        <v>22.925614405000001</v>
      </c>
      <c r="I24" s="69">
        <f>3941*SUM('Fuel, Energy, Demand, Customer'!$E$14:$E$15)*(D24/1000)</f>
        <v>41.824514779147457</v>
      </c>
      <c r="J24" s="69">
        <f>'Fuel, Energy, Demand, Customer'!$E$13*D24</f>
        <v>48.744942473075717</v>
      </c>
      <c r="K24" s="69">
        <f>'Fuel, Energy, Demand, Customer'!$E$11</f>
        <v>58.772105837075429</v>
      </c>
      <c r="L24" s="69">
        <f>'O&amp;M'!$F$9</f>
        <v>38.229999999999997</v>
      </c>
      <c r="M24" s="69">
        <f>SUM(H24:L24)*'Tax and Depreciation'!$E$13</f>
        <v>214.73027573370896</v>
      </c>
      <c r="N24" s="69">
        <f t="shared" si="0"/>
        <v>368.04</v>
      </c>
      <c r="O24" s="69">
        <f t="shared" si="1"/>
        <v>30.67</v>
      </c>
      <c r="P24" s="61"/>
      <c r="Q24" s="68"/>
      <c r="R24" s="73"/>
    </row>
    <row r="25" spans="1:18" x14ac:dyDescent="0.3">
      <c r="A25" s="39">
        <f t="shared" si="2"/>
        <v>18</v>
      </c>
      <c r="B25" s="48" t="s">
        <v>44</v>
      </c>
      <c r="C25" s="49">
        <v>339</v>
      </c>
      <c r="D25" s="50">
        <v>186</v>
      </c>
      <c r="E25" s="51" t="s">
        <v>62</v>
      </c>
      <c r="F25" s="69">
        <v>1766.51</v>
      </c>
      <c r="G25" s="69">
        <f>(F25*Return!$G$15)*Return!$F$17</f>
        <v>149.26612741854001</v>
      </c>
      <c r="H25" s="69">
        <f>(F25*'Tax and Depreciation'!$E$7)+(F25*'Tax and Depreciation'!$E$9*0.3)+'Tax and Depreciation'!$E$11</f>
        <v>22.340293384999999</v>
      </c>
      <c r="I25" s="69">
        <f>3941*SUM('Fuel, Energy, Demand, Customer'!$E$14:$E$15)*(D25/1000)</f>
        <v>25.674454616902398</v>
      </c>
      <c r="J25" s="69">
        <f>'Fuel, Energy, Demand, Customer'!$E$13*D25</f>
        <v>29.922637953769254</v>
      </c>
      <c r="K25" s="69">
        <f>'Fuel, Energy, Demand, Customer'!$E$11</f>
        <v>58.772105837075429</v>
      </c>
      <c r="L25" s="69">
        <f>'O&amp;M'!$F$9</f>
        <v>38.229999999999997</v>
      </c>
      <c r="M25" s="69">
        <f>SUM(H25:L25)*'Tax and Depreciation'!$E$13</f>
        <v>178.45752497269925</v>
      </c>
      <c r="N25" s="69">
        <f t="shared" si="0"/>
        <v>327.71999999999997</v>
      </c>
      <c r="O25" s="69">
        <f t="shared" si="1"/>
        <v>27.31</v>
      </c>
      <c r="P25" s="61"/>
      <c r="Q25" s="68"/>
      <c r="R25" s="73"/>
    </row>
    <row r="26" spans="1:18" x14ac:dyDescent="0.3">
      <c r="A26" s="39">
        <f t="shared" si="2"/>
        <v>19</v>
      </c>
      <c r="B26" s="48" t="s">
        <v>44</v>
      </c>
      <c r="C26" s="49">
        <v>340</v>
      </c>
      <c r="D26" s="50">
        <v>303</v>
      </c>
      <c r="E26" s="51" t="s">
        <v>63</v>
      </c>
      <c r="F26" s="69">
        <v>1798.29</v>
      </c>
      <c r="G26" s="69">
        <f>(F26*Return!$G$15)*Return!$F$17</f>
        <v>151.95146604065999</v>
      </c>
      <c r="H26" s="69">
        <f>(F26*'Tax and Depreciation'!$E$7)+(F26*'Tax and Depreciation'!$E$9*0.3)+'Tax and Depreciation'!$E$11</f>
        <v>22.723671414999998</v>
      </c>
      <c r="I26" s="69">
        <f>3941*SUM('Fuel, Energy, Demand, Customer'!$E$14:$E$15)*(D26/1000)</f>
        <v>41.824514779147457</v>
      </c>
      <c r="J26" s="69">
        <f>'Fuel, Energy, Demand, Customer'!$E$13*D26</f>
        <v>48.744942473075717</v>
      </c>
      <c r="K26" s="69">
        <f>'Fuel, Energy, Demand, Customer'!$E$11</f>
        <v>58.772105837075429</v>
      </c>
      <c r="L26" s="69">
        <f>'O&amp;M'!$F$9</f>
        <v>38.229999999999997</v>
      </c>
      <c r="M26" s="69">
        <f>SUM(H26:L26)*'Tax and Depreciation'!$E$13</f>
        <v>214.52427167018007</v>
      </c>
      <c r="N26" s="69">
        <f t="shared" si="0"/>
        <v>366.48</v>
      </c>
      <c r="O26" s="69">
        <f t="shared" si="1"/>
        <v>30.540000000000003</v>
      </c>
      <c r="P26" s="61"/>
      <c r="Q26" s="68"/>
      <c r="R26" s="73"/>
    </row>
    <row r="27" spans="1:18" x14ac:dyDescent="0.3">
      <c r="A27" s="39">
        <f t="shared" si="2"/>
        <v>20</v>
      </c>
      <c r="B27" s="48" t="s">
        <v>44</v>
      </c>
      <c r="C27" s="49">
        <v>341</v>
      </c>
      <c r="D27" s="50">
        <v>469</v>
      </c>
      <c r="E27" s="51" t="s">
        <v>64</v>
      </c>
      <c r="F27" s="69">
        <v>1799.28</v>
      </c>
      <c r="G27" s="69">
        <f>(F27*Return!$G$15)*Return!$F$17</f>
        <v>152.03511881712001</v>
      </c>
      <c r="H27" s="69">
        <f>(F27*'Tax and Depreciation'!$E$7)+(F27*'Tax and Depreciation'!$E$9*0.3)+'Tax and Depreciation'!$E$11</f>
        <v>22.73561428</v>
      </c>
      <c r="I27" s="69">
        <f>3941*SUM('Fuel, Energy, Demand, Customer'!$E$14:$E$15)*(D27/1000)</f>
        <v>64.738275351221631</v>
      </c>
      <c r="J27" s="69">
        <f>'Fuel, Energy, Demand, Customer'!$E$13*D27</f>
        <v>75.450092474826775</v>
      </c>
      <c r="K27" s="69">
        <f>'Fuel, Energy, Demand, Customer'!$E$11</f>
        <v>58.772105837075429</v>
      </c>
      <c r="L27" s="69">
        <f>'O&amp;M'!$F$9</f>
        <v>38.229999999999997</v>
      </c>
      <c r="M27" s="69">
        <f>SUM(H27:L27)*'Tax and Depreciation'!$E$13</f>
        <v>265.15320157166008</v>
      </c>
      <c r="N27" s="69">
        <f t="shared" si="0"/>
        <v>417.24</v>
      </c>
      <c r="O27" s="69">
        <f t="shared" si="1"/>
        <v>34.770000000000003</v>
      </c>
      <c r="P27" s="61"/>
      <c r="Q27" s="68"/>
      <c r="R27" s="73"/>
    </row>
    <row r="28" spans="1:18" x14ac:dyDescent="0.3">
      <c r="A28" s="39">
        <f t="shared" si="2"/>
        <v>21</v>
      </c>
      <c r="B28" s="48" t="s">
        <v>44</v>
      </c>
      <c r="C28" s="49">
        <v>346</v>
      </c>
      <c r="D28" s="50">
        <v>469</v>
      </c>
      <c r="E28" s="51" t="s">
        <v>65</v>
      </c>
      <c r="F28" s="69">
        <v>664.85</v>
      </c>
      <c r="G28" s="69">
        <f>(F28*Return!$G$15)*Return!$F$17</f>
        <v>56.178331746900007</v>
      </c>
      <c r="H28" s="69">
        <f>(F28*'Tax and Depreciation'!$E$7)+(F28*'Tax and Depreciation'!$E$9*0.3)+'Tax and Depreciation'!$E$11</f>
        <v>9.0504179750000002</v>
      </c>
      <c r="I28" s="69">
        <f>3941*SUM('Fuel, Energy, Demand, Customer'!$E$14:$E$15)*(D28/1000)</f>
        <v>64.738275351221631</v>
      </c>
      <c r="J28" s="69">
        <f>'Fuel, Energy, Demand, Customer'!$E$13*D28</f>
        <v>75.450092474826775</v>
      </c>
      <c r="K28" s="69">
        <f>'Fuel, Energy, Demand, Customer'!$E$11</f>
        <v>58.772105837075429</v>
      </c>
      <c r="L28" s="69">
        <f>'O&amp;M'!$F$9</f>
        <v>38.229999999999997</v>
      </c>
      <c r="M28" s="69">
        <f>SUM(H28:L28)*'Tax and Depreciation'!$E$13</f>
        <v>251.19279596896652</v>
      </c>
      <c r="N28" s="69">
        <f t="shared" si="0"/>
        <v>307.32</v>
      </c>
      <c r="O28" s="69">
        <f t="shared" si="1"/>
        <v>25.61</v>
      </c>
      <c r="P28" s="61"/>
      <c r="Q28" s="68"/>
      <c r="R28" s="73"/>
    </row>
    <row r="29" spans="1:18" x14ac:dyDescent="0.3">
      <c r="A29" s="39">
        <f t="shared" si="2"/>
        <v>22</v>
      </c>
      <c r="B29" s="48" t="s">
        <v>44</v>
      </c>
      <c r="C29" s="49">
        <v>347</v>
      </c>
      <c r="D29" s="50">
        <v>303</v>
      </c>
      <c r="E29" s="51" t="s">
        <v>66</v>
      </c>
      <c r="F29" s="69">
        <v>653.05999999999995</v>
      </c>
      <c r="G29" s="69">
        <f>(F29*Return!$G$15)*Return!$F$17</f>
        <v>55.182103227239999</v>
      </c>
      <c r="H29" s="69">
        <f>(F29*'Tax and Depreciation'!$E$7)+(F29*'Tax and Depreciation'!$E$9*0.3)+'Tax and Depreciation'!$E$11</f>
        <v>8.9081893099999991</v>
      </c>
      <c r="I29" s="69">
        <f>3941*SUM('Fuel, Energy, Demand, Customer'!$E$14:$E$15)*(D29/1000)</f>
        <v>41.824514779147457</v>
      </c>
      <c r="J29" s="69">
        <f>'Fuel, Energy, Demand, Customer'!$E$13*D29</f>
        <v>48.744942473075717</v>
      </c>
      <c r="K29" s="69">
        <f>'Fuel, Energy, Demand, Customer'!$E$11</f>
        <v>58.772105837075429</v>
      </c>
      <c r="L29" s="69">
        <f>'O&amp;M'!$F$9</f>
        <v>38.229999999999997</v>
      </c>
      <c r="M29" s="69">
        <f>SUM(H29:L29)*'Tax and Depreciation'!$E$13</f>
        <v>200.43096022004849</v>
      </c>
      <c r="N29" s="69">
        <f t="shared" si="0"/>
        <v>255.60000000000002</v>
      </c>
      <c r="O29" s="69">
        <f t="shared" si="1"/>
        <v>21.3</v>
      </c>
      <c r="P29" s="61"/>
      <c r="Q29" s="68"/>
      <c r="R29" s="73"/>
    </row>
    <row r="30" spans="1:18" x14ac:dyDescent="0.3">
      <c r="A30" s="39">
        <f t="shared" si="2"/>
        <v>23</v>
      </c>
      <c r="B30" s="48" t="s">
        <v>44</v>
      </c>
      <c r="C30" s="49">
        <v>348</v>
      </c>
      <c r="D30" s="50">
        <v>186</v>
      </c>
      <c r="E30" s="51" t="s">
        <v>67</v>
      </c>
      <c r="F30" s="69">
        <v>663.11</v>
      </c>
      <c r="G30" s="69">
        <f>(F30*Return!$G$15)*Return!$F$17</f>
        <v>56.031305654940006</v>
      </c>
      <c r="H30" s="69">
        <f>(F30*'Tax and Depreciation'!$E$7)+(F30*'Tax and Depreciation'!$E$9*0.3)+'Tax and Depreciation'!$E$11</f>
        <v>9.0294274849999994</v>
      </c>
      <c r="I30" s="69">
        <f>3941*SUM('Fuel, Energy, Demand, Customer'!$E$14:$E$15)*(D30/1000)</f>
        <v>25.674454616902398</v>
      </c>
      <c r="J30" s="69">
        <f>'Fuel, Energy, Demand, Customer'!$E$13*D30</f>
        <v>29.922637953769254</v>
      </c>
      <c r="K30" s="69">
        <f>'Fuel, Energy, Demand, Customer'!$E$11</f>
        <v>58.772105837075429</v>
      </c>
      <c r="L30" s="69">
        <f>'O&amp;M'!$F$9</f>
        <v>38.229999999999997</v>
      </c>
      <c r="M30" s="69">
        <f>SUM(H30:L30)*'Tax and Depreciation'!$E$13</f>
        <v>164.87897755945022</v>
      </c>
      <c r="N30" s="69">
        <f t="shared" si="0"/>
        <v>220.92000000000002</v>
      </c>
      <c r="O30" s="69">
        <f t="shared" si="1"/>
        <v>18.41</v>
      </c>
      <c r="P30" s="61"/>
      <c r="Q30" s="68"/>
      <c r="R30" s="73"/>
    </row>
    <row r="31" spans="1:18" x14ac:dyDescent="0.3">
      <c r="A31" s="39">
        <f t="shared" si="2"/>
        <v>24</v>
      </c>
      <c r="B31" s="48" t="s">
        <v>44</v>
      </c>
      <c r="C31" s="49">
        <v>349</v>
      </c>
      <c r="D31" s="50">
        <v>123</v>
      </c>
      <c r="E31" s="51" t="s">
        <v>68</v>
      </c>
      <c r="F31" s="69">
        <v>608.15</v>
      </c>
      <c r="G31" s="69">
        <f>(F31*Return!$G$15)*Return!$F$17</f>
        <v>51.387309095100001</v>
      </c>
      <c r="H31" s="69">
        <f>(F31*'Tax and Depreciation'!$E$7)+(F31*'Tax and Depreciation'!$E$9*0.3)+'Tax and Depreciation'!$E$11</f>
        <v>8.3664175249999992</v>
      </c>
      <c r="I31" s="69">
        <f>3941*SUM('Fuel, Energy, Demand, Customer'!$E$14:$E$15)*(D31/1000)</f>
        <v>16.978268375693521</v>
      </c>
      <c r="J31" s="69">
        <f>'Fuel, Energy, Demand, Customer'!$E$13*D31</f>
        <v>19.787550904911924</v>
      </c>
      <c r="K31" s="69">
        <f>'Fuel, Energy, Demand, Customer'!$E$11</f>
        <v>58.772105837075429</v>
      </c>
      <c r="L31" s="69">
        <f>'O&amp;M'!$F$9</f>
        <v>38.229999999999997</v>
      </c>
      <c r="M31" s="69">
        <f>SUM(H31:L31)*'Tax and Depreciation'!$E$13</f>
        <v>144.99266427322519</v>
      </c>
      <c r="N31" s="69">
        <f t="shared" si="0"/>
        <v>196.32</v>
      </c>
      <c r="O31" s="69">
        <f t="shared" si="1"/>
        <v>16.36</v>
      </c>
      <c r="P31" s="61"/>
      <c r="Q31" s="68"/>
      <c r="R31" s="73"/>
    </row>
    <row r="32" spans="1:18" x14ac:dyDescent="0.3">
      <c r="A32" s="39">
        <f t="shared" si="2"/>
        <v>25</v>
      </c>
      <c r="B32" s="48" t="s">
        <v>44</v>
      </c>
      <c r="C32" s="49">
        <v>350</v>
      </c>
      <c r="D32" s="50">
        <v>469</v>
      </c>
      <c r="E32" s="51" t="s">
        <v>69</v>
      </c>
      <c r="F32" s="69">
        <v>574.26</v>
      </c>
      <c r="G32" s="69">
        <f>(F32*Return!$G$15)*Return!$F$17</f>
        <v>48.523680212040006</v>
      </c>
      <c r="H32" s="69">
        <f>(F32*'Tax and Depreciation'!$E$7)+(F32*'Tax and Depreciation'!$E$9*0.3)+'Tax and Depreciation'!$E$11</f>
        <v>7.9575855100000004</v>
      </c>
      <c r="I32" s="69">
        <f>3941*SUM('Fuel, Energy, Demand, Customer'!$E$14:$E$15)*(D32/1000)</f>
        <v>64.738275351221631</v>
      </c>
      <c r="J32" s="69">
        <f>'Fuel, Energy, Demand, Customer'!$E$13*D32</f>
        <v>75.450092474826775</v>
      </c>
      <c r="K32" s="69">
        <f>'Fuel, Energy, Demand, Customer'!$E$11</f>
        <v>58.772105837075429</v>
      </c>
      <c r="L32" s="69">
        <f>'O&amp;M'!$F$9</f>
        <v>38.229999999999997</v>
      </c>
      <c r="M32" s="69">
        <f>SUM(H32:L32)*'Tax and Depreciation'!$E$13</f>
        <v>250.07798664309539</v>
      </c>
      <c r="N32" s="69">
        <f t="shared" si="0"/>
        <v>298.56</v>
      </c>
      <c r="O32" s="69">
        <f t="shared" si="1"/>
        <v>24.88</v>
      </c>
      <c r="P32" s="61"/>
      <c r="Q32" s="68"/>
      <c r="R32" s="73"/>
    </row>
    <row r="33" spans="1:18" x14ac:dyDescent="0.3">
      <c r="A33" s="39">
        <f t="shared" si="2"/>
        <v>26</v>
      </c>
      <c r="B33" s="48" t="s">
        <v>44</v>
      </c>
      <c r="C33" s="49">
        <v>351</v>
      </c>
      <c r="D33" s="50">
        <v>303</v>
      </c>
      <c r="E33" s="51" t="s">
        <v>70</v>
      </c>
      <c r="F33" s="69">
        <v>652.30999999999995</v>
      </c>
      <c r="G33" s="69">
        <f>(F33*Return!$G$15)*Return!$F$17</f>
        <v>55.118729911740004</v>
      </c>
      <c r="H33" s="69">
        <f>(F33*'Tax and Depreciation'!$E$7)+(F33*'Tax and Depreciation'!$E$9*0.3)+'Tax and Depreciation'!$E$11</f>
        <v>8.899141685</v>
      </c>
      <c r="I33" s="69">
        <f>3941*SUM('Fuel, Energy, Demand, Customer'!$E$14:$E$15)*(D33/1000)</f>
        <v>41.824514779147457</v>
      </c>
      <c r="J33" s="69">
        <f>'Fuel, Energy, Demand, Customer'!$E$13*D33</f>
        <v>48.744942473075717</v>
      </c>
      <c r="K33" s="69">
        <f>'Fuel, Energy, Demand, Customer'!$E$11</f>
        <v>58.772105837075429</v>
      </c>
      <c r="L33" s="69">
        <f>'O&amp;M'!$F$9</f>
        <v>38.229999999999997</v>
      </c>
      <c r="M33" s="69">
        <f>SUM(H33:L33)*'Tax and Depreciation'!$E$13</f>
        <v>200.42173064730974</v>
      </c>
      <c r="N33" s="69">
        <f t="shared" si="0"/>
        <v>255.60000000000002</v>
      </c>
      <c r="O33" s="69">
        <f t="shared" si="1"/>
        <v>21.3</v>
      </c>
      <c r="P33" s="61"/>
      <c r="Q33" s="68"/>
      <c r="R33" s="73"/>
    </row>
    <row r="34" spans="1:18" x14ac:dyDescent="0.3">
      <c r="A34" s="39">
        <f t="shared" si="2"/>
        <v>27</v>
      </c>
      <c r="B34" s="48" t="s">
        <v>44</v>
      </c>
      <c r="C34" s="49">
        <v>352</v>
      </c>
      <c r="D34" s="50">
        <v>469</v>
      </c>
      <c r="E34" s="51" t="s">
        <v>71</v>
      </c>
      <c r="F34" s="69">
        <v>600.98</v>
      </c>
      <c r="G34" s="69">
        <f>(F34*Return!$G$15)*Return!$F$17</f>
        <v>50.781460198920009</v>
      </c>
      <c r="H34" s="69">
        <f>(F34*'Tax and Depreciation'!$E$7)+(F34*'Tax and Depreciation'!$E$9*0.3)+'Tax and Depreciation'!$E$11</f>
        <v>8.2799222299999986</v>
      </c>
      <c r="I34" s="69">
        <f>3941*SUM('Fuel, Energy, Demand, Customer'!$E$14:$E$15)*(D34/1000)</f>
        <v>64.738275351221631</v>
      </c>
      <c r="J34" s="69">
        <f>'Fuel, Energy, Demand, Customer'!$E$13*D34</f>
        <v>75.450092474826775</v>
      </c>
      <c r="K34" s="69">
        <f>'Fuel, Energy, Demand, Customer'!$E$11</f>
        <v>58.772105837075429</v>
      </c>
      <c r="L34" s="69">
        <f>'O&amp;M'!$F$9</f>
        <v>38.229999999999997</v>
      </c>
      <c r="M34" s="69">
        <f>SUM(H34:L34)*'Tax and Depreciation'!$E$13</f>
        <v>250.40680555453457</v>
      </c>
      <c r="N34" s="69">
        <f t="shared" si="0"/>
        <v>301.20000000000005</v>
      </c>
      <c r="O34" s="69">
        <f t="shared" si="1"/>
        <v>25.100000000000005</v>
      </c>
      <c r="P34" s="61"/>
      <c r="Q34" s="68"/>
      <c r="R34" s="73"/>
    </row>
    <row r="35" spans="1:18" x14ac:dyDescent="0.3">
      <c r="A35" s="39">
        <f t="shared" si="2"/>
        <v>28</v>
      </c>
      <c r="B35" s="48" t="s">
        <v>44</v>
      </c>
      <c r="C35" s="49">
        <v>353</v>
      </c>
      <c r="D35" s="50">
        <v>303</v>
      </c>
      <c r="E35" s="51" t="s">
        <v>72</v>
      </c>
      <c r="F35" s="69">
        <v>582.78</v>
      </c>
      <c r="G35" s="69">
        <f>(F35*Return!$G$15)*Return!$F$17</f>
        <v>49.243601076120001</v>
      </c>
      <c r="H35" s="69">
        <f>(F35*'Tax and Depreciation'!$E$7)+(F35*'Tax and Depreciation'!$E$9*0.3)+'Tax and Depreciation'!$E$11</f>
        <v>8.0603665299999996</v>
      </c>
      <c r="I35" s="69">
        <f>3941*SUM('Fuel, Energy, Demand, Customer'!$E$14:$E$15)*(D35/1000)</f>
        <v>41.824514779147457</v>
      </c>
      <c r="J35" s="69">
        <f>'Fuel, Energy, Demand, Customer'!$E$13*D35</f>
        <v>48.744942473075717</v>
      </c>
      <c r="K35" s="69">
        <f>'Fuel, Energy, Demand, Customer'!$E$11</f>
        <v>58.772105837075429</v>
      </c>
      <c r="L35" s="69">
        <f>'O&amp;M'!$F$9</f>
        <v>38.229999999999997</v>
      </c>
      <c r="M35" s="69">
        <f>SUM(H35:L35)*'Tax and Depreciation'!$E$13</f>
        <v>199.5660877239427</v>
      </c>
      <c r="N35" s="69">
        <f t="shared" si="0"/>
        <v>248.76</v>
      </c>
      <c r="O35" s="69">
        <f t="shared" si="1"/>
        <v>20.73</v>
      </c>
      <c r="P35" s="61"/>
      <c r="Q35" s="68"/>
      <c r="R35" s="73"/>
    </row>
    <row r="36" spans="1:18" x14ac:dyDescent="0.3">
      <c r="A36" s="39">
        <f t="shared" si="2"/>
        <v>29</v>
      </c>
      <c r="B36" s="48" t="s">
        <v>44</v>
      </c>
      <c r="C36" s="49">
        <v>356</v>
      </c>
      <c r="D36" s="50">
        <v>186</v>
      </c>
      <c r="E36" s="51" t="s">
        <v>73</v>
      </c>
      <c r="F36" s="69">
        <v>731.56</v>
      </c>
      <c r="G36" s="69">
        <f>(F36*Return!$G$15)*Return!$F$17</f>
        <v>61.815176916239999</v>
      </c>
      <c r="H36" s="69">
        <f>(F36*'Tax and Depreciation'!$E$7)+(F36*'Tax and Depreciation'!$E$9*0.3)+'Tax and Depreciation'!$E$11</f>
        <v>9.8551740599999995</v>
      </c>
      <c r="I36" s="69">
        <f>3941*SUM('Fuel, Energy, Demand, Customer'!$E$14:$E$15)*(D36/1000)</f>
        <v>25.674454616902398</v>
      </c>
      <c r="J36" s="69">
        <f>'Fuel, Energy, Demand, Customer'!$E$13*D36</f>
        <v>29.922637953769254</v>
      </c>
      <c r="K36" s="69">
        <f>'Fuel, Energy, Demand, Customer'!$E$11</f>
        <v>58.772105837075429</v>
      </c>
      <c r="L36" s="69">
        <f>'O&amp;M'!$F$9</f>
        <v>38.229999999999997</v>
      </c>
      <c r="M36" s="69">
        <f>SUM(H36:L36)*'Tax and Depreciation'!$E$13</f>
        <v>165.72132989807349</v>
      </c>
      <c r="N36" s="69">
        <f t="shared" si="0"/>
        <v>227.52</v>
      </c>
      <c r="O36" s="69">
        <f t="shared" si="1"/>
        <v>18.96</v>
      </c>
      <c r="P36" s="61"/>
      <c r="Q36" s="68"/>
      <c r="R36" s="73"/>
    </row>
    <row r="37" spans="1:18" x14ac:dyDescent="0.3">
      <c r="A37" s="39">
        <f t="shared" si="2"/>
        <v>30</v>
      </c>
      <c r="B37" s="48" t="s">
        <v>44</v>
      </c>
      <c r="C37" s="49">
        <v>357</v>
      </c>
      <c r="D37" s="50">
        <v>303</v>
      </c>
      <c r="E37" s="51" t="s">
        <v>74</v>
      </c>
      <c r="F37" s="69">
        <v>763.34</v>
      </c>
      <c r="G37" s="69">
        <f>(F37*Return!$G$15)*Return!$F$17</f>
        <v>64.500515538360006</v>
      </c>
      <c r="H37" s="69">
        <f>(F37*'Tax and Depreciation'!$E$7)+(F37*'Tax and Depreciation'!$E$9*0.3)+'Tax and Depreciation'!$E$11</f>
        <v>10.238552090000001</v>
      </c>
      <c r="I37" s="69">
        <f>3941*SUM('Fuel, Energy, Demand, Customer'!$E$14:$E$15)*(D37/1000)</f>
        <v>41.824514779147457</v>
      </c>
      <c r="J37" s="69">
        <f>'Fuel, Energy, Demand, Customer'!$E$13*D37</f>
        <v>48.744942473075717</v>
      </c>
      <c r="K37" s="69">
        <f>'Fuel, Energy, Demand, Customer'!$E$11</f>
        <v>58.772105837075429</v>
      </c>
      <c r="L37" s="69">
        <f>'O&amp;M'!$F$9</f>
        <v>38.229999999999997</v>
      </c>
      <c r="M37" s="69">
        <f>SUM(H37:L37)*'Tax and Depreciation'!$E$13</f>
        <v>201.78807659555432</v>
      </c>
      <c r="N37" s="69">
        <f t="shared" si="0"/>
        <v>266.28000000000003</v>
      </c>
      <c r="O37" s="69">
        <f t="shared" si="1"/>
        <v>22.19</v>
      </c>
      <c r="P37" s="61"/>
      <c r="Q37" s="68"/>
      <c r="R37" s="73"/>
    </row>
    <row r="38" spans="1:18" x14ac:dyDescent="0.3">
      <c r="A38" s="39">
        <f t="shared" si="2"/>
        <v>31</v>
      </c>
      <c r="B38" s="48" t="s">
        <v>44</v>
      </c>
      <c r="C38" s="49">
        <v>358</v>
      </c>
      <c r="D38" s="50">
        <v>469</v>
      </c>
      <c r="E38" s="51" t="s">
        <v>75</v>
      </c>
      <c r="F38" s="69">
        <v>764.33</v>
      </c>
      <c r="G38" s="69">
        <f>(F38*Return!$G$15)*Return!$F$17</f>
        <v>64.584168314820005</v>
      </c>
      <c r="H38" s="69">
        <f>(F38*'Tax and Depreciation'!$E$7)+(F38*'Tax and Depreciation'!$E$9*0.3)+'Tax and Depreciation'!$E$11</f>
        <v>10.250494954999999</v>
      </c>
      <c r="I38" s="69">
        <f>3941*SUM('Fuel, Energy, Demand, Customer'!$E$14:$E$15)*(D38/1000)</f>
        <v>64.738275351221631</v>
      </c>
      <c r="J38" s="69">
        <f>'Fuel, Energy, Demand, Customer'!$E$13*D38</f>
        <v>75.450092474826775</v>
      </c>
      <c r="K38" s="69">
        <f>'Fuel, Energy, Demand, Customer'!$E$11</f>
        <v>58.772105837075429</v>
      </c>
      <c r="L38" s="69">
        <f>'O&amp;M'!$F$9</f>
        <v>38.229999999999997</v>
      </c>
      <c r="M38" s="69">
        <f>SUM(H38:L38)*'Tax and Depreciation'!$E$13</f>
        <v>252.41700649703429</v>
      </c>
      <c r="N38" s="69">
        <f t="shared" si="0"/>
        <v>317.04000000000002</v>
      </c>
      <c r="O38" s="69">
        <f t="shared" si="1"/>
        <v>26.42</v>
      </c>
      <c r="P38" s="61"/>
      <c r="Q38" s="68"/>
      <c r="R38" s="73"/>
    </row>
    <row r="39" spans="1:18" x14ac:dyDescent="0.3">
      <c r="A39" s="39">
        <f t="shared" si="2"/>
        <v>32</v>
      </c>
      <c r="B39" s="48" t="s">
        <v>44</v>
      </c>
      <c r="C39" s="49">
        <v>362</v>
      </c>
      <c r="D39" s="50">
        <v>123</v>
      </c>
      <c r="E39" s="51" t="s">
        <v>76</v>
      </c>
      <c r="F39" s="69">
        <v>2192.29</v>
      </c>
      <c r="G39" s="69">
        <f>(F39*Return!$G$15)*Return!$F$17</f>
        <v>185.24358111666001</v>
      </c>
      <c r="H39" s="69">
        <f>(F39*'Tax and Depreciation'!$E$7)+(F39*'Tax and Depreciation'!$E$9*0.3)+'Tax and Depreciation'!$E$11</f>
        <v>27.476690415</v>
      </c>
      <c r="I39" s="69">
        <f>3941*SUM('Fuel, Energy, Demand, Customer'!$E$14:$E$15)*(D39/1000)</f>
        <v>16.978268375693521</v>
      </c>
      <c r="J39" s="69">
        <f>'Fuel, Energy, Demand, Customer'!$E$13*D39</f>
        <v>19.787550904911924</v>
      </c>
      <c r="K39" s="69">
        <f>'Fuel, Energy, Demand, Customer'!$E$11</f>
        <v>58.772105837075429</v>
      </c>
      <c r="L39" s="69">
        <f>'O&amp;M'!$F$9</f>
        <v>38.229999999999997</v>
      </c>
      <c r="M39" s="69">
        <f>SUM(H39:L39)*'Tax and Depreciation'!$E$13</f>
        <v>164.48724475104311</v>
      </c>
      <c r="N39" s="69">
        <f t="shared" si="0"/>
        <v>349.68</v>
      </c>
      <c r="O39" s="69">
        <f t="shared" si="1"/>
        <v>29.14</v>
      </c>
      <c r="P39" s="61"/>
      <c r="Q39" s="68"/>
      <c r="R39" s="73"/>
    </row>
    <row r="40" spans="1:18" x14ac:dyDescent="0.3">
      <c r="A40" s="39">
        <f t="shared" si="2"/>
        <v>33</v>
      </c>
      <c r="B40" s="48" t="s">
        <v>44</v>
      </c>
      <c r="C40" s="49">
        <v>363</v>
      </c>
      <c r="D40" s="50">
        <v>123</v>
      </c>
      <c r="E40" s="51" t="s">
        <v>77</v>
      </c>
      <c r="F40" s="69">
        <v>1264.3</v>
      </c>
      <c r="G40" s="69">
        <f>(F40*Return!$G$15)*Return!$F$17</f>
        <v>106.8305103822</v>
      </c>
      <c r="H40" s="69">
        <f>(F40*'Tax and Depreciation'!$E$7)+(F40*'Tax and Depreciation'!$E$9*0.3)+'Tax and Depreciation'!$E$11</f>
        <v>16.281883050000001</v>
      </c>
      <c r="I40" s="69">
        <f>3941*SUM('Fuel, Energy, Demand, Customer'!$E$14:$E$15)*(D40/1000)</f>
        <v>16.978268375693521</v>
      </c>
      <c r="J40" s="69">
        <f>'Fuel, Energy, Demand, Customer'!$E$13*D40</f>
        <v>19.787550904911924</v>
      </c>
      <c r="K40" s="69">
        <f>'Fuel, Energy, Demand, Customer'!$E$11</f>
        <v>58.772105837075429</v>
      </c>
      <c r="L40" s="69">
        <f>'O&amp;M'!$F$9</f>
        <v>38.229999999999997</v>
      </c>
      <c r="M40" s="69">
        <f>SUM(H40:L40)*'Tax and Depreciation'!$E$13</f>
        <v>153.06730980993296</v>
      </c>
      <c r="N40" s="69">
        <f t="shared" si="0"/>
        <v>259.92</v>
      </c>
      <c r="O40" s="69">
        <f t="shared" si="1"/>
        <v>21.66</v>
      </c>
      <c r="P40" s="61"/>
      <c r="Q40" s="68"/>
      <c r="R40" s="73"/>
    </row>
    <row r="41" spans="1:18" x14ac:dyDescent="0.3">
      <c r="A41" s="39">
        <f t="shared" si="2"/>
        <v>34</v>
      </c>
      <c r="B41" s="48" t="s">
        <v>44</v>
      </c>
      <c r="C41" s="49">
        <v>364</v>
      </c>
      <c r="D41" s="50">
        <v>186</v>
      </c>
      <c r="E41" s="51" t="s">
        <v>78</v>
      </c>
      <c r="F41" s="69">
        <v>2188.08</v>
      </c>
      <c r="G41" s="69">
        <f>(F41*Return!$G$15)*Return!$F$17</f>
        <v>184.88784557232</v>
      </c>
      <c r="H41" s="69">
        <f>(F41*'Tax and Depreciation'!$E$7)+(F41*'Tax and Depreciation'!$E$9*0.3)+'Tax and Depreciation'!$E$11</f>
        <v>27.425903079999998</v>
      </c>
      <c r="I41" s="69">
        <f>3941*SUM('Fuel, Energy, Demand, Customer'!$E$14:$E$15)*(D41/1000)</f>
        <v>25.674454616902398</v>
      </c>
      <c r="J41" s="69">
        <f>'Fuel, Energy, Demand, Customer'!$E$13*D41</f>
        <v>29.922637953769254</v>
      </c>
      <c r="K41" s="69">
        <f>'Fuel, Energy, Demand, Customer'!$E$11</f>
        <v>58.772105837075429</v>
      </c>
      <c r="L41" s="69">
        <f>'O&amp;M'!$F$9</f>
        <v>38.229999999999997</v>
      </c>
      <c r="M41" s="69">
        <f>SUM(H41:L41)*'Tax and Depreciation'!$E$13</f>
        <v>183.64540627866566</v>
      </c>
      <c r="N41" s="69">
        <f t="shared" si="0"/>
        <v>368.52</v>
      </c>
      <c r="O41" s="69">
        <f t="shared" si="1"/>
        <v>30.709999999999997</v>
      </c>
      <c r="P41" s="61"/>
      <c r="Q41" s="68"/>
      <c r="R41" s="73"/>
    </row>
    <row r="42" spans="1:18" x14ac:dyDescent="0.3">
      <c r="A42" s="39">
        <f t="shared" si="2"/>
        <v>35</v>
      </c>
      <c r="B42" s="48" t="s">
        <v>44</v>
      </c>
      <c r="C42" s="49">
        <v>365</v>
      </c>
      <c r="D42" s="50">
        <v>186</v>
      </c>
      <c r="E42" s="51" t="s">
        <v>79</v>
      </c>
      <c r="F42" s="69">
        <v>1785.61</v>
      </c>
      <c r="G42" s="69">
        <f>(F42*Return!$G$15)*Return!$F$17</f>
        <v>150.88003451993998</v>
      </c>
      <c r="H42" s="69">
        <f>(F42*'Tax and Depreciation'!$E$7)+(F42*'Tax and Depreciation'!$E$9*0.3)+'Tax and Depreciation'!$E$11</f>
        <v>22.570706234999999</v>
      </c>
      <c r="I42" s="69">
        <f>3941*SUM('Fuel, Energy, Demand, Customer'!$E$14:$E$15)*(D42/1000)</f>
        <v>25.674454616902398</v>
      </c>
      <c r="J42" s="69">
        <f>'Fuel, Energy, Demand, Customer'!$E$13*D42</f>
        <v>29.922637953769254</v>
      </c>
      <c r="K42" s="69">
        <f>'Fuel, Energy, Demand, Customer'!$E$11</f>
        <v>58.772105837075429</v>
      </c>
      <c r="L42" s="69">
        <f>'O&amp;M'!$F$9</f>
        <v>38.229999999999997</v>
      </c>
      <c r="M42" s="69">
        <f>SUM(H42:L42)*'Tax and Depreciation'!$E$13</f>
        <v>178.69257142511273</v>
      </c>
      <c r="N42" s="69">
        <f t="shared" si="0"/>
        <v>329.52</v>
      </c>
      <c r="O42" s="69">
        <f t="shared" si="1"/>
        <v>27.459999999999997</v>
      </c>
      <c r="P42" s="61"/>
      <c r="Q42" s="68"/>
      <c r="R42" s="73"/>
    </row>
    <row r="43" spans="1:18" x14ac:dyDescent="0.3">
      <c r="A43" s="39">
        <f t="shared" si="2"/>
        <v>36</v>
      </c>
      <c r="B43" s="48" t="s">
        <v>44</v>
      </c>
      <c r="C43" s="49">
        <v>380</v>
      </c>
      <c r="D43" s="50">
        <v>294</v>
      </c>
      <c r="E43" s="51" t="s">
        <v>80</v>
      </c>
      <c r="F43" s="69">
        <v>2554.04</v>
      </c>
      <c r="G43" s="69">
        <f>(F43*Return!$G$15)*Return!$F$17</f>
        <v>215.81064362616002</v>
      </c>
      <c r="H43" s="69">
        <f>(F43*'Tax and Depreciation'!$E$7)+(F43*'Tax and Depreciation'!$E$9*0.3)+'Tax and Depreciation'!$E$11</f>
        <v>31.840661539999999</v>
      </c>
      <c r="I43" s="69">
        <f>3941*SUM('Fuel, Energy, Demand, Customer'!$E$14:$E$15)*(D43/1000)</f>
        <v>40.582202458974756</v>
      </c>
      <c r="J43" s="69">
        <f>'Fuel, Energy, Demand, Customer'!$E$13*D43</f>
        <v>47.297072894667529</v>
      </c>
      <c r="K43" s="69">
        <f>'Fuel, Energy, Demand, Customer'!$E$11</f>
        <v>58.772105837075429</v>
      </c>
      <c r="L43" s="69">
        <f>'O&amp;M'!$F$9</f>
        <v>38.229999999999997</v>
      </c>
      <c r="M43" s="69">
        <f>SUM(H43:L43)*'Tax and Depreciation'!$E$13</f>
        <v>221.08032301003246</v>
      </c>
      <c r="N43" s="69">
        <f t="shared" si="0"/>
        <v>436.91999999999996</v>
      </c>
      <c r="O43" s="69">
        <f t="shared" si="1"/>
        <v>36.409999999999997</v>
      </c>
      <c r="P43" s="61"/>
      <c r="Q43" s="68"/>
      <c r="R43" s="73"/>
    </row>
    <row r="44" spans="1:18" x14ac:dyDescent="0.3">
      <c r="A44" s="39">
        <f t="shared" si="2"/>
        <v>37</v>
      </c>
      <c r="B44" s="48" t="s">
        <v>44</v>
      </c>
      <c r="C44" s="49">
        <v>381</v>
      </c>
      <c r="D44" s="50">
        <v>294</v>
      </c>
      <c r="E44" s="51" t="s">
        <v>81</v>
      </c>
      <c r="F44" s="69">
        <v>2528.19</v>
      </c>
      <c r="G44" s="69">
        <f>(F44*Return!$G$15)*Return!$F$17</f>
        <v>213.62637668526003</v>
      </c>
      <c r="H44" s="69">
        <f>(F44*'Tax and Depreciation'!$E$7)+(F44*'Tax and Depreciation'!$E$9*0.3)+'Tax and Depreciation'!$E$11</f>
        <v>31.528820065000001</v>
      </c>
      <c r="I44" s="69">
        <f>3941*SUM('Fuel, Energy, Demand, Customer'!$E$14:$E$15)*(D44/1000)</f>
        <v>40.582202458974756</v>
      </c>
      <c r="J44" s="69">
        <f>'Fuel, Energy, Demand, Customer'!$E$13*D44</f>
        <v>47.297072894667529</v>
      </c>
      <c r="K44" s="69">
        <f>'Fuel, Energy, Demand, Customer'!$E$11</f>
        <v>58.772105837075429</v>
      </c>
      <c r="L44" s="69">
        <f>'O&amp;M'!$F$9</f>
        <v>38.229999999999997</v>
      </c>
      <c r="M44" s="69">
        <f>SUM(H44:L44)*'Tax and Depreciation'!$E$13</f>
        <v>220.7622104029702</v>
      </c>
      <c r="N44" s="69">
        <f t="shared" si="0"/>
        <v>434.40000000000003</v>
      </c>
      <c r="O44" s="69">
        <f t="shared" si="1"/>
        <v>36.200000000000003</v>
      </c>
      <c r="P44" s="61"/>
      <c r="Q44" s="68"/>
      <c r="R44" s="73"/>
    </row>
    <row r="45" spans="1:18" x14ac:dyDescent="0.3">
      <c r="A45" s="39">
        <f t="shared" si="2"/>
        <v>38</v>
      </c>
      <c r="B45" s="48" t="s">
        <v>44</v>
      </c>
      <c r="C45" s="49">
        <v>382</v>
      </c>
      <c r="D45" s="50">
        <f>294*2</f>
        <v>588</v>
      </c>
      <c r="E45" s="51" t="s">
        <v>82</v>
      </c>
      <c r="F45" s="69">
        <v>3703.64</v>
      </c>
      <c r="G45" s="69">
        <f>(F45*Return!$G$15)*Return!$F$17</f>
        <v>312.94926162455999</v>
      </c>
      <c r="H45" s="69">
        <f>(F45*'Tax and Depreciation'!$E$7)+(F45*'Tax and Depreciation'!$E$9*0.3)+'Tax and Depreciation'!$E$11</f>
        <v>45.708861139999996</v>
      </c>
      <c r="I45" s="69">
        <f>3941*SUM('Fuel, Energy, Demand, Customer'!$E$14:$E$15)*(D45/1000)</f>
        <v>81.164404917949511</v>
      </c>
      <c r="J45" s="69">
        <f>'Fuel, Energy, Demand, Customer'!$E$13*D45</f>
        <v>94.594145789335059</v>
      </c>
      <c r="K45" s="69">
        <f>'Fuel, Energy, Demand, Customer'!$E$11</f>
        <v>58.772105837075429</v>
      </c>
      <c r="L45" s="69">
        <f>'O&amp;M'!$F$9</f>
        <v>38.229999999999997</v>
      </c>
      <c r="M45" s="69">
        <f>SUM(H45:L45)*'Tax and Depreciation'!$E$13</f>
        <v>324.87393968499248</v>
      </c>
      <c r="N45" s="69">
        <f t="shared" si="0"/>
        <v>637.79999999999995</v>
      </c>
      <c r="O45" s="69">
        <f t="shared" si="1"/>
        <v>53.15</v>
      </c>
      <c r="P45" s="61"/>
      <c r="Q45" s="68"/>
      <c r="R45" s="73"/>
    </row>
    <row r="46" spans="1:18" x14ac:dyDescent="0.3">
      <c r="A46" s="39">
        <f t="shared" si="2"/>
        <v>39</v>
      </c>
      <c r="B46" s="48" t="s">
        <v>44</v>
      </c>
      <c r="C46" s="49">
        <v>383</v>
      </c>
      <c r="D46" s="50">
        <f>294*2</f>
        <v>588</v>
      </c>
      <c r="E46" s="51" t="s">
        <v>83</v>
      </c>
      <c r="F46" s="69">
        <v>3677.78</v>
      </c>
      <c r="G46" s="69">
        <f>(F46*Return!$G$15)*Return!$F$17</f>
        <v>310.76414970612001</v>
      </c>
      <c r="H46" s="69">
        <f>(F46*'Tax and Depreciation'!$E$7)+(F46*'Tax and Depreciation'!$E$9*0.3)+'Tax and Depreciation'!$E$11</f>
        <v>45.39689903</v>
      </c>
      <c r="I46" s="69">
        <f>3941*SUM('Fuel, Energy, Demand, Customer'!$E$14:$E$15)*(D46/1000)</f>
        <v>81.164404917949511</v>
      </c>
      <c r="J46" s="69">
        <f>'Fuel, Energy, Demand, Customer'!$E$13*D46</f>
        <v>94.594145789335059</v>
      </c>
      <c r="K46" s="69">
        <f>'Fuel, Energy, Demand, Customer'!$E$11</f>
        <v>58.772105837075429</v>
      </c>
      <c r="L46" s="69">
        <f>'O&amp;M'!$F$9</f>
        <v>38.229999999999997</v>
      </c>
      <c r="M46" s="69">
        <f>SUM(H46:L46)*'Tax and Depreciation'!$E$13</f>
        <v>324.55570401696042</v>
      </c>
      <c r="N46" s="69">
        <f t="shared" si="0"/>
        <v>635.28</v>
      </c>
      <c r="O46" s="69">
        <f>N46/12</f>
        <v>52.94</v>
      </c>
      <c r="P46" s="61"/>
      <c r="Q46" s="68"/>
      <c r="R46" s="73"/>
    </row>
    <row r="47" spans="1:18" x14ac:dyDescent="0.3">
      <c r="A47" s="88">
        <f t="shared" si="2"/>
        <v>40</v>
      </c>
      <c r="B47" s="89" t="s">
        <v>44</v>
      </c>
      <c r="C47" s="90">
        <v>388</v>
      </c>
      <c r="D47" s="91">
        <v>294</v>
      </c>
      <c r="E47" s="92" t="s">
        <v>84</v>
      </c>
      <c r="F47" s="93">
        <v>2554.04</v>
      </c>
      <c r="G47" s="93">
        <f>(F47*Return!$G$15)*Return!$F$17</f>
        <v>215.81064362616002</v>
      </c>
      <c r="H47" s="93">
        <f>(F47*'Tax and Depreciation'!$E$7)+(F47*'Tax and Depreciation'!$E$9*0.3)+'Tax and Depreciation'!$E$11</f>
        <v>31.840661539999999</v>
      </c>
      <c r="I47" s="70"/>
      <c r="J47" s="70"/>
      <c r="K47" s="93">
        <f>'Fuel, Energy, Demand, Customer'!$E$11</f>
        <v>58.772105837075429</v>
      </c>
      <c r="L47" s="93">
        <f>'O&amp;M'!$F$9</f>
        <v>38.229999999999997</v>
      </c>
      <c r="M47" s="93">
        <f>SUM(H47:L47)*'Tax and Depreciation'!$E$13</f>
        <v>131.43379542902844</v>
      </c>
      <c r="N47" s="93">
        <f t="shared" si="0"/>
        <v>347.28000000000003</v>
      </c>
      <c r="O47" s="93">
        <f t="shared" ref="O47:O51" si="3">N47/12</f>
        <v>28.94</v>
      </c>
      <c r="P47" s="61"/>
      <c r="Q47" s="68"/>
      <c r="R47" s="73"/>
    </row>
    <row r="48" spans="1:18" x14ac:dyDescent="0.3">
      <c r="A48" s="88">
        <f t="shared" si="2"/>
        <v>41</v>
      </c>
      <c r="B48" s="89" t="s">
        <v>44</v>
      </c>
      <c r="C48" s="90">
        <v>389</v>
      </c>
      <c r="D48" s="91">
        <v>294</v>
      </c>
      <c r="E48" s="92" t="s">
        <v>85</v>
      </c>
      <c r="F48" s="93">
        <v>2528.19</v>
      </c>
      <c r="G48" s="93">
        <f>(F48*Return!$G$15)*Return!$F$17</f>
        <v>213.62637668526003</v>
      </c>
      <c r="H48" s="93">
        <f>(F48*'Tax and Depreciation'!$E$7)+(F48*'Tax and Depreciation'!$E$9*0.3)+'Tax and Depreciation'!$E$11</f>
        <v>31.528820065000001</v>
      </c>
      <c r="I48" s="70"/>
      <c r="J48" s="70"/>
      <c r="K48" s="93">
        <f>'Fuel, Energy, Demand, Customer'!$E$11</f>
        <v>58.772105837075429</v>
      </c>
      <c r="L48" s="93">
        <f>'O&amp;M'!$F$9</f>
        <v>38.229999999999997</v>
      </c>
      <c r="M48" s="93">
        <f>SUM(H48:L48)*'Tax and Depreciation'!$E$13</f>
        <v>131.11568282196617</v>
      </c>
      <c r="N48" s="93">
        <f t="shared" si="0"/>
        <v>344.76</v>
      </c>
      <c r="O48" s="93">
        <f t="shared" si="3"/>
        <v>28.73</v>
      </c>
      <c r="P48" s="61"/>
      <c r="Q48" s="68"/>
      <c r="R48" s="73"/>
    </row>
    <row r="49" spans="1:18" x14ac:dyDescent="0.3">
      <c r="A49" s="88">
        <f t="shared" si="2"/>
        <v>42</v>
      </c>
      <c r="B49" s="89" t="s">
        <v>44</v>
      </c>
      <c r="C49" s="90">
        <v>390</v>
      </c>
      <c r="D49" s="91">
        <v>588</v>
      </c>
      <c r="E49" s="92" t="s">
        <v>86</v>
      </c>
      <c r="F49" s="93">
        <v>3703.64</v>
      </c>
      <c r="G49" s="93">
        <f>(F49*Return!$G$15)*Return!$F$17</f>
        <v>312.94926162455999</v>
      </c>
      <c r="H49" s="93">
        <f>(F49*'Tax and Depreciation'!$E$7)+(F49*'Tax and Depreciation'!$E$9*0.3)+'Tax and Depreciation'!$E$11</f>
        <v>45.708861139999996</v>
      </c>
      <c r="I49" s="70"/>
      <c r="J49" s="70"/>
      <c r="K49" s="93">
        <f>'Fuel, Energy, Demand, Customer'!$E$11</f>
        <v>58.772105837075429</v>
      </c>
      <c r="L49" s="93">
        <f>'O&amp;M'!$F$9</f>
        <v>38.229999999999997</v>
      </c>
      <c r="M49" s="93">
        <f>SUM(H49:L49)*'Tax and Depreciation'!$E$13</f>
        <v>145.58088452298443</v>
      </c>
      <c r="N49" s="93">
        <f t="shared" si="0"/>
        <v>458.52</v>
      </c>
      <c r="O49" s="93">
        <f t="shared" si="3"/>
        <v>38.21</v>
      </c>
      <c r="P49" s="61"/>
      <c r="Q49" s="68"/>
      <c r="R49" s="73"/>
    </row>
    <row r="50" spans="1:18" x14ac:dyDescent="0.3">
      <c r="A50" s="88">
        <f t="shared" si="2"/>
        <v>43</v>
      </c>
      <c r="B50" s="89" t="s">
        <v>44</v>
      </c>
      <c r="C50" s="90">
        <v>391</v>
      </c>
      <c r="D50" s="91">
        <v>588</v>
      </c>
      <c r="E50" s="92" t="s">
        <v>87</v>
      </c>
      <c r="F50" s="93">
        <v>3677.78</v>
      </c>
      <c r="G50" s="93">
        <f>(F50*Return!$G$15)*Return!$F$17</f>
        <v>310.76414970612001</v>
      </c>
      <c r="H50" s="93">
        <f>(F50*'Tax and Depreciation'!$E$7)+(F50*'Tax and Depreciation'!$E$9*0.3)+'Tax and Depreciation'!$E$11</f>
        <v>45.39689903</v>
      </c>
      <c r="I50" s="70"/>
      <c r="J50" s="70"/>
      <c r="K50" s="93">
        <f>'Fuel, Energy, Demand, Customer'!$E$11</f>
        <v>58.772105837075429</v>
      </c>
      <c r="L50" s="93">
        <f>'O&amp;M'!$F$9</f>
        <v>38.229999999999997</v>
      </c>
      <c r="M50" s="93">
        <f>SUM(H50:L50)*'Tax and Depreciation'!$E$13</f>
        <v>145.26264885495232</v>
      </c>
      <c r="N50" s="93">
        <f>ROUND((G50+M50)/12,2)*12</f>
        <v>456</v>
      </c>
      <c r="O50" s="93">
        <f t="shared" si="3"/>
        <v>38</v>
      </c>
      <c r="P50" s="61"/>
      <c r="Q50" s="68"/>
      <c r="R50" s="73"/>
    </row>
    <row r="51" spans="1:18" x14ac:dyDescent="0.3">
      <c r="A51" s="39">
        <f t="shared" si="2"/>
        <v>44</v>
      </c>
      <c r="B51" s="48" t="s">
        <v>44</v>
      </c>
      <c r="C51" s="49">
        <v>300</v>
      </c>
      <c r="D51" s="50">
        <v>47</v>
      </c>
      <c r="E51" s="51" t="s">
        <v>88</v>
      </c>
      <c r="F51" s="74">
        <v>630.27</v>
      </c>
      <c r="G51" s="69">
        <f>(F51*Return!$G$15)*Return!$F$17</f>
        <v>53.256399413580006</v>
      </c>
      <c r="H51" s="86">
        <f>(F51*'Tax and Depreciation'!$E$8)+(F51*'Tax and Depreciation'!$E$9*0.3)+'Tax and Depreciation'!$E$11</f>
        <v>43.550220145000004</v>
      </c>
      <c r="I51" s="69">
        <f>3941*SUM('Fuel, Energy, Demand, Customer'!$E$14:$E$15)*(D51/1000)</f>
        <v>6.4876310053463051</v>
      </c>
      <c r="J51" s="69">
        <f>'Fuel, Energy, Demand, Customer'!$E$13*D51</f>
        <v>7.5610966872427685</v>
      </c>
      <c r="K51" s="69">
        <f>'Fuel, Energy, Demand, Customer'!$E$11</f>
        <v>58.772105837075429</v>
      </c>
      <c r="L51" s="86">
        <f>'O&amp;M'!$H$9</f>
        <v>28.672499999999999</v>
      </c>
      <c r="M51" s="69">
        <f>SUM(H51:L51)*'Tax and Depreciation'!$E$13</f>
        <v>147.96037953906202</v>
      </c>
      <c r="N51" s="69">
        <f t="shared" ref="N51:N61" si="4">ROUND((G51+M51)/12,2)*12</f>
        <v>201.24</v>
      </c>
      <c r="O51" s="69">
        <f t="shared" si="3"/>
        <v>16.77</v>
      </c>
      <c r="P51" s="61"/>
      <c r="Q51" s="68"/>
      <c r="R51" s="73"/>
    </row>
    <row r="52" spans="1:18" x14ac:dyDescent="0.3">
      <c r="A52" s="39">
        <f t="shared" si="2"/>
        <v>45</v>
      </c>
      <c r="B52" s="48" t="s">
        <v>44</v>
      </c>
      <c r="C52" s="49">
        <v>301</v>
      </c>
      <c r="D52" s="50">
        <v>58</v>
      </c>
      <c r="E52" s="51" t="s">
        <v>89</v>
      </c>
      <c r="F52" s="74">
        <v>643.27</v>
      </c>
      <c r="G52" s="69">
        <f>(F52*Return!$G$15)*Return!$F$17</f>
        <v>54.35487021558</v>
      </c>
      <c r="H52" s="86">
        <f>(F52*'Tax and Depreciation'!$E$8)+(F52*'Tax and Depreciation'!$E$9*0.3)+'Tax and Depreciation'!$E$11</f>
        <v>44.427245644999999</v>
      </c>
      <c r="I52" s="69">
        <f>3941*SUM('Fuel, Energy, Demand, Customer'!$E$14:$E$15)*(D52/1000)</f>
        <v>8.0060127300018227</v>
      </c>
      <c r="J52" s="69">
        <f>'Fuel, Energy, Demand, Customer'!$E$13*D52</f>
        <v>9.3307150608527785</v>
      </c>
      <c r="K52" s="69">
        <f>'Fuel, Energy, Demand, Customer'!$E$11</f>
        <v>58.772105837075429</v>
      </c>
      <c r="L52" s="86">
        <f>'O&amp;M'!$H$9</f>
        <v>28.672499999999999</v>
      </c>
      <c r="M52" s="69">
        <f>SUM(H52:L52)*'Tax and Depreciation'!$E$13</f>
        <v>152.20916380210866</v>
      </c>
      <c r="N52" s="69">
        <f t="shared" si="4"/>
        <v>206.52</v>
      </c>
      <c r="O52" s="69">
        <f t="shared" ref="O52:O61" si="5">N52/12</f>
        <v>17.21</v>
      </c>
      <c r="P52" s="61"/>
      <c r="Q52" s="68"/>
      <c r="R52" s="73"/>
    </row>
    <row r="53" spans="1:18" x14ac:dyDescent="0.3">
      <c r="A53" s="39">
        <f t="shared" si="2"/>
        <v>46</v>
      </c>
      <c r="B53" s="48" t="s">
        <v>44</v>
      </c>
      <c r="C53" s="49">
        <v>302</v>
      </c>
      <c r="D53" s="50">
        <v>111</v>
      </c>
      <c r="E53" s="51" t="s">
        <v>90</v>
      </c>
      <c r="F53" s="74">
        <v>838.27</v>
      </c>
      <c r="G53" s="69">
        <f>(F53*Return!$G$15)*Return!$F$17</f>
        <v>70.831932245580006</v>
      </c>
      <c r="H53" s="86">
        <f>(F53*'Tax and Depreciation'!$E$8)+(F53*'Tax and Depreciation'!$E$9*0.3)+'Tax and Depreciation'!$E$11</f>
        <v>57.582628145000001</v>
      </c>
      <c r="I53" s="69">
        <f>3941*SUM('Fuel, Energy, Demand, Customer'!$E$14:$E$15)*(D53/1000)</f>
        <v>15.321851948796592</v>
      </c>
      <c r="J53" s="69">
        <f>'Fuel, Energy, Demand, Customer'!$E$13*D53</f>
        <v>17.857058133701006</v>
      </c>
      <c r="K53" s="69">
        <f>'Fuel, Energy, Demand, Customer'!$E$11</f>
        <v>58.772105837075429</v>
      </c>
      <c r="L53" s="86">
        <f>'O&amp;M'!$H$9</f>
        <v>28.672499999999999</v>
      </c>
      <c r="M53" s="69">
        <f>SUM(H53:L53)*'Tax and Depreciation'!$E$13</f>
        <v>181.7898696217116</v>
      </c>
      <c r="N53" s="69">
        <f t="shared" si="4"/>
        <v>252.60000000000002</v>
      </c>
      <c r="O53" s="69">
        <f t="shared" si="5"/>
        <v>21.05</v>
      </c>
      <c r="P53" s="61"/>
      <c r="Q53" s="68"/>
      <c r="R53" s="73"/>
    </row>
    <row r="54" spans="1:18" x14ac:dyDescent="0.3">
      <c r="A54" s="39">
        <f t="shared" si="2"/>
        <v>47</v>
      </c>
      <c r="B54" s="48" t="s">
        <v>44</v>
      </c>
      <c r="C54" s="49">
        <v>303</v>
      </c>
      <c r="D54" s="50">
        <v>174</v>
      </c>
      <c r="E54" s="51" t="s">
        <v>91</v>
      </c>
      <c r="F54" s="74">
        <v>974.77</v>
      </c>
      <c r="G54" s="69">
        <f>(F54*Return!$G$15)*Return!$F$17</f>
        <v>82.365875666579996</v>
      </c>
      <c r="H54" s="86">
        <f>(F54*'Tax and Depreciation'!$E$8)+(F54*'Tax and Depreciation'!$E$9*0.3)+'Tax and Depreciation'!$E$11</f>
        <v>66.791395894999994</v>
      </c>
      <c r="I54" s="69">
        <f>3941*SUM('Fuel, Energy, Demand, Customer'!$E$14:$E$15)*(D54/1000)</f>
        <v>24.018038190005466</v>
      </c>
      <c r="J54" s="69">
        <f>'Fuel, Energy, Demand, Customer'!$E$13*D54</f>
        <v>27.992145182558332</v>
      </c>
      <c r="K54" s="69">
        <f>'Fuel, Energy, Demand, Customer'!$E$11</f>
        <v>58.772105837075429</v>
      </c>
      <c r="L54" s="86">
        <f>'O&amp;M'!$H$9</f>
        <v>28.672499999999999</v>
      </c>
      <c r="M54" s="69">
        <f>SUM(H54:L54)*'Tax and Depreciation'!$E$13</f>
        <v>210.39379588709352</v>
      </c>
      <c r="N54" s="69">
        <f t="shared" si="4"/>
        <v>292.79999999999995</v>
      </c>
      <c r="O54" s="69">
        <f t="shared" si="5"/>
        <v>24.399999999999995</v>
      </c>
      <c r="P54" s="61"/>
      <c r="Q54" s="68"/>
    </row>
    <row r="55" spans="1:18" x14ac:dyDescent="0.3">
      <c r="A55" s="39">
        <f t="shared" si="2"/>
        <v>48</v>
      </c>
      <c r="B55" s="48" t="s">
        <v>44</v>
      </c>
      <c r="C55" s="49">
        <v>304</v>
      </c>
      <c r="D55" s="50">
        <v>136</v>
      </c>
      <c r="E55" s="51" t="s">
        <v>92</v>
      </c>
      <c r="F55" s="74">
        <v>940.7</v>
      </c>
      <c r="G55" s="69">
        <f>(F55*Return!$G$15)*Return!$F$17</f>
        <v>79.487037187799999</v>
      </c>
      <c r="H55" s="86">
        <f>(F55*'Tax and Depreciation'!$E$8)+(F55*'Tax and Depreciation'!$E$9*0.3)+'Tax and Depreciation'!$E$11</f>
        <v>64.492914450000001</v>
      </c>
      <c r="I55" s="69">
        <f>3941*SUM('Fuel, Energy, Demand, Customer'!$E$14:$E$15)*(D55/1000)</f>
        <v>18.772719504831862</v>
      </c>
      <c r="J55" s="69">
        <f>'Fuel, Energy, Demand, Customer'!$E$13*D55</f>
        <v>21.878918073723757</v>
      </c>
      <c r="K55" s="69">
        <f>'Fuel, Energy, Demand, Customer'!$E$11</f>
        <v>58.772105837075429</v>
      </c>
      <c r="L55" s="86">
        <f>'O&amp;M'!$H$9</f>
        <v>28.672499999999999</v>
      </c>
      <c r="M55" s="69">
        <f>SUM(H55:L55)*'Tax and Depreciation'!$E$13</f>
        <v>196.46212583030888</v>
      </c>
      <c r="N55" s="69">
        <f t="shared" ref="N55:N59" si="6">ROUND((G55+M55)/12,2)*12</f>
        <v>276</v>
      </c>
      <c r="O55" s="69">
        <f t="shared" ref="O55:O59" si="7">N55/12</f>
        <v>23</v>
      </c>
      <c r="P55" s="61"/>
      <c r="Q55" s="68"/>
    </row>
    <row r="56" spans="1:18" x14ac:dyDescent="0.3">
      <c r="A56" s="39">
        <f t="shared" si="2"/>
        <v>49</v>
      </c>
      <c r="B56" s="48" t="s">
        <v>44</v>
      </c>
      <c r="C56" s="49">
        <v>305</v>
      </c>
      <c r="D56" s="50">
        <v>220</v>
      </c>
      <c r="E56" s="51" t="s">
        <v>93</v>
      </c>
      <c r="F56" s="74">
        <v>973.2</v>
      </c>
      <c r="G56" s="69">
        <f>(F56*Return!$G$15)*Return!$F$17</f>
        <v>82.23321419280002</v>
      </c>
      <c r="H56" s="86">
        <f>(F56*'Tax and Depreciation'!$E$8)+(F56*'Tax and Depreciation'!$E$9*0.3)+'Tax and Depreciation'!$E$11</f>
        <v>66.685478200000006</v>
      </c>
      <c r="I56" s="69">
        <f>3941*SUM('Fuel, Energy, Demand, Customer'!$E$14:$E$15)*(D56/1000)</f>
        <v>30.367634493110362</v>
      </c>
      <c r="J56" s="69">
        <f>'Fuel, Energy, Demand, Customer'!$E$13*D56</f>
        <v>35.392367472200192</v>
      </c>
      <c r="K56" s="69">
        <f>'Fuel, Energy, Demand, Customer'!$E$11</f>
        <v>58.772105837075429</v>
      </c>
      <c r="L56" s="86">
        <f>'O&amp;M'!$H$9</f>
        <v>28.672499999999999</v>
      </c>
      <c r="M56" s="69">
        <f>SUM(H56:L56)*'Tax and Depreciation'!$E$13</f>
        <v>224.312075631894</v>
      </c>
      <c r="N56" s="69">
        <f t="shared" si="6"/>
        <v>306.60000000000002</v>
      </c>
      <c r="O56" s="69">
        <f t="shared" si="7"/>
        <v>25.55</v>
      </c>
      <c r="P56" s="61"/>
      <c r="Q56" s="68"/>
    </row>
    <row r="57" spans="1:18" x14ac:dyDescent="0.3">
      <c r="A57" s="39">
        <f t="shared" si="2"/>
        <v>50</v>
      </c>
      <c r="B57" s="48" t="s">
        <v>44</v>
      </c>
      <c r="C57" s="49">
        <v>306</v>
      </c>
      <c r="D57" s="50">
        <v>83</v>
      </c>
      <c r="E57" s="51" t="s">
        <v>94</v>
      </c>
      <c r="F57" s="74">
        <v>894.8</v>
      </c>
      <c r="G57" s="69">
        <f>(F57*Return!$G$15)*Return!$F$17</f>
        <v>75.608590279200001</v>
      </c>
      <c r="H57" s="86">
        <f>(F57*'Tax and Depreciation'!$E$8)+(F57*'Tax and Depreciation'!$E$9*0.3)+'Tax and Depreciation'!$E$11</f>
        <v>61.3963398</v>
      </c>
      <c r="I57" s="69">
        <f>3941*SUM('Fuel, Energy, Demand, Customer'!$E$14:$E$15)*(D57/1000)</f>
        <v>11.456880286037093</v>
      </c>
      <c r="J57" s="69">
        <f>'Fuel, Energy, Demand, Customer'!$E$13*D57</f>
        <v>13.352575000875527</v>
      </c>
      <c r="K57" s="69">
        <f>'Fuel, Energy, Demand, Customer'!$E$11</f>
        <v>58.772105837075429</v>
      </c>
      <c r="L57" s="86">
        <f>'O&amp;M'!$H$9</f>
        <v>28.672499999999999</v>
      </c>
      <c r="M57" s="69">
        <f>SUM(H57:L57)*'Tax and Depreciation'!$E$13</f>
        <v>177.14251048656948</v>
      </c>
      <c r="N57" s="69">
        <f t="shared" si="6"/>
        <v>252.71999999999997</v>
      </c>
      <c r="O57" s="69">
        <f t="shared" si="7"/>
        <v>21.06</v>
      </c>
      <c r="P57" s="61"/>
      <c r="Q57" s="68"/>
    </row>
    <row r="58" spans="1:18" ht="27.75" x14ac:dyDescent="0.3">
      <c r="A58" s="39">
        <f t="shared" si="2"/>
        <v>51</v>
      </c>
      <c r="B58" s="48" t="s">
        <v>44</v>
      </c>
      <c r="C58" s="49">
        <v>307</v>
      </c>
      <c r="D58" s="50">
        <v>136</v>
      </c>
      <c r="E58" s="51" t="s">
        <v>95</v>
      </c>
      <c r="F58" s="74">
        <v>3225.74</v>
      </c>
      <c r="G58" s="69">
        <f>(F58*Return!$G$15)*Return!$F$17</f>
        <v>272.56778498796001</v>
      </c>
      <c r="H58" s="86">
        <f>(F58*'Tax and Depreciation'!$E$8)+(F58*'Tax and Depreciation'!$E$9*0.3)+'Tax and Depreciation'!$E$11</f>
        <v>218.64971048999999</v>
      </c>
      <c r="I58" s="69">
        <f>3941*SUM('Fuel, Energy, Demand, Customer'!$E$14:$E$15)*(D58/1000)</f>
        <v>18.772719504831862</v>
      </c>
      <c r="J58" s="69">
        <f>'Fuel, Energy, Demand, Customer'!$E$13*D58</f>
        <v>21.878918073723757</v>
      </c>
      <c r="K58" s="69">
        <f>'Fuel, Energy, Demand, Customer'!$E$11</f>
        <v>58.772105837075429</v>
      </c>
      <c r="L58" s="86">
        <f>'O&amp;M'!$H$9</f>
        <v>28.672499999999999</v>
      </c>
      <c r="M58" s="69">
        <f>SUM(H58:L58)*'Tax and Depreciation'!$E$13</f>
        <v>353.71901503867332</v>
      </c>
      <c r="N58" s="69">
        <f t="shared" si="6"/>
        <v>626.28</v>
      </c>
      <c r="O58" s="69">
        <f t="shared" si="7"/>
        <v>52.19</v>
      </c>
      <c r="P58" s="61"/>
      <c r="Q58" s="68"/>
    </row>
    <row r="59" spans="1:18" x14ac:dyDescent="0.3">
      <c r="A59" s="39">
        <f t="shared" si="2"/>
        <v>52</v>
      </c>
      <c r="B59" s="48" t="s">
        <v>44</v>
      </c>
      <c r="C59" s="49">
        <v>308</v>
      </c>
      <c r="D59" s="50">
        <v>68</v>
      </c>
      <c r="E59" s="51" t="s">
        <v>96</v>
      </c>
      <c r="F59" s="74">
        <v>1505.8</v>
      </c>
      <c r="G59" s="69">
        <f>(F59*Return!$G$15)*Return!$F$17</f>
        <v>127.23671797320002</v>
      </c>
      <c r="H59" s="86">
        <f>(F59*'Tax and Depreciation'!$E$8)+(F59*'Tax and Depreciation'!$E$9*0.3)+'Tax and Depreciation'!$E$11</f>
        <v>102.6165383</v>
      </c>
      <c r="I59" s="69">
        <f>3941*SUM('Fuel, Energy, Demand, Customer'!$E$14:$E$15)*(D59/1000)</f>
        <v>9.386359752415931</v>
      </c>
      <c r="J59" s="69">
        <f>'Fuel, Energy, Demand, Customer'!$E$13*D59</f>
        <v>10.939459036861878</v>
      </c>
      <c r="K59" s="69">
        <f>'Fuel, Energy, Demand, Customer'!$E$11</f>
        <v>58.772105837075429</v>
      </c>
      <c r="L59" s="86">
        <f>'O&amp;M'!$H$9</f>
        <v>28.672499999999999</v>
      </c>
      <c r="M59" s="69">
        <f>SUM(H59:L59)*'Tax and Depreciation'!$E$13</f>
        <v>214.61784475080222</v>
      </c>
      <c r="N59" s="69">
        <f t="shared" si="6"/>
        <v>341.88</v>
      </c>
      <c r="O59" s="69">
        <f t="shared" si="7"/>
        <v>28.49</v>
      </c>
      <c r="P59" s="61"/>
      <c r="Q59" s="68"/>
    </row>
    <row r="60" spans="1:18" ht="27.75" x14ac:dyDescent="0.3">
      <c r="A60" s="39">
        <f t="shared" si="2"/>
        <v>53</v>
      </c>
      <c r="B60" s="48" t="s">
        <v>44</v>
      </c>
      <c r="C60" s="49">
        <v>328</v>
      </c>
      <c r="D60" s="50">
        <v>0</v>
      </c>
      <c r="E60" s="51" t="s">
        <v>97</v>
      </c>
      <c r="F60" s="74">
        <v>797.68</v>
      </c>
      <c r="G60" s="69">
        <f>(F60*Return!$G$15)*Return!$F$17</f>
        <v>67.402168410719995</v>
      </c>
      <c r="H60" s="69">
        <f>(F60*'Tax and Depreciation'!$E$7)+(F60*'Tax and Depreciation'!$E$9*0.3)+'Tax and Depreciation'!$E$11</f>
        <v>10.652812679999998</v>
      </c>
      <c r="I60" s="70"/>
      <c r="J60" s="70"/>
      <c r="K60" s="70"/>
      <c r="L60" s="70"/>
      <c r="M60" s="69">
        <f>SUM(H60:L60)*'Tax and Depreciation'!$E$13</f>
        <v>10.867040742994799</v>
      </c>
      <c r="N60" s="69">
        <f t="shared" si="4"/>
        <v>78.239999999999995</v>
      </c>
      <c r="O60" s="69">
        <f t="shared" si="5"/>
        <v>6.52</v>
      </c>
      <c r="P60" s="61"/>
      <c r="Q60" s="68"/>
    </row>
    <row r="61" spans="1:18" ht="27.75" x14ac:dyDescent="0.3">
      <c r="A61" s="39">
        <f t="shared" si="2"/>
        <v>54</v>
      </c>
      <c r="B61" s="48" t="s">
        <v>44</v>
      </c>
      <c r="C61" s="49">
        <v>337</v>
      </c>
      <c r="D61" s="50">
        <v>0</v>
      </c>
      <c r="E61" s="51" t="s">
        <v>98</v>
      </c>
      <c r="F61" s="74">
        <v>1626.11</v>
      </c>
      <c r="G61" s="69">
        <f>(F61*Return!$G$15)*Return!$F$17</f>
        <v>137.40264275694</v>
      </c>
      <c r="H61" s="69">
        <f>(F61*'Tax and Depreciation'!$E$7)+(F61*'Tax and Depreciation'!$E$9*0.3)+'Tax and Depreciation'!$E$11</f>
        <v>20.646577985</v>
      </c>
      <c r="I61" s="70"/>
      <c r="J61" s="70"/>
      <c r="K61" s="70"/>
      <c r="L61" s="70"/>
      <c r="M61" s="69">
        <f>SUM(H61:L61)*'Tax and Depreciation'!$E$13</f>
        <v>21.061780668278352</v>
      </c>
      <c r="N61" s="69">
        <f t="shared" si="4"/>
        <v>158.52000000000001</v>
      </c>
      <c r="O61" s="69">
        <f t="shared" si="5"/>
        <v>13.21</v>
      </c>
      <c r="P61" s="61"/>
      <c r="Q61" s="68"/>
    </row>
    <row r="62" spans="1:18" ht="27.75" x14ac:dyDescent="0.3">
      <c r="A62" s="39">
        <f t="shared" si="2"/>
        <v>55</v>
      </c>
      <c r="B62" s="48" t="s">
        <v>44</v>
      </c>
      <c r="C62" s="49">
        <v>342</v>
      </c>
      <c r="D62" s="50">
        <v>0</v>
      </c>
      <c r="E62" s="51" t="s">
        <v>99</v>
      </c>
      <c r="F62" s="74">
        <v>1882.12</v>
      </c>
      <c r="G62" s="69">
        <f>(F62*Return!$G$15)*Return!$F$17</f>
        <v>159.03491275848</v>
      </c>
      <c r="H62" s="69">
        <f>(F62*'Tax and Depreciation'!$E$7)+(F62*'Tax and Depreciation'!$E$9*0.3)+'Tax and Depreciation'!$E$11</f>
        <v>23.734954620000003</v>
      </c>
      <c r="I62" s="70"/>
      <c r="J62" s="70"/>
      <c r="K62" s="70"/>
      <c r="L62" s="70"/>
      <c r="M62" s="69">
        <f>SUM(H62:L62)*'Tax and Depreciation'!$E$13</f>
        <v>24.212264557408204</v>
      </c>
      <c r="N62" s="69">
        <f t="shared" ref="N62" si="8">ROUND((G62+M62)/12,2)*12</f>
        <v>183.24</v>
      </c>
      <c r="O62" s="69">
        <f t="shared" ref="O62" si="9">N62/12</f>
        <v>15.270000000000001</v>
      </c>
      <c r="P62" s="61"/>
      <c r="Q62" s="68"/>
    </row>
    <row r="63" spans="1:18" ht="27.75" x14ac:dyDescent="0.3">
      <c r="A63" s="39">
        <f t="shared" si="2"/>
        <v>56</v>
      </c>
      <c r="B63" s="48" t="s">
        <v>44</v>
      </c>
      <c r="C63" s="49">
        <v>343</v>
      </c>
      <c r="D63" s="50">
        <v>0</v>
      </c>
      <c r="E63" s="51" t="s">
        <v>100</v>
      </c>
      <c r="F63" s="74">
        <v>1651.96</v>
      </c>
      <c r="G63" s="69">
        <f>(F63*Return!$G$15)*Return!$F$17</f>
        <v>139.58690969784001</v>
      </c>
      <c r="H63" s="69">
        <f>(F63*'Tax and Depreciation'!$E$7)+(F63*'Tax and Depreciation'!$E$9*0.3)+'Tax and Depreciation'!$E$11</f>
        <v>20.958419460000002</v>
      </c>
      <c r="I63" s="70"/>
      <c r="J63" s="70"/>
      <c r="K63" s="70"/>
      <c r="L63" s="70"/>
      <c r="M63" s="69">
        <f>SUM(H63:L63)*'Tax and Depreciation'!$E$13</f>
        <v>21.379893275340603</v>
      </c>
      <c r="N63" s="69">
        <f t="shared" ref="N63:N69" si="10">ROUND((G63+M63)/12,2)*12</f>
        <v>160.92000000000002</v>
      </c>
      <c r="O63" s="69">
        <f t="shared" ref="O63:O69" si="11">N63/12</f>
        <v>13.410000000000002</v>
      </c>
      <c r="P63" s="61"/>
      <c r="Q63" s="68"/>
    </row>
    <row r="64" spans="1:18" ht="27.75" x14ac:dyDescent="0.3">
      <c r="A64" s="39">
        <f t="shared" si="2"/>
        <v>57</v>
      </c>
      <c r="B64" s="48" t="s">
        <v>44</v>
      </c>
      <c r="C64" s="49">
        <v>344</v>
      </c>
      <c r="D64" s="50">
        <v>0</v>
      </c>
      <c r="E64" s="51" t="s">
        <v>101</v>
      </c>
      <c r="F64" s="74">
        <v>1419.55</v>
      </c>
      <c r="G64" s="69">
        <f>(F64*Return!$G$15)*Return!$F$17</f>
        <v>119.9487866907</v>
      </c>
      <c r="H64" s="69">
        <f>(F64*'Tax and Depreciation'!$E$7)+(F64*'Tax and Depreciation'!$E$9*0.3)+'Tax and Depreciation'!$E$11</f>
        <v>18.154741424999997</v>
      </c>
      <c r="I64" s="70"/>
      <c r="J64" s="70"/>
      <c r="K64" s="70"/>
      <c r="L64" s="70"/>
      <c r="M64" s="69">
        <f>SUM(H64:L64)*'Tax and Depreciation'!$E$13</f>
        <v>18.519833275056747</v>
      </c>
      <c r="N64" s="69">
        <f t="shared" si="10"/>
        <v>138.47999999999999</v>
      </c>
      <c r="O64" s="69">
        <f t="shared" si="11"/>
        <v>11.54</v>
      </c>
      <c r="P64" s="61"/>
      <c r="Q64" s="68"/>
    </row>
    <row r="65" spans="1:17" ht="27.75" x14ac:dyDescent="0.3">
      <c r="A65" s="39">
        <f t="shared" si="2"/>
        <v>58</v>
      </c>
      <c r="B65" s="48" t="s">
        <v>44</v>
      </c>
      <c r="C65" s="49">
        <v>354</v>
      </c>
      <c r="D65" s="50">
        <v>0</v>
      </c>
      <c r="E65" s="51" t="s">
        <v>102</v>
      </c>
      <c r="F65" s="74">
        <v>2012.4</v>
      </c>
      <c r="G65" s="69">
        <f>(F65*Return!$G$15)*Return!$F$17</f>
        <v>170.04328014960001</v>
      </c>
      <c r="H65" s="69">
        <f>(F65*'Tax and Depreciation'!$E$7)+(F65*'Tax and Depreciation'!$E$9*0.3)+'Tax and Depreciation'!$E$11</f>
        <v>25.306587399999998</v>
      </c>
      <c r="I65" s="70"/>
      <c r="J65" s="70"/>
      <c r="K65" s="70"/>
      <c r="L65" s="70"/>
      <c r="M65" s="69">
        <f>SUM(H65:L65)*'Tax and Depreciation'!$E$13</f>
        <v>25.815502872614001</v>
      </c>
      <c r="N65" s="69">
        <f t="shared" si="10"/>
        <v>195.84</v>
      </c>
      <c r="O65" s="69">
        <f t="shared" si="11"/>
        <v>16.32</v>
      </c>
      <c r="P65" s="61"/>
      <c r="Q65" s="68"/>
    </row>
    <row r="66" spans="1:17" ht="27.75" x14ac:dyDescent="0.3">
      <c r="A66" s="39">
        <f t="shared" si="2"/>
        <v>59</v>
      </c>
      <c r="B66" s="48" t="s">
        <v>44</v>
      </c>
      <c r="C66" s="49">
        <v>355</v>
      </c>
      <c r="D66" s="50">
        <v>0</v>
      </c>
      <c r="E66" s="51" t="s">
        <v>103</v>
      </c>
      <c r="F66" s="74">
        <v>1116.8</v>
      </c>
      <c r="G66" s="69">
        <f>(F66*Return!$G$15)*Return!$F$17</f>
        <v>94.3670916672</v>
      </c>
      <c r="H66" s="69">
        <f>(F66*'Tax and Depreciation'!$E$7)+(F66*'Tax and Depreciation'!$E$9*0.3)+'Tax and Depreciation'!$E$11</f>
        <v>14.502516799999999</v>
      </c>
      <c r="I66" s="70"/>
      <c r="J66" s="70"/>
      <c r="K66" s="70"/>
      <c r="L66" s="70"/>
      <c r="M66" s="69">
        <f>SUM(H66:L66)*'Tax and Depreciation'!$E$13</f>
        <v>14.794162412847999</v>
      </c>
      <c r="N66" s="69">
        <f t="shared" si="10"/>
        <v>109.19999999999999</v>
      </c>
      <c r="O66" s="69">
        <f t="shared" si="11"/>
        <v>9.1</v>
      </c>
      <c r="P66" s="61"/>
      <c r="Q66" s="68"/>
    </row>
    <row r="67" spans="1:17" ht="27.75" x14ac:dyDescent="0.3">
      <c r="A67" s="39">
        <f t="shared" si="2"/>
        <v>60</v>
      </c>
      <c r="B67" s="48" t="s">
        <v>44</v>
      </c>
      <c r="C67" s="49">
        <v>369</v>
      </c>
      <c r="D67" s="50">
        <v>0</v>
      </c>
      <c r="E67" s="51" t="s">
        <v>104</v>
      </c>
      <c r="F67" s="74">
        <v>2196.31</v>
      </c>
      <c r="G67" s="69">
        <f>(F67*Return!$G$15)*Return!$F$17</f>
        <v>185.58326208774002</v>
      </c>
      <c r="H67" s="69">
        <f>(F67*'Tax and Depreciation'!$E$7)+(F67*'Tax and Depreciation'!$E$9*0.3)+'Tax and Depreciation'!$E$11</f>
        <v>27.525185685</v>
      </c>
      <c r="I67" s="70"/>
      <c r="J67" s="70"/>
      <c r="K67" s="70"/>
      <c r="L67" s="70"/>
      <c r="M67" s="69">
        <f>SUM(H67:L67)*'Tax and Depreciation'!$E$13</f>
        <v>28.078717169125351</v>
      </c>
      <c r="N67" s="69">
        <f t="shared" si="10"/>
        <v>213.71999999999997</v>
      </c>
      <c r="O67" s="69">
        <f t="shared" si="11"/>
        <v>17.809999999999999</v>
      </c>
      <c r="P67" s="61"/>
      <c r="Q67" s="68"/>
    </row>
    <row r="68" spans="1:17" ht="27.75" x14ac:dyDescent="0.3">
      <c r="A68" s="39">
        <f t="shared" si="2"/>
        <v>61</v>
      </c>
      <c r="B68" s="48" t="s">
        <v>44</v>
      </c>
      <c r="C68" s="49">
        <v>370</v>
      </c>
      <c r="D68" s="50">
        <v>0</v>
      </c>
      <c r="E68" s="51" t="s">
        <v>105</v>
      </c>
      <c r="F68" s="74">
        <v>1300.71</v>
      </c>
      <c r="G68" s="69">
        <f>(F68*Return!$G$15)*Return!$F$17</f>
        <v>109.90707360534</v>
      </c>
      <c r="H68" s="69">
        <f>(F68*'Tax and Depreciation'!$E$7)+(F68*'Tax and Depreciation'!$E$9*0.3)+'Tax and Depreciation'!$E$11</f>
        <v>16.721115085000001</v>
      </c>
      <c r="I68" s="70"/>
      <c r="J68" s="70"/>
      <c r="K68" s="70"/>
      <c r="L68" s="70"/>
      <c r="M68" s="69">
        <f>SUM(H68:L68)*'Tax and Depreciation'!$E$13</f>
        <v>17.057376709359353</v>
      </c>
      <c r="N68" s="69">
        <f t="shared" si="10"/>
        <v>126.96000000000001</v>
      </c>
      <c r="O68" s="69">
        <f t="shared" si="11"/>
        <v>10.58</v>
      </c>
      <c r="P68" s="61"/>
    </row>
    <row r="69" spans="1:17" ht="27.75" x14ac:dyDescent="0.3">
      <c r="A69" s="39">
        <f t="shared" si="2"/>
        <v>62</v>
      </c>
      <c r="B69" s="48" t="s">
        <v>44</v>
      </c>
      <c r="C69" s="49">
        <v>378</v>
      </c>
      <c r="D69" s="50">
        <v>0</v>
      </c>
      <c r="E69" s="51" t="s">
        <v>106</v>
      </c>
      <c r="F69" s="74">
        <v>1199.48</v>
      </c>
      <c r="G69" s="69">
        <f>(F69*Return!$G$15)*Return!$F$17</f>
        <v>101.35336596792001</v>
      </c>
      <c r="H69" s="69">
        <f>(F69*'Tax and Depreciation'!$E$7)+(F69*'Tax and Depreciation'!$E$9*0.3)+'Tax and Depreciation'!$E$11</f>
        <v>15.49992698</v>
      </c>
      <c r="I69" s="70"/>
      <c r="J69" s="70"/>
      <c r="K69" s="70"/>
      <c r="L69" s="70"/>
      <c r="M69" s="69">
        <f>SUM(H69:L69)*'Tax and Depreciation'!$E$13</f>
        <v>15.811630511567801</v>
      </c>
      <c r="N69" s="69">
        <f t="shared" si="10"/>
        <v>117.12</v>
      </c>
      <c r="O69" s="69">
        <f t="shared" si="11"/>
        <v>9.76</v>
      </c>
      <c r="P69" s="61"/>
    </row>
    <row r="70" spans="1:17" ht="6.95" customHeight="1" x14ac:dyDescent="0.3">
      <c r="A70" s="39"/>
      <c r="B70" s="48"/>
      <c r="C70" s="49"/>
      <c r="D70" s="50"/>
      <c r="E70" s="51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1"/>
    </row>
    <row r="71" spans="1:17" ht="9" customHeight="1" x14ac:dyDescent="0.3">
      <c r="B71" s="48"/>
      <c r="C71" s="49"/>
      <c r="D71" s="50"/>
      <c r="E71" s="51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1"/>
    </row>
    <row r="72" spans="1:17" x14ac:dyDescent="0.3">
      <c r="A72" s="39"/>
      <c r="B72" s="55" t="s">
        <v>107</v>
      </c>
      <c r="C72" s="53"/>
      <c r="D72" s="53"/>
      <c r="E72" s="53"/>
      <c r="F72" s="54"/>
      <c r="G72" s="54"/>
      <c r="H72" s="54"/>
      <c r="I72" s="54"/>
      <c r="J72" s="54"/>
      <c r="K72" s="60"/>
      <c r="L72" s="54"/>
      <c r="M72" s="54"/>
      <c r="N72" s="54"/>
      <c r="O72" s="54"/>
      <c r="P72" s="61"/>
    </row>
    <row r="73" spans="1:17" x14ac:dyDescent="0.3">
      <c r="A73" s="39">
        <v>1</v>
      </c>
      <c r="B73" s="52" t="s">
        <v>108</v>
      </c>
      <c r="C73" s="49">
        <v>212</v>
      </c>
      <c r="D73" s="50">
        <v>469</v>
      </c>
      <c r="E73" s="51" t="s">
        <v>109</v>
      </c>
      <c r="F73" s="69">
        <v>1438.09</v>
      </c>
      <c r="G73" s="69">
        <f>(F73*Return!$G$15)*Return!$F$17</f>
        <v>121.51537504986</v>
      </c>
      <c r="H73" s="69">
        <f>(F73*'Tax and Depreciation'!$F$7)+(F73*'Tax and Depreciation'!$F$9*0.3)+'Tax and Depreciation'!$F$11</f>
        <v>24.993612714999998</v>
      </c>
      <c r="I73" s="69">
        <f>3941*SUM('Fuel, Energy, Demand, Customer'!$E$27:$E$28)*(D73/1000)</f>
        <v>64.734408613258111</v>
      </c>
      <c r="J73" s="69">
        <f>'Fuel, Energy, Demand, Customer'!$E$26*D73</f>
        <v>72.988497792526829</v>
      </c>
      <c r="K73" s="69">
        <f>'Fuel, Energy, Demand, Customer'!$E$24</f>
        <v>64.20543597576895</v>
      </c>
      <c r="L73" s="69">
        <f>'O&amp;M'!$F$16</f>
        <v>45.14</v>
      </c>
      <c r="M73" s="69">
        <f>SUM(H73:L73)*'Tax and Depreciation'!$F$13</f>
        <v>277.53312101354561</v>
      </c>
      <c r="N73" s="69">
        <f>ROUND((G73+M73)/12,2)*12</f>
        <v>399</v>
      </c>
      <c r="O73" s="69">
        <f t="shared" ref="O73:O105" si="12">N73/12</f>
        <v>33.25</v>
      </c>
      <c r="P73" s="61"/>
      <c r="Q73" s="73"/>
    </row>
    <row r="74" spans="1:17" x14ac:dyDescent="0.3">
      <c r="A74" s="39">
        <f>A73+1</f>
        <v>2</v>
      </c>
      <c r="B74" s="52" t="s">
        <v>110</v>
      </c>
      <c r="C74" s="49">
        <v>213</v>
      </c>
      <c r="D74" s="50">
        <v>469</v>
      </c>
      <c r="E74" s="51" t="s">
        <v>111</v>
      </c>
      <c r="F74" s="69">
        <v>1057.73</v>
      </c>
      <c r="G74" s="69">
        <f>(F74*Return!$G$15)*Return!$F$17</f>
        <v>89.375809338420012</v>
      </c>
      <c r="H74" s="69">
        <f>(F74*'Tax and Depreciation'!$F$7)+(F74*'Tax and Depreciation'!$F$9*0.3)+'Tax and Depreciation'!$F$11</f>
        <v>18.655483855</v>
      </c>
      <c r="I74" s="69">
        <f>3941*SUM('Fuel, Energy, Demand, Customer'!$E$27:$E$28)*(D74/1000)</f>
        <v>64.734408613258111</v>
      </c>
      <c r="J74" s="69">
        <f>'Fuel, Energy, Demand, Customer'!$E$26*D74</f>
        <v>72.988497792526829</v>
      </c>
      <c r="K74" s="69">
        <f>'Fuel, Energy, Demand, Customer'!$E$24</f>
        <v>64.20543597576895</v>
      </c>
      <c r="L74" s="69">
        <f>'O&amp;M'!$F$16</f>
        <v>45.14</v>
      </c>
      <c r="M74" s="69">
        <f>SUM(H74:L74)*'Tax and Depreciation'!$F$13</f>
        <v>271.06753238217101</v>
      </c>
      <c r="N74" s="69">
        <f t="shared" ref="N74:N105" si="13">ROUND((G74+M74)/12,2)*12</f>
        <v>360.48</v>
      </c>
      <c r="O74" s="69">
        <f t="shared" si="12"/>
        <v>30.040000000000003</v>
      </c>
      <c r="P74" s="61"/>
      <c r="Q74" s="73"/>
    </row>
    <row r="75" spans="1:17" x14ac:dyDescent="0.3">
      <c r="A75" s="39">
        <f t="shared" ref="A75:A126" si="14">A74+1</f>
        <v>3</v>
      </c>
      <c r="B75" s="52" t="s">
        <v>110</v>
      </c>
      <c r="C75" s="49">
        <v>214</v>
      </c>
      <c r="D75" s="50">
        <v>469</v>
      </c>
      <c r="E75" s="51" t="s">
        <v>112</v>
      </c>
      <c r="F75" s="69">
        <v>2604.75</v>
      </c>
      <c r="G75" s="69">
        <f>(F75*Return!$G$15)*Return!$F$17</f>
        <v>220.09552473150001</v>
      </c>
      <c r="H75" s="69">
        <f>(F75*'Tax and Depreciation'!$F$7)+(F75*'Tax and Depreciation'!$F$9*0.3)+'Tax and Depreciation'!$F$11</f>
        <v>44.434251625000002</v>
      </c>
      <c r="I75" s="69">
        <f>3941*SUM('Fuel, Energy, Demand, Customer'!$E$27:$E$28)*(D75/1000)</f>
        <v>64.734408613258111</v>
      </c>
      <c r="J75" s="69">
        <f>'Fuel, Energy, Demand, Customer'!$E$26*D75</f>
        <v>72.988497792526829</v>
      </c>
      <c r="K75" s="69">
        <f>'Fuel, Energy, Demand, Customer'!$E$24</f>
        <v>64.20543597576895</v>
      </c>
      <c r="L75" s="69">
        <f>'O&amp;M'!$F$16</f>
        <v>45.14</v>
      </c>
      <c r="M75" s="69">
        <f>SUM(H75:L75)*'Tax and Depreciation'!$F$13</f>
        <v>297.36471117202575</v>
      </c>
      <c r="N75" s="69">
        <f t="shared" si="13"/>
        <v>517.43999999999994</v>
      </c>
      <c r="O75" s="69">
        <f t="shared" si="12"/>
        <v>43.12</v>
      </c>
      <c r="P75" s="61"/>
      <c r="Q75" s="73"/>
    </row>
    <row r="76" spans="1:17" x14ac:dyDescent="0.3">
      <c r="A76" s="39">
        <f t="shared" si="14"/>
        <v>4</v>
      </c>
      <c r="B76" s="52" t="s">
        <v>110</v>
      </c>
      <c r="C76" s="49">
        <v>215</v>
      </c>
      <c r="D76" s="50">
        <v>303</v>
      </c>
      <c r="E76" s="51" t="s">
        <v>113</v>
      </c>
      <c r="F76" s="69">
        <v>1426.32</v>
      </c>
      <c r="G76" s="69">
        <f>(F76*Return!$G$15)*Return!$F$17</f>
        <v>120.52083648528001</v>
      </c>
      <c r="H76" s="69">
        <f>(F76*'Tax and Depreciation'!$F$7)+(F76*'Tax and Depreciation'!$F$9*0.3)+'Tax and Depreciation'!$F$11</f>
        <v>24.797483319999998</v>
      </c>
      <c r="I76" s="69">
        <f>3941*SUM('Fuel, Energy, Demand, Customer'!$E$27:$E$28)*(D76/1000)</f>
        <v>41.822016652062274</v>
      </c>
      <c r="J76" s="69">
        <f>'Fuel, Energy, Demand, Customer'!$E$26*D76</f>
        <v>47.154615844638869</v>
      </c>
      <c r="K76" s="69">
        <f>'Fuel, Energy, Demand, Customer'!$E$24</f>
        <v>64.20543597576895</v>
      </c>
      <c r="L76" s="69">
        <f>'O&amp;M'!$F$16</f>
        <v>45.14</v>
      </c>
      <c r="M76" s="69">
        <f>SUM(H76:L76)*'Tax and Depreciation'!$F$13</f>
        <v>227.60648597901667</v>
      </c>
      <c r="N76" s="69">
        <f t="shared" si="13"/>
        <v>348.12</v>
      </c>
      <c r="O76" s="69">
        <f t="shared" si="12"/>
        <v>29.01</v>
      </c>
      <c r="P76" s="61"/>
      <c r="Q76" s="73"/>
    </row>
    <row r="77" spans="1:17" x14ac:dyDescent="0.3">
      <c r="A77" s="39">
        <f t="shared" si="14"/>
        <v>5</v>
      </c>
      <c r="B77" s="52" t="s">
        <v>110</v>
      </c>
      <c r="C77" s="49">
        <v>216</v>
      </c>
      <c r="D77" s="50">
        <v>303</v>
      </c>
      <c r="E77" s="51" t="s">
        <v>114</v>
      </c>
      <c r="F77" s="69">
        <v>1045.93</v>
      </c>
      <c r="G77" s="69">
        <f>(F77*Return!$G$15)*Return!$F$17</f>
        <v>88.378735841220006</v>
      </c>
      <c r="H77" s="69">
        <f>(F77*'Tax and Depreciation'!$F$7)+(F77*'Tax and Depreciation'!$F$9*0.3)+'Tax and Depreciation'!$F$11</f>
        <v>18.458854555000002</v>
      </c>
      <c r="I77" s="69">
        <f>3941*SUM('Fuel, Energy, Demand, Customer'!$E$27:$E$28)*(D77/1000)</f>
        <v>41.822016652062274</v>
      </c>
      <c r="J77" s="69">
        <f>'Fuel, Energy, Demand, Customer'!$E$26*D77</f>
        <v>47.154615844638869</v>
      </c>
      <c r="K77" s="69">
        <f>'Fuel, Energy, Demand, Customer'!$E$24</f>
        <v>64.20543597576895</v>
      </c>
      <c r="L77" s="69">
        <f>'O&amp;M'!$F$16</f>
        <v>45.14</v>
      </c>
      <c r="M77" s="69">
        <f>SUM(H77:L77)*'Tax and Depreciation'!$F$13</f>
        <v>221.1403873895525</v>
      </c>
      <c r="N77" s="69">
        <f t="shared" si="13"/>
        <v>309.48</v>
      </c>
      <c r="O77" s="69">
        <f t="shared" si="12"/>
        <v>25.790000000000003</v>
      </c>
      <c r="P77" s="61"/>
      <c r="Q77" s="73"/>
    </row>
    <row r="78" spans="1:17" x14ac:dyDescent="0.3">
      <c r="A78" s="39">
        <f t="shared" si="14"/>
        <v>6</v>
      </c>
      <c r="B78" s="52" t="s">
        <v>110</v>
      </c>
      <c r="C78" s="49">
        <v>217</v>
      </c>
      <c r="D78" s="50">
        <v>303</v>
      </c>
      <c r="E78" s="51" t="s">
        <v>115</v>
      </c>
      <c r="F78" s="69">
        <v>2592.96</v>
      </c>
      <c r="G78" s="69">
        <f>(F78*Return!$G$15)*Return!$F$17</f>
        <v>219.09929621184003</v>
      </c>
      <c r="H78" s="69">
        <f>(F78*'Tax and Depreciation'!$F$7)+(F78*'Tax and Depreciation'!$F$9*0.3)+'Tax and Depreciation'!$F$11</f>
        <v>44.237788960000003</v>
      </c>
      <c r="I78" s="69">
        <f>3941*SUM('Fuel, Energy, Demand, Customer'!$E$27:$E$28)*(D78/1000)</f>
        <v>41.822016652062274</v>
      </c>
      <c r="J78" s="69">
        <f>'Fuel, Energy, Demand, Customer'!$E$26*D78</f>
        <v>47.154615844638869</v>
      </c>
      <c r="K78" s="69">
        <f>'Fuel, Energy, Demand, Customer'!$E$24</f>
        <v>64.20543597576895</v>
      </c>
      <c r="L78" s="69">
        <f>'O&amp;M'!$F$16</f>
        <v>45.14</v>
      </c>
      <c r="M78" s="69">
        <f>SUM(H78:L78)*'Tax and Depreciation'!$F$13</f>
        <v>247.43773616543709</v>
      </c>
      <c r="N78" s="69">
        <f t="shared" si="13"/>
        <v>466.56000000000006</v>
      </c>
      <c r="O78" s="69">
        <f t="shared" si="12"/>
        <v>38.880000000000003</v>
      </c>
      <c r="P78" s="61"/>
      <c r="Q78" s="73"/>
    </row>
    <row r="79" spans="1:17" x14ac:dyDescent="0.3">
      <c r="A79" s="39">
        <f t="shared" si="14"/>
        <v>7</v>
      </c>
      <c r="B79" s="52" t="s">
        <v>110</v>
      </c>
      <c r="C79" s="49">
        <v>218</v>
      </c>
      <c r="D79" s="50">
        <v>186</v>
      </c>
      <c r="E79" s="51" t="s">
        <v>116</v>
      </c>
      <c r="F79" s="69">
        <v>1436.37</v>
      </c>
      <c r="G79" s="69">
        <f>(F79*Return!$G$15)*Return!$F$17</f>
        <v>121.37003891297999</v>
      </c>
      <c r="H79" s="69">
        <f>(F79*'Tax and Depreciation'!$F$7)+(F79*'Tax and Depreciation'!$F$9*0.3)+'Tax and Depreciation'!$F$11</f>
        <v>24.964951494999998</v>
      </c>
      <c r="I79" s="69">
        <f>3941*SUM('Fuel, Energy, Demand, Customer'!$E$27:$E$28)*(D79/1000)</f>
        <v>25.67292111314714</v>
      </c>
      <c r="J79" s="69">
        <f>'Fuel, Energy, Demand, Customer'!$E$26*D79</f>
        <v>28.94639784522386</v>
      </c>
      <c r="K79" s="69">
        <f>'Fuel, Energy, Demand, Customer'!$E$24</f>
        <v>64.20543597576895</v>
      </c>
      <c r="L79" s="69">
        <f>'O&amp;M'!$F$16</f>
        <v>45.14</v>
      </c>
      <c r="M79" s="69">
        <f>SUM(H79:L79)*'Tax and Depreciation'!$F$13</f>
        <v>192.72908282542994</v>
      </c>
      <c r="N79" s="69">
        <f t="shared" si="13"/>
        <v>314.04000000000002</v>
      </c>
      <c r="O79" s="69">
        <f t="shared" si="12"/>
        <v>26.17</v>
      </c>
      <c r="P79" s="61"/>
      <c r="Q79" s="73"/>
    </row>
    <row r="80" spans="1:17" x14ac:dyDescent="0.3">
      <c r="A80" s="39">
        <f t="shared" si="14"/>
        <v>8</v>
      </c>
      <c r="B80" s="52" t="s">
        <v>110</v>
      </c>
      <c r="C80" s="49">
        <v>219</v>
      </c>
      <c r="D80" s="50">
        <v>186</v>
      </c>
      <c r="E80" s="51" t="s">
        <v>117</v>
      </c>
      <c r="F80" s="69">
        <v>1055.98</v>
      </c>
      <c r="G80" s="69">
        <f>(F80*Return!$G$15)*Return!$F$17</f>
        <v>89.227938268920013</v>
      </c>
      <c r="H80" s="69">
        <f>(F80*'Tax and Depreciation'!$F$7)+(F80*'Tax and Depreciation'!$F$9*0.3)+'Tax and Depreciation'!$F$11</f>
        <v>18.626322730000002</v>
      </c>
      <c r="I80" s="69">
        <f>3941*SUM('Fuel, Energy, Demand, Customer'!$E$27:$E$28)*(D80/1000)</f>
        <v>25.67292111314714</v>
      </c>
      <c r="J80" s="69">
        <f>'Fuel, Energy, Demand, Customer'!$E$26*D80</f>
        <v>28.94639784522386</v>
      </c>
      <c r="K80" s="69">
        <f>'Fuel, Energy, Demand, Customer'!$E$24</f>
        <v>64.20543597576895</v>
      </c>
      <c r="L80" s="69">
        <f>'O&amp;M'!$F$16</f>
        <v>45.14</v>
      </c>
      <c r="M80" s="69">
        <f>SUM(H80:L80)*'Tax and Depreciation'!$F$13</f>
        <v>186.26298423596583</v>
      </c>
      <c r="N80" s="69">
        <f t="shared" si="13"/>
        <v>275.52</v>
      </c>
      <c r="O80" s="69">
        <f t="shared" si="12"/>
        <v>22.959999999999997</v>
      </c>
      <c r="P80" s="61"/>
      <c r="Q80" s="73"/>
    </row>
    <row r="81" spans="1:17" x14ac:dyDescent="0.3">
      <c r="A81" s="39">
        <f t="shared" si="14"/>
        <v>9</v>
      </c>
      <c r="B81" s="52" t="s">
        <v>110</v>
      </c>
      <c r="C81" s="49">
        <v>220</v>
      </c>
      <c r="D81" s="50">
        <v>186</v>
      </c>
      <c r="E81" s="51" t="s">
        <v>118</v>
      </c>
      <c r="F81" s="69">
        <v>2603.0100000000002</v>
      </c>
      <c r="G81" s="69">
        <f>(F81*Return!$G$15)*Return!$F$17</f>
        <v>219.94849863954002</v>
      </c>
      <c r="H81" s="69">
        <f>(F81*'Tax and Depreciation'!$F$7)+(F81*'Tax and Depreciation'!$F$9*0.3)+'Tax and Depreciation'!$F$11</f>
        <v>44.405257134999999</v>
      </c>
      <c r="I81" s="69">
        <f>3941*SUM('Fuel, Energy, Demand, Customer'!$E$27:$E$28)*(D81/1000)</f>
        <v>25.67292111314714</v>
      </c>
      <c r="J81" s="69">
        <f>'Fuel, Energy, Demand, Customer'!$E$26*D81</f>
        <v>28.94639784522386</v>
      </c>
      <c r="K81" s="69">
        <f>'Fuel, Energy, Demand, Customer'!$E$24</f>
        <v>64.20543597576895</v>
      </c>
      <c r="L81" s="69">
        <f>'O&amp;M'!$F$16</f>
        <v>45.14</v>
      </c>
      <c r="M81" s="69">
        <f>SUM(H81:L81)*'Tax and Depreciation'!$F$13</f>
        <v>212.56033301185036</v>
      </c>
      <c r="N81" s="69">
        <f t="shared" si="13"/>
        <v>432.48</v>
      </c>
      <c r="O81" s="69">
        <f t="shared" si="12"/>
        <v>36.04</v>
      </c>
      <c r="P81" s="61"/>
      <c r="Q81" s="73"/>
    </row>
    <row r="82" spans="1:17" x14ac:dyDescent="0.3">
      <c r="A82" s="39">
        <f t="shared" si="14"/>
        <v>10</v>
      </c>
      <c r="B82" s="52" t="s">
        <v>110</v>
      </c>
      <c r="C82" s="49">
        <v>221</v>
      </c>
      <c r="D82" s="50">
        <v>123</v>
      </c>
      <c r="E82" s="51" t="s">
        <v>119</v>
      </c>
      <c r="F82" s="69">
        <v>1381.39</v>
      </c>
      <c r="G82" s="69">
        <f>(F82*Return!$G$15)*Return!$F$17</f>
        <v>116.72435239806002</v>
      </c>
      <c r="H82" s="69">
        <f>(F82*'Tax and Depreciation'!$F$7)+(F82*'Tax and Depreciation'!$F$9*0.3)+'Tax and Depreciation'!$F$11</f>
        <v>24.048792265000003</v>
      </c>
      <c r="I82" s="69">
        <f>3941*SUM('Fuel, Energy, Demand, Customer'!$E$27:$E$28)*(D82/1000)</f>
        <v>16.977254284500528</v>
      </c>
      <c r="J82" s="69">
        <f>'Fuel, Energy, Demand, Customer'!$E$26*D82</f>
        <v>19.14197276861578</v>
      </c>
      <c r="K82" s="69">
        <f>'Fuel, Energy, Demand, Customer'!$E$24</f>
        <v>64.20543597576895</v>
      </c>
      <c r="L82" s="69">
        <f>'O&amp;M'!$F$16</f>
        <v>45.14</v>
      </c>
      <c r="M82" s="69">
        <f>SUM(H82:L82)*'Tax and Depreciation'!$F$13</f>
        <v>172.92237087984532</v>
      </c>
      <c r="N82" s="69">
        <f t="shared" si="13"/>
        <v>289.68</v>
      </c>
      <c r="O82" s="69">
        <f t="shared" si="12"/>
        <v>24.14</v>
      </c>
      <c r="P82" s="61"/>
      <c r="Q82" s="73"/>
    </row>
    <row r="83" spans="1:17" x14ac:dyDescent="0.3">
      <c r="A83" s="39">
        <f t="shared" si="14"/>
        <v>11</v>
      </c>
      <c r="B83" s="52" t="s">
        <v>110</v>
      </c>
      <c r="C83" s="49">
        <v>222</v>
      </c>
      <c r="D83" s="50">
        <v>123</v>
      </c>
      <c r="E83" s="51" t="s">
        <v>120</v>
      </c>
      <c r="F83" s="69">
        <v>1001.01</v>
      </c>
      <c r="G83" s="69">
        <f>(F83*Return!$G$15)*Return!$F$17</f>
        <v>84.583096731539996</v>
      </c>
      <c r="H83" s="69">
        <f>(F83*'Tax and Depreciation'!$F$7)+(F83*'Tax and Depreciation'!$F$9*0.3)+'Tax and Depreciation'!$F$11</f>
        <v>17.710330135</v>
      </c>
      <c r="I83" s="69">
        <f>3941*SUM('Fuel, Energy, Demand, Customer'!$E$27:$E$28)*(D83/1000)</f>
        <v>16.977254284500528</v>
      </c>
      <c r="J83" s="69">
        <f>'Fuel, Energy, Demand, Customer'!$E$26*D83</f>
        <v>19.14197276861578</v>
      </c>
      <c r="K83" s="69">
        <f>'Fuel, Energy, Demand, Customer'!$E$24</f>
        <v>64.20543597576895</v>
      </c>
      <c r="L83" s="69">
        <f>'O&amp;M'!$F$16</f>
        <v>45.14</v>
      </c>
      <c r="M83" s="69">
        <f>SUM(H83:L83)*'Tax and Depreciation'!$F$13</f>
        <v>166.45644227641097</v>
      </c>
      <c r="N83" s="69">
        <f t="shared" si="13"/>
        <v>251.04000000000002</v>
      </c>
      <c r="O83" s="69">
        <f t="shared" si="12"/>
        <v>20.92</v>
      </c>
      <c r="P83" s="61"/>
      <c r="Q83" s="73"/>
    </row>
    <row r="84" spans="1:17" x14ac:dyDescent="0.3">
      <c r="A84" s="39">
        <f t="shared" si="14"/>
        <v>12</v>
      </c>
      <c r="B84" s="52" t="s">
        <v>110</v>
      </c>
      <c r="C84" s="49">
        <v>223</v>
      </c>
      <c r="D84" s="50">
        <v>123</v>
      </c>
      <c r="E84" s="51" t="s">
        <v>121</v>
      </c>
      <c r="F84" s="69">
        <v>2548.04</v>
      </c>
      <c r="G84" s="69">
        <f>(F84*Return!$G$15)*Return!$F$17</f>
        <v>215.30365710216003</v>
      </c>
      <c r="H84" s="69">
        <f>(F84*'Tax and Depreciation'!$F$7)+(F84*'Tax and Depreciation'!$F$9*0.3)+'Tax and Depreciation'!$F$11</f>
        <v>43.489264539999994</v>
      </c>
      <c r="I84" s="69">
        <f>3941*SUM('Fuel, Energy, Demand, Customer'!$E$27:$E$28)*(D84/1000)</f>
        <v>16.977254284500528</v>
      </c>
      <c r="J84" s="69">
        <f>'Fuel, Energy, Demand, Customer'!$E$26*D84</f>
        <v>19.14197276861578</v>
      </c>
      <c r="K84" s="69">
        <f>'Fuel, Energy, Demand, Customer'!$E$24</f>
        <v>64.20543597576895</v>
      </c>
      <c r="L84" s="69">
        <f>'O&amp;M'!$F$16</f>
        <v>45.14</v>
      </c>
      <c r="M84" s="69">
        <f>SUM(H84:L84)*'Tax and Depreciation'!$F$13</f>
        <v>192.75379105229555</v>
      </c>
      <c r="N84" s="69">
        <f t="shared" si="13"/>
        <v>408</v>
      </c>
      <c r="O84" s="69">
        <f t="shared" si="12"/>
        <v>34</v>
      </c>
      <c r="P84" s="61"/>
      <c r="Q84" s="73"/>
    </row>
    <row r="85" spans="1:17" x14ac:dyDescent="0.3">
      <c r="A85" s="39">
        <f t="shared" si="14"/>
        <v>13</v>
      </c>
      <c r="B85" s="52" t="s">
        <v>110</v>
      </c>
      <c r="C85" s="49">
        <v>224</v>
      </c>
      <c r="D85" s="50">
        <v>123</v>
      </c>
      <c r="E85" s="51" t="s">
        <v>122</v>
      </c>
      <c r="F85" s="69">
        <v>1264.3</v>
      </c>
      <c r="G85" s="69">
        <f>(F85*Return!$G$15)*Return!$F$17</f>
        <v>106.8305103822</v>
      </c>
      <c r="H85" s="69">
        <f>(F85*'Tax and Depreciation'!$F$7)+(F85*'Tax and Depreciation'!$F$9*0.3)+'Tax and Depreciation'!$F$11</f>
        <v>22.097663050000001</v>
      </c>
      <c r="I85" s="69">
        <f>3941*SUM('Fuel, Energy, Demand, Customer'!$E$27:$E$28)*(D85/1000)</f>
        <v>16.977254284500528</v>
      </c>
      <c r="J85" s="69">
        <f>'Fuel, Energy, Demand, Customer'!$E$26*D85</f>
        <v>19.14197276861578</v>
      </c>
      <c r="K85" s="69">
        <f>'Fuel, Energy, Demand, Customer'!$E$24</f>
        <v>64.20543597576895</v>
      </c>
      <c r="L85" s="69">
        <f>'O&amp;M'!$F$16</f>
        <v>45.14</v>
      </c>
      <c r="M85" s="69">
        <f>SUM(H85:L85)*'Tax and Depreciation'!$F$13</f>
        <v>170.93200445633164</v>
      </c>
      <c r="N85" s="69">
        <f t="shared" si="13"/>
        <v>277.79999999999995</v>
      </c>
      <c r="O85" s="69">
        <f t="shared" si="12"/>
        <v>23.149999999999995</v>
      </c>
      <c r="P85" s="61"/>
      <c r="Q85" s="73"/>
    </row>
    <row r="86" spans="1:17" x14ac:dyDescent="0.3">
      <c r="A86" s="39">
        <f t="shared" si="14"/>
        <v>14</v>
      </c>
      <c r="B86" s="52" t="s">
        <v>110</v>
      </c>
      <c r="C86" s="49">
        <v>225</v>
      </c>
      <c r="D86" s="50">
        <v>123</v>
      </c>
      <c r="E86" s="51" t="s">
        <v>123</v>
      </c>
      <c r="F86" s="69">
        <v>2192.29</v>
      </c>
      <c r="G86" s="69">
        <f>(F86*Return!$G$15)*Return!$F$17</f>
        <v>185.24358111666001</v>
      </c>
      <c r="H86" s="69">
        <f>(F86*'Tax and Depreciation'!$F$7)+(F86*'Tax and Depreciation'!$F$9*0.3)+'Tax and Depreciation'!$F$11</f>
        <v>37.561224414999998</v>
      </c>
      <c r="I86" s="69">
        <f>3941*SUM('Fuel, Energy, Demand, Customer'!$E$27:$E$28)*(D86/1000)</f>
        <v>16.977254284500528</v>
      </c>
      <c r="J86" s="69">
        <f>'Fuel, Energy, Demand, Customer'!$E$26*D86</f>
        <v>19.14197276861578</v>
      </c>
      <c r="K86" s="69">
        <f>'Fuel, Energy, Demand, Customer'!$E$24</f>
        <v>64.20543597576895</v>
      </c>
      <c r="L86" s="69">
        <f>'O&amp;M'!$F$16</f>
        <v>45.14</v>
      </c>
      <c r="M86" s="69">
        <f>SUM(H86:L86)*'Tax and Depreciation'!$F$13</f>
        <v>186.70653804038182</v>
      </c>
      <c r="N86" s="69">
        <f t="shared" si="13"/>
        <v>372</v>
      </c>
      <c r="O86" s="69">
        <f t="shared" si="12"/>
        <v>31</v>
      </c>
      <c r="P86" s="61"/>
      <c r="Q86" s="73"/>
    </row>
    <row r="87" spans="1:17" x14ac:dyDescent="0.3">
      <c r="A87" s="39">
        <f t="shared" si="14"/>
        <v>15</v>
      </c>
      <c r="B87" s="52" t="s">
        <v>110</v>
      </c>
      <c r="C87" s="49">
        <v>226</v>
      </c>
      <c r="D87" s="50">
        <v>186</v>
      </c>
      <c r="E87" s="51" t="s">
        <v>124</v>
      </c>
      <c r="F87" s="69">
        <v>1785.61</v>
      </c>
      <c r="G87" s="69">
        <f>(F87*Return!$G$15)*Return!$F$17</f>
        <v>150.88003451993998</v>
      </c>
      <c r="H87" s="69">
        <f>(F87*'Tax and Depreciation'!$F$7)+(F87*'Tax and Depreciation'!$F$9*0.3)+'Tax and Depreciation'!$F$11</f>
        <v>30.784512234999998</v>
      </c>
      <c r="I87" s="69">
        <f>3941*SUM('Fuel, Energy, Demand, Customer'!$E$27:$E$28)*(D87/1000)</f>
        <v>25.67292111314714</v>
      </c>
      <c r="J87" s="69">
        <f>'Fuel, Energy, Demand, Customer'!$E$26*D87</f>
        <v>28.94639784522386</v>
      </c>
      <c r="K87" s="69">
        <f>'Fuel, Energy, Demand, Customer'!$E$24</f>
        <v>64.20543597576895</v>
      </c>
      <c r="L87" s="69">
        <f>'O&amp;M'!$F$16</f>
        <v>45.14</v>
      </c>
      <c r="M87" s="69">
        <f>SUM(H87:L87)*'Tax and Depreciation'!$F$13</f>
        <v>198.66567493191138</v>
      </c>
      <c r="N87" s="69">
        <f t="shared" si="13"/>
        <v>349.56</v>
      </c>
      <c r="O87" s="69">
        <f t="shared" si="12"/>
        <v>29.13</v>
      </c>
      <c r="P87" s="61"/>
      <c r="Q87" s="73"/>
    </row>
    <row r="88" spans="1:17" x14ac:dyDescent="0.3">
      <c r="A88" s="39">
        <f t="shared" si="14"/>
        <v>16</v>
      </c>
      <c r="B88" s="52" t="s">
        <v>110</v>
      </c>
      <c r="C88" s="49">
        <v>227</v>
      </c>
      <c r="D88" s="50">
        <v>186</v>
      </c>
      <c r="E88" s="51" t="s">
        <v>125</v>
      </c>
      <c r="F88" s="69">
        <v>2188.08</v>
      </c>
      <c r="G88" s="69">
        <f>(F88*Return!$G$15)*Return!$F$17</f>
        <v>184.88784557232</v>
      </c>
      <c r="H88" s="69">
        <f>(F88*'Tax and Depreciation'!$F$7)+(F88*'Tax and Depreciation'!$F$9*0.3)+'Tax and Depreciation'!$F$11</f>
        <v>37.491071079999998</v>
      </c>
      <c r="I88" s="69">
        <f>3941*SUM('Fuel, Energy, Demand, Customer'!$E$27:$E$28)*(D88/1000)</f>
        <v>25.67292111314714</v>
      </c>
      <c r="J88" s="69">
        <f>'Fuel, Energy, Demand, Customer'!$E$26*D88</f>
        <v>28.94639784522386</v>
      </c>
      <c r="K88" s="69">
        <f>'Fuel, Energy, Demand, Customer'!$E$24</f>
        <v>64.20543597576895</v>
      </c>
      <c r="L88" s="69">
        <f>'O&amp;M'!$F$16</f>
        <v>45.14</v>
      </c>
      <c r="M88" s="69">
        <f>SUM(H88:L88)*'Tax and Depreciation'!$F$13</f>
        <v>205.50710267528427</v>
      </c>
      <c r="N88" s="69">
        <f t="shared" si="13"/>
        <v>390.36</v>
      </c>
      <c r="O88" s="69">
        <f t="shared" si="12"/>
        <v>32.53</v>
      </c>
      <c r="P88" s="61"/>
      <c r="Q88" s="73"/>
    </row>
    <row r="89" spans="1:17" x14ac:dyDescent="0.3">
      <c r="A89" s="39">
        <f t="shared" si="14"/>
        <v>17</v>
      </c>
      <c r="B89" s="52" t="s">
        <v>110</v>
      </c>
      <c r="C89" s="49">
        <v>232</v>
      </c>
      <c r="D89" s="50">
        <f>186+(123*4)</f>
        <v>678</v>
      </c>
      <c r="E89" s="51" t="s">
        <v>126</v>
      </c>
      <c r="F89" s="69">
        <v>5402.84</v>
      </c>
      <c r="G89" s="69">
        <f>(F89*Return!$G$15)*Return!$F$17</f>
        <v>456.52784522136011</v>
      </c>
      <c r="H89" s="69">
        <f>(F89*'Tax and Depreciation'!$F$7)+(F89*'Tax and Depreciation'!$F$9*0.3)+'Tax and Depreciation'!$F$11</f>
        <v>91.060224340000005</v>
      </c>
      <c r="I89" s="69">
        <f>3941*SUM('Fuel, Energy, Demand, Customer'!$E$27:$E$28)*(D89/1000)</f>
        <v>93.581938251149253</v>
      </c>
      <c r="J89" s="69">
        <f>'Fuel, Energy, Demand, Customer'!$E$26*D89</f>
        <v>105.51428891968698</v>
      </c>
      <c r="K89" s="69">
        <f>'Fuel, Energy, Demand, Customer'!$E$24</f>
        <v>64.20543597576895</v>
      </c>
      <c r="L89" s="69">
        <f>'O&amp;M'!$F$16</f>
        <v>45.14</v>
      </c>
      <c r="M89" s="69">
        <f>SUM(H89:L89)*'Tax and Depreciation'!$F$13</f>
        <v>407.53587044396079</v>
      </c>
      <c r="N89" s="69">
        <f t="shared" si="13"/>
        <v>864.12000000000012</v>
      </c>
      <c r="O89" s="69">
        <f t="shared" si="12"/>
        <v>72.010000000000005</v>
      </c>
      <c r="P89" s="61"/>
      <c r="Q89" s="73"/>
    </row>
    <row r="90" spans="1:17" x14ac:dyDescent="0.3">
      <c r="A90" s="39">
        <f t="shared" si="14"/>
        <v>18</v>
      </c>
      <c r="B90" s="52" t="s">
        <v>110</v>
      </c>
      <c r="C90" s="49">
        <v>233</v>
      </c>
      <c r="D90" s="50">
        <v>469</v>
      </c>
      <c r="E90" s="51" t="s">
        <v>127</v>
      </c>
      <c r="F90" s="69">
        <v>2840.35</v>
      </c>
      <c r="G90" s="69">
        <f>(F90*Return!$G$15)*Return!$F$17</f>
        <v>240.00319557390003</v>
      </c>
      <c r="H90" s="69">
        <f>(F90*'Tax and Depreciation'!$F$7)+(F90*'Tax and Depreciation'!$F$9*0.3)+'Tax and Depreciation'!$F$11</f>
        <v>48.360172224999999</v>
      </c>
      <c r="I90" s="69">
        <f>3941*SUM('Fuel, Energy, Demand, Customer'!$E$27:$E$28)*(D90/1000)</f>
        <v>64.734408613258111</v>
      </c>
      <c r="J90" s="69">
        <f>'Fuel, Energy, Demand, Customer'!$E$26*D90</f>
        <v>72.988497792526829</v>
      </c>
      <c r="K90" s="69">
        <f>'Fuel, Energy, Demand, Customer'!$E$24</f>
        <v>64.20543597576895</v>
      </c>
      <c r="L90" s="69">
        <f>'O&amp;M'!$F$16</f>
        <v>45.14</v>
      </c>
      <c r="M90" s="69">
        <f>SUM(H90:L90)*'Tax and Depreciation'!$F$13</f>
        <v>301.36958203529173</v>
      </c>
      <c r="N90" s="69">
        <f t="shared" si="13"/>
        <v>541.31999999999994</v>
      </c>
      <c r="O90" s="69">
        <f t="shared" si="12"/>
        <v>45.109999999999992</v>
      </c>
      <c r="P90" s="61"/>
      <c r="Q90" s="73"/>
    </row>
    <row r="91" spans="1:17" x14ac:dyDescent="0.3">
      <c r="A91" s="88">
        <f t="shared" si="14"/>
        <v>19</v>
      </c>
      <c r="B91" s="94" t="s">
        <v>110</v>
      </c>
      <c r="C91" s="90">
        <v>234</v>
      </c>
      <c r="D91" s="91">
        <v>469</v>
      </c>
      <c r="E91" s="92" t="s">
        <v>128</v>
      </c>
      <c r="F91" s="93">
        <v>486.75</v>
      </c>
      <c r="G91" s="93">
        <f>(F91*Return!$G$15)*Return!$F$17</f>
        <v>41.129281759500003</v>
      </c>
      <c r="H91" s="93">
        <f>(F91*'Tax and Depreciation'!$F$7)+(F91*'Tax and Depreciation'!$F$9*0.3)+'Tax and Depreciation'!$F$11</f>
        <v>9.1409586249999997</v>
      </c>
      <c r="I91" s="93">
        <f>3941*SUM('Fuel, Energy, Demand, Customer'!$E$27:$E$28)*(D91/1000)</f>
        <v>64.734408613258111</v>
      </c>
      <c r="J91" s="93">
        <f>'Fuel, Energy, Demand, Customer'!$E$26*D91</f>
        <v>72.988497792526829</v>
      </c>
      <c r="K91" s="93">
        <f>'Fuel, Energy, Demand, Customer'!$E$24</f>
        <v>64.20543597576895</v>
      </c>
      <c r="L91" s="93">
        <f>'O&amp;M'!$F$16</f>
        <v>45.14</v>
      </c>
      <c r="M91" s="93">
        <f>SUM(H91:L91)*'Tax and Depreciation'!$F$13</f>
        <v>261.36167004979575</v>
      </c>
      <c r="N91" s="93">
        <f t="shared" si="13"/>
        <v>302.52</v>
      </c>
      <c r="O91" s="93">
        <f t="shared" si="12"/>
        <v>25.209999999999997</v>
      </c>
      <c r="P91" s="61"/>
      <c r="Q91" s="73"/>
    </row>
    <row r="92" spans="1:17" x14ac:dyDescent="0.3">
      <c r="A92" s="39">
        <f t="shared" si="14"/>
        <v>20</v>
      </c>
      <c r="B92" s="52" t="s">
        <v>110</v>
      </c>
      <c r="C92" s="49">
        <v>235</v>
      </c>
      <c r="D92" s="50">
        <v>303</v>
      </c>
      <c r="E92" s="51" t="s">
        <v>129</v>
      </c>
      <c r="F92" s="69">
        <v>2918.39</v>
      </c>
      <c r="G92" s="69">
        <f>(F92*Return!$G$15)*Return!$F$17</f>
        <v>246.59740029606002</v>
      </c>
      <c r="H92" s="69">
        <f>(F92*'Tax and Depreciation'!$F$7)+(F92*'Tax and Depreciation'!$F$9*0.3)+'Tax and Depreciation'!$F$11</f>
        <v>49.660591764999992</v>
      </c>
      <c r="I92" s="69">
        <f>3941*SUM('Fuel, Energy, Demand, Customer'!$E$27:$E$28)*(D92/1000)</f>
        <v>41.822016652062274</v>
      </c>
      <c r="J92" s="69">
        <f>'Fuel, Energy, Demand, Customer'!$E$26*D92</f>
        <v>47.154615844638869</v>
      </c>
      <c r="K92" s="69">
        <f>'Fuel, Energy, Demand, Customer'!$E$24</f>
        <v>64.20543597576895</v>
      </c>
      <c r="L92" s="69">
        <f>'O&amp;M'!$F$16</f>
        <v>45.14</v>
      </c>
      <c r="M92" s="69">
        <f>SUM(H92:L92)*'Tax and Depreciation'!$F$13</f>
        <v>252.96959153484565</v>
      </c>
      <c r="N92" s="69">
        <f t="shared" si="13"/>
        <v>499.56000000000006</v>
      </c>
      <c r="O92" s="69">
        <f t="shared" si="12"/>
        <v>41.63</v>
      </c>
      <c r="P92" s="61"/>
      <c r="Q92" s="73"/>
    </row>
    <row r="93" spans="1:17" x14ac:dyDescent="0.3">
      <c r="A93" s="88">
        <f t="shared" si="14"/>
        <v>21</v>
      </c>
      <c r="B93" s="94" t="s">
        <v>110</v>
      </c>
      <c r="C93" s="90">
        <v>236</v>
      </c>
      <c r="D93" s="91">
        <v>303</v>
      </c>
      <c r="E93" s="92" t="s">
        <v>130</v>
      </c>
      <c r="F93" s="93">
        <v>474.14</v>
      </c>
      <c r="G93" s="93">
        <f>(F93*Return!$G$15)*Return!$F$17</f>
        <v>40.06376508156</v>
      </c>
      <c r="H93" s="93">
        <f>(F93*'Tax and Depreciation'!$F$7)+(F93*'Tax and Depreciation'!$F$9*0.3)+'Tax and Depreciation'!$F$11</f>
        <v>8.9308318900000003</v>
      </c>
      <c r="I93" s="93">
        <f>3941*SUM('Fuel, Energy, Demand, Customer'!$E$27:$E$28)*(D93/1000)</f>
        <v>41.822016652062274</v>
      </c>
      <c r="J93" s="93">
        <f>'Fuel, Energy, Demand, Customer'!$E$26*D93</f>
        <v>47.154615844638869</v>
      </c>
      <c r="K93" s="93">
        <f>'Fuel, Energy, Demand, Customer'!$E$24</f>
        <v>64.20543597576895</v>
      </c>
      <c r="L93" s="93">
        <f>'O&amp;M'!$F$16</f>
        <v>45.14</v>
      </c>
      <c r="M93" s="93">
        <f>SUM(H93:L93)*'Tax and Depreciation'!$F$13</f>
        <v>211.42075618875938</v>
      </c>
      <c r="N93" s="93">
        <f t="shared" si="13"/>
        <v>251.52</v>
      </c>
      <c r="O93" s="93">
        <f t="shared" si="12"/>
        <v>20.96</v>
      </c>
      <c r="P93" s="61"/>
      <c r="Q93" s="73"/>
    </row>
    <row r="94" spans="1:17" x14ac:dyDescent="0.3">
      <c r="A94" s="39">
        <f t="shared" si="14"/>
        <v>22</v>
      </c>
      <c r="B94" s="52" t="s">
        <v>110</v>
      </c>
      <c r="C94" s="49">
        <v>238</v>
      </c>
      <c r="D94" s="50">
        <v>123</v>
      </c>
      <c r="E94" s="51" t="s">
        <v>131</v>
      </c>
      <c r="F94" s="69">
        <v>1768.58</v>
      </c>
      <c r="G94" s="69">
        <f>(F94*Return!$G$15)*Return!$F$17</f>
        <v>149.44103776931999</v>
      </c>
      <c r="H94" s="69">
        <f>(F94*'Tax and Depreciation'!$F$7)+(F94*'Tax and Depreciation'!$F$9*0.3)+'Tax and Depreciation'!$F$11</f>
        <v>30.500732829999997</v>
      </c>
      <c r="I94" s="69">
        <f>3941*SUM('Fuel, Energy, Demand, Customer'!$E$27:$E$28)*(D94/1000)</f>
        <v>16.977254284500528</v>
      </c>
      <c r="J94" s="69">
        <f>'Fuel, Energy, Demand, Customer'!$E$26*D94</f>
        <v>19.14197276861578</v>
      </c>
      <c r="K94" s="69">
        <f>'Fuel, Energy, Demand, Customer'!$E$24</f>
        <v>64.20543597576895</v>
      </c>
      <c r="L94" s="69">
        <f>'O&amp;M'!$F$16</f>
        <v>45.14</v>
      </c>
      <c r="M94" s="69">
        <f>SUM(H94:L94)*'Tax and Depreciation'!$F$13</f>
        <v>179.50405996960745</v>
      </c>
      <c r="N94" s="69">
        <f t="shared" si="13"/>
        <v>328.92</v>
      </c>
      <c r="O94" s="69">
        <f t="shared" si="12"/>
        <v>27.41</v>
      </c>
      <c r="P94" s="61"/>
      <c r="Q94" s="73"/>
    </row>
    <row r="95" spans="1:17" x14ac:dyDescent="0.3">
      <c r="A95" s="39">
        <f t="shared" si="14"/>
        <v>23</v>
      </c>
      <c r="B95" s="52" t="s">
        <v>110</v>
      </c>
      <c r="C95" s="49">
        <v>239</v>
      </c>
      <c r="D95" s="50">
        <v>186</v>
      </c>
      <c r="E95" s="51" t="s">
        <v>132</v>
      </c>
      <c r="F95" s="69">
        <v>1862.59</v>
      </c>
      <c r="G95" s="69">
        <f>(F95*Return!$G$15)*Return!$F$17</f>
        <v>157.38467162286</v>
      </c>
      <c r="H95" s="69">
        <f>(F95*'Tax and Depreciation'!$F$7)+(F95*'Tax and Depreciation'!$F$9*0.3)+'Tax and Depreciation'!$F$11</f>
        <v>32.067268464999998</v>
      </c>
      <c r="I95" s="69">
        <f>3941*SUM('Fuel, Energy, Demand, Customer'!$E$27:$E$28)*(D95/1000)</f>
        <v>25.67292111314714</v>
      </c>
      <c r="J95" s="69">
        <f>'Fuel, Energy, Demand, Customer'!$E$26*D95</f>
        <v>28.94639784522386</v>
      </c>
      <c r="K95" s="69">
        <f>'Fuel, Energy, Demand, Customer'!$E$24</f>
        <v>64.20543597576895</v>
      </c>
      <c r="L95" s="69">
        <f>'O&amp;M'!$F$16</f>
        <v>45.14</v>
      </c>
      <c r="M95" s="69">
        <f>SUM(H95:L95)*'Tax and Depreciation'!$F$13</f>
        <v>199.97422738969664</v>
      </c>
      <c r="N95" s="69">
        <f t="shared" si="13"/>
        <v>357.36</v>
      </c>
      <c r="O95" s="69">
        <f t="shared" si="12"/>
        <v>29.78</v>
      </c>
      <c r="P95" s="61"/>
      <c r="Q95" s="73"/>
    </row>
    <row r="96" spans="1:17" x14ac:dyDescent="0.3">
      <c r="A96" s="39">
        <f t="shared" si="14"/>
        <v>24</v>
      </c>
      <c r="B96" s="52" t="s">
        <v>110</v>
      </c>
      <c r="C96" s="49">
        <v>240</v>
      </c>
      <c r="D96" s="50">
        <v>303</v>
      </c>
      <c r="E96" s="51" t="s">
        <v>133</v>
      </c>
      <c r="F96" s="69">
        <v>1852.53</v>
      </c>
      <c r="G96" s="69">
        <f>(F96*Return!$G$15)*Return!$F$17</f>
        <v>156.53462421762001</v>
      </c>
      <c r="H96" s="69">
        <f>(F96*'Tax and Depreciation'!$F$7)+(F96*'Tax and Depreciation'!$F$9*0.3)+'Tax and Depreciation'!$F$11</f>
        <v>31.899633655000002</v>
      </c>
      <c r="I96" s="69">
        <f>3941*SUM('Fuel, Energy, Demand, Customer'!$E$27:$E$28)*(D96/1000)</f>
        <v>41.822016652062274</v>
      </c>
      <c r="J96" s="69">
        <f>'Fuel, Energy, Demand, Customer'!$E$26*D96</f>
        <v>47.154615844638869</v>
      </c>
      <c r="K96" s="69">
        <f>'Fuel, Energy, Demand, Customer'!$E$24</f>
        <v>64.20543597576895</v>
      </c>
      <c r="L96" s="69">
        <f>'O&amp;M'!$F$16</f>
        <v>45.14</v>
      </c>
      <c r="M96" s="69">
        <f>SUM(H96:L96)*'Tax and Depreciation'!$F$13</f>
        <v>234.85146055725355</v>
      </c>
      <c r="N96" s="69">
        <f t="shared" si="13"/>
        <v>391.43999999999994</v>
      </c>
      <c r="O96" s="69">
        <f t="shared" si="12"/>
        <v>32.619999999999997</v>
      </c>
      <c r="P96" s="61"/>
      <c r="Q96" s="73"/>
    </row>
    <row r="97" spans="1:17" x14ac:dyDescent="0.3">
      <c r="A97" s="39">
        <f t="shared" si="14"/>
        <v>25</v>
      </c>
      <c r="B97" s="52" t="s">
        <v>110</v>
      </c>
      <c r="C97" s="49">
        <v>241</v>
      </c>
      <c r="D97" s="50">
        <v>469</v>
      </c>
      <c r="E97" s="51" t="s">
        <v>134</v>
      </c>
      <c r="F97" s="69">
        <v>1864.32</v>
      </c>
      <c r="G97" s="69">
        <f>(F97*Return!$G$15)*Return!$F$17</f>
        <v>157.53085273728001</v>
      </c>
      <c r="H97" s="69">
        <f>(F97*'Tax and Depreciation'!$F$7)+(F97*'Tax and Depreciation'!$F$9*0.3)+'Tax and Depreciation'!$F$11</f>
        <v>32.096096319999994</v>
      </c>
      <c r="I97" s="69">
        <f>3941*SUM('Fuel, Energy, Demand, Customer'!$E$27:$E$28)*(D97/1000)</f>
        <v>64.734408613258111</v>
      </c>
      <c r="J97" s="69">
        <f>'Fuel, Energy, Demand, Customer'!$E$26*D97</f>
        <v>72.988497792526829</v>
      </c>
      <c r="K97" s="69">
        <f>'Fuel, Energy, Demand, Customer'!$E$24</f>
        <v>64.20543597576895</v>
      </c>
      <c r="L97" s="69">
        <f>'O&amp;M'!$F$16</f>
        <v>45.14</v>
      </c>
      <c r="M97" s="69">
        <f>SUM(H97:L97)*'Tax and Depreciation'!$F$13</f>
        <v>284.77843556384215</v>
      </c>
      <c r="N97" s="69">
        <f t="shared" si="13"/>
        <v>442.32</v>
      </c>
      <c r="O97" s="69">
        <f t="shared" si="12"/>
        <v>36.86</v>
      </c>
      <c r="P97" s="61"/>
      <c r="Q97" s="73"/>
    </row>
    <row r="98" spans="1:17" x14ac:dyDescent="0.3">
      <c r="A98" s="39">
        <f t="shared" si="14"/>
        <v>26</v>
      </c>
      <c r="B98" s="52" t="s">
        <v>110</v>
      </c>
      <c r="C98" s="49">
        <v>245</v>
      </c>
      <c r="D98" s="50">
        <v>186</v>
      </c>
      <c r="E98" s="51" t="s">
        <v>135</v>
      </c>
      <c r="F98" s="69">
        <v>875.56</v>
      </c>
      <c r="G98" s="69">
        <f>(F98*Return!$G$15)*Return!$F$17</f>
        <v>73.982853492239997</v>
      </c>
      <c r="H98" s="69">
        <f>(F98*'Tax and Depreciation'!$F$7)+(F98*'Tax and Depreciation'!$F$9*0.3)+'Tax and Depreciation'!$F$11</f>
        <v>15.619894059999998</v>
      </c>
      <c r="I98" s="69">
        <f>3941*SUM('Fuel, Energy, Demand, Customer'!$E$27:$E$28)*(D98/1000)</f>
        <v>25.67292111314714</v>
      </c>
      <c r="J98" s="69">
        <f>'Fuel, Energy, Demand, Customer'!$E$26*D98</f>
        <v>28.94639784522386</v>
      </c>
      <c r="K98" s="69">
        <f>'Fuel, Energy, Demand, Customer'!$E$24</f>
        <v>64.20543597576895</v>
      </c>
      <c r="L98" s="69">
        <f>'O&amp;M'!$F$16</f>
        <v>45.14</v>
      </c>
      <c r="M98" s="69">
        <f>SUM(H98:L98)*'Tax and Depreciation'!$F$13</f>
        <v>183.19609628541212</v>
      </c>
      <c r="N98" s="69">
        <f t="shared" si="13"/>
        <v>257.15999999999997</v>
      </c>
      <c r="O98" s="69">
        <f t="shared" si="12"/>
        <v>21.429999999999996</v>
      </c>
      <c r="P98" s="61"/>
      <c r="Q98" s="73"/>
    </row>
    <row r="99" spans="1:17" x14ac:dyDescent="0.3">
      <c r="A99" s="39">
        <f t="shared" si="14"/>
        <v>27</v>
      </c>
      <c r="B99" s="52" t="s">
        <v>110</v>
      </c>
      <c r="C99" s="49">
        <v>246</v>
      </c>
      <c r="D99" s="50">
        <v>303</v>
      </c>
      <c r="E99" s="51" t="s">
        <v>136</v>
      </c>
      <c r="F99" s="69">
        <v>1815.03</v>
      </c>
      <c r="G99" s="69">
        <f>(F99*Return!$G$15)*Return!$F$17</f>
        <v>153.36595844262001</v>
      </c>
      <c r="H99" s="69">
        <f>(F99*'Tax and Depreciation'!$F$7)+(F99*'Tax and Depreciation'!$F$9*0.3)+'Tax and Depreciation'!$F$11</f>
        <v>31.274752405000001</v>
      </c>
      <c r="I99" s="69">
        <f>3941*SUM('Fuel, Energy, Demand, Customer'!$E$27:$E$28)*(D99/1000)</f>
        <v>41.822016652062274</v>
      </c>
      <c r="J99" s="69">
        <f>'Fuel, Energy, Demand, Customer'!$E$26*D99</f>
        <v>47.154615844638869</v>
      </c>
      <c r="K99" s="69">
        <f>'Fuel, Energy, Demand, Customer'!$E$24</f>
        <v>64.20543597576895</v>
      </c>
      <c r="L99" s="69">
        <f>'O&amp;M'!$F$16</f>
        <v>45.14</v>
      </c>
      <c r="M99" s="69">
        <f>SUM(H99:L99)*'Tax and Depreciation'!$F$13</f>
        <v>234.214012945316</v>
      </c>
      <c r="N99" s="69">
        <f t="shared" si="13"/>
        <v>387.59999999999997</v>
      </c>
      <c r="O99" s="69">
        <f t="shared" si="12"/>
        <v>32.299999999999997</v>
      </c>
      <c r="P99" s="61"/>
      <c r="Q99" s="73"/>
    </row>
    <row r="100" spans="1:17" x14ac:dyDescent="0.3">
      <c r="A100" s="39">
        <f t="shared" si="14"/>
        <v>28</v>
      </c>
      <c r="B100" s="52" t="s">
        <v>110</v>
      </c>
      <c r="C100" s="49">
        <v>248</v>
      </c>
      <c r="D100" s="50">
        <f>303*2</f>
        <v>606</v>
      </c>
      <c r="E100" s="51" t="s">
        <v>137</v>
      </c>
      <c r="F100" s="69">
        <v>2186.81</v>
      </c>
      <c r="G100" s="69">
        <f>(F100*Return!$G$15)*Return!$F$17</f>
        <v>184.78053342473999</v>
      </c>
      <c r="H100" s="69">
        <f>(F100*'Tax and Depreciation'!$F$7)+(F100*'Tax and Depreciation'!$F$9*0.3)+'Tax and Depreciation'!$F$11</f>
        <v>37.469908435000001</v>
      </c>
      <c r="I100" s="69">
        <f>3941*SUM('Fuel, Energy, Demand, Customer'!$E$27:$E$28)*(D100/1000)</f>
        <v>83.644033304124548</v>
      </c>
      <c r="J100" s="69">
        <f>'Fuel, Energy, Demand, Customer'!$E$26*D100</f>
        <v>94.309231689277738</v>
      </c>
      <c r="K100" s="69">
        <f>'Fuel, Energy, Demand, Customer'!$E$24</f>
        <v>64.20543597576895</v>
      </c>
      <c r="L100" s="69">
        <f>'O&amp;M'!$F$16</f>
        <v>45.14</v>
      </c>
      <c r="M100" s="69">
        <f>SUM(H100:L100)*'Tax and Depreciation'!$F$13</f>
        <v>331.29970613928913</v>
      </c>
      <c r="N100" s="69">
        <f t="shared" si="13"/>
        <v>516.12</v>
      </c>
      <c r="O100" s="69">
        <f t="shared" si="12"/>
        <v>43.01</v>
      </c>
      <c r="P100" s="61"/>
      <c r="Q100" s="73"/>
    </row>
    <row r="101" spans="1:17" x14ac:dyDescent="0.3">
      <c r="A101" s="39">
        <f t="shared" si="14"/>
        <v>29</v>
      </c>
      <c r="B101" s="52" t="s">
        <v>110</v>
      </c>
      <c r="C101" s="49">
        <v>250</v>
      </c>
      <c r="D101" s="50">
        <v>469</v>
      </c>
      <c r="E101" s="51" t="s">
        <v>138</v>
      </c>
      <c r="F101" s="69">
        <v>1200.1400000000001</v>
      </c>
      <c r="G101" s="69">
        <f>(F101*Return!$G$15)*Return!$F$17</f>
        <v>101.40913448556</v>
      </c>
      <c r="H101" s="69">
        <f>(F101*'Tax and Depreciation'!$F$7)+(F101*'Tax and Depreciation'!$F$9*0.3)+'Tax and Depreciation'!$F$11</f>
        <v>21.028532890000001</v>
      </c>
      <c r="I101" s="69">
        <f>8760*SUM('Fuel, Energy, Demand, Customer'!$E$27:$E$28)*(D101/1000)</f>
        <v>143.8907433271101</v>
      </c>
      <c r="J101" s="69">
        <f>'Fuel, Energy, Demand, Customer'!$E$26*D101</f>
        <v>72.988497792526829</v>
      </c>
      <c r="K101" s="69">
        <f>'Fuel, Energy, Demand, Customer'!$E$24</f>
        <v>64.20543597576895</v>
      </c>
      <c r="L101" s="69">
        <f>'O&amp;M'!$F$16</f>
        <v>45.14</v>
      </c>
      <c r="M101" s="69">
        <f>SUM(H101:L101)*'Tax and Depreciation'!$F$13</f>
        <v>354.23647203821241</v>
      </c>
      <c r="N101" s="69">
        <f t="shared" si="13"/>
        <v>455.64</v>
      </c>
      <c r="O101" s="69">
        <f t="shared" si="12"/>
        <v>37.97</v>
      </c>
      <c r="P101" s="61"/>
      <c r="Q101" s="73"/>
    </row>
    <row r="102" spans="1:17" x14ac:dyDescent="0.3">
      <c r="A102" s="39">
        <f t="shared" si="14"/>
        <v>30</v>
      </c>
      <c r="B102" s="52" t="s">
        <v>110</v>
      </c>
      <c r="C102" s="49">
        <v>251</v>
      </c>
      <c r="D102" s="50">
        <v>186</v>
      </c>
      <c r="E102" s="51" t="s">
        <v>139</v>
      </c>
      <c r="F102" s="69">
        <v>875.56</v>
      </c>
      <c r="G102" s="69">
        <f>(F102*Return!$G$15)*Return!$F$17</f>
        <v>73.982853492239997</v>
      </c>
      <c r="H102" s="69">
        <f>(F102*'Tax and Depreciation'!$F$7)+(F102*'Tax and Depreciation'!$F$9*0.3)+'Tax and Depreciation'!$F$11</f>
        <v>15.619894059999998</v>
      </c>
      <c r="I102" s="69">
        <f>8760*SUM('Fuel, Energy, Demand, Customer'!$E$27:$E$28)*(D102/1000)</f>
        <v>57.065412065762224</v>
      </c>
      <c r="J102" s="69">
        <f>'Fuel, Energy, Demand, Customer'!$E$26*D102</f>
        <v>28.94639784522386</v>
      </c>
      <c r="K102" s="69">
        <f>'Fuel, Energy, Demand, Customer'!$E$24</f>
        <v>64.20543597576895</v>
      </c>
      <c r="L102" s="69">
        <f>'O&amp;M'!$F$16</f>
        <v>45.14</v>
      </c>
      <c r="M102" s="69">
        <f>SUM(H102:L102)*'Tax and Depreciation'!$F$13</f>
        <v>215.21989023108426</v>
      </c>
      <c r="N102" s="69">
        <f t="shared" si="13"/>
        <v>289.20000000000005</v>
      </c>
      <c r="O102" s="69">
        <f t="shared" si="12"/>
        <v>24.100000000000005</v>
      </c>
      <c r="P102" s="61"/>
      <c r="Q102" s="73"/>
    </row>
    <row r="103" spans="1:17" x14ac:dyDescent="0.3">
      <c r="A103" s="39">
        <f t="shared" si="14"/>
        <v>31</v>
      </c>
      <c r="B103" s="52" t="s">
        <v>110</v>
      </c>
      <c r="C103" s="49">
        <v>265</v>
      </c>
      <c r="D103" s="50">
        <v>469</v>
      </c>
      <c r="E103" s="51" t="s">
        <v>140</v>
      </c>
      <c r="F103" s="69">
        <v>1833.23</v>
      </c>
      <c r="G103" s="69">
        <f>(F103*Return!$G$15)*Return!$F$17</f>
        <v>154.90381756542001</v>
      </c>
      <c r="H103" s="69">
        <f>(F103*'Tax and Depreciation'!$F$7)+(F103*'Tax and Depreciation'!$F$9*0.3)+'Tax and Depreciation'!$F$11</f>
        <v>31.578028105000001</v>
      </c>
      <c r="I103" s="69">
        <f>3941*SUM('Fuel, Energy, Demand, Customer'!$E$27:$E$28)*(D103/1000)</f>
        <v>64.734408613258111</v>
      </c>
      <c r="J103" s="69">
        <f>'Fuel, Energy, Demand, Customer'!$E$26*D103</f>
        <v>72.988497792526829</v>
      </c>
      <c r="K103" s="69">
        <f>'Fuel, Energy, Demand, Customer'!$E$24</f>
        <v>64.20543597576895</v>
      </c>
      <c r="L103" s="69">
        <f>'O&amp;M'!$F$16</f>
        <v>45.14</v>
      </c>
      <c r="M103" s="69">
        <f>SUM(H103:L103)*'Tax and Depreciation'!$F$13</f>
        <v>284.24994899703853</v>
      </c>
      <c r="N103" s="69">
        <f t="shared" si="13"/>
        <v>439.20000000000005</v>
      </c>
      <c r="O103" s="69">
        <f t="shared" si="12"/>
        <v>36.6</v>
      </c>
      <c r="P103" s="61"/>
      <c r="Q103" s="73"/>
    </row>
    <row r="104" spans="1:17" x14ac:dyDescent="0.3">
      <c r="A104" s="39">
        <f t="shared" si="14"/>
        <v>32</v>
      </c>
      <c r="B104" s="52" t="s">
        <v>110</v>
      </c>
      <c r="C104" s="49">
        <v>266</v>
      </c>
      <c r="D104" s="50">
        <f>469*2</f>
        <v>938</v>
      </c>
      <c r="E104" s="51" t="s">
        <v>141</v>
      </c>
      <c r="F104" s="69">
        <v>2223.21</v>
      </c>
      <c r="G104" s="69">
        <f>(F104*Return!$G$15)*Return!$F$17</f>
        <v>187.85625167034001</v>
      </c>
      <c r="H104" s="69">
        <f>(F104*'Tax and Depreciation'!$F$7)+(F104*'Tax and Depreciation'!$F$9*0.3)+'Tax and Depreciation'!$F$11</f>
        <v>38.076459835000001</v>
      </c>
      <c r="I104" s="69">
        <f>3941*SUM('Fuel, Energy, Demand, Customer'!$E$27:$E$28)*(D104/1000)</f>
        <v>129.46881722651622</v>
      </c>
      <c r="J104" s="69">
        <f>'Fuel, Energy, Demand, Customer'!$E$26*D104</f>
        <v>145.97699558505366</v>
      </c>
      <c r="K104" s="69">
        <f>'Fuel, Energy, Demand, Customer'!$E$24</f>
        <v>64.20543597576895</v>
      </c>
      <c r="L104" s="69">
        <f>'O&amp;M'!$F$16</f>
        <v>45.14</v>
      </c>
      <c r="M104" s="69">
        <f>SUM(H104:L104)*'Tax and Depreciation'!$F$13</f>
        <v>431.37157824273407</v>
      </c>
      <c r="N104" s="69">
        <f t="shared" si="13"/>
        <v>619.20000000000005</v>
      </c>
      <c r="O104" s="69">
        <f t="shared" si="12"/>
        <v>51.6</v>
      </c>
      <c r="P104" s="61"/>
      <c r="Q104" s="73"/>
    </row>
    <row r="105" spans="1:17" x14ac:dyDescent="0.3">
      <c r="A105" s="39">
        <f t="shared" si="14"/>
        <v>33</v>
      </c>
      <c r="B105" s="52" t="s">
        <v>110</v>
      </c>
      <c r="C105" s="49">
        <v>385</v>
      </c>
      <c r="D105" s="50">
        <v>186</v>
      </c>
      <c r="E105" s="51" t="s">
        <v>142</v>
      </c>
      <c r="F105" s="69">
        <v>2360.7600000000002</v>
      </c>
      <c r="G105" s="69">
        <f>(F105*Return!$G$15)*Return!$F$17</f>
        <v>199.47891773304005</v>
      </c>
      <c r="H105" s="69">
        <f>(F105*'Tax and Depreciation'!$F$7)+(F105*'Tax and Depreciation'!$F$9*0.3)+'Tax and Depreciation'!$F$11</f>
        <v>40.368524260000001</v>
      </c>
      <c r="I105" s="69">
        <f>3941*SUM('Fuel, Energy, Demand, Customer'!$E$27:$E$28)*(D105/1000)</f>
        <v>25.67292111314714</v>
      </c>
      <c r="J105" s="69">
        <f>'Fuel, Energy, Demand, Customer'!$E$26*D105</f>
        <v>28.94639784522386</v>
      </c>
      <c r="K105" s="69">
        <f>'Fuel, Energy, Demand, Customer'!$E$24</f>
        <v>64.20543597576895</v>
      </c>
      <c r="L105" s="69">
        <f>'O&amp;M'!$F$16</f>
        <v>45.14</v>
      </c>
      <c r="M105" s="69">
        <f>SUM(H105:L105)*'Tax and Depreciation'!$F$13</f>
        <v>208.44242143873413</v>
      </c>
      <c r="N105" s="69">
        <f t="shared" si="13"/>
        <v>407.88</v>
      </c>
      <c r="O105" s="69">
        <f t="shared" si="12"/>
        <v>33.99</v>
      </c>
      <c r="P105" s="61"/>
      <c r="Q105" s="73"/>
    </row>
    <row r="106" spans="1:17" x14ac:dyDescent="0.3">
      <c r="A106" s="39">
        <f t="shared" si="14"/>
        <v>34</v>
      </c>
      <c r="B106" s="52" t="s">
        <v>110</v>
      </c>
      <c r="C106" s="49">
        <v>200</v>
      </c>
      <c r="D106" s="50">
        <v>47</v>
      </c>
      <c r="E106" s="51" t="s">
        <v>88</v>
      </c>
      <c r="F106" s="69">
        <v>649.6</v>
      </c>
      <c r="G106" s="69">
        <f>(F106*Return!$G$15)*Return!$F$17</f>
        <v>54.889740998400008</v>
      </c>
      <c r="H106" s="86">
        <f>(F106*'Tax and Depreciation'!$F$8)+(F106*'Tax and Depreciation'!$F$9*0.3)+'Tax and Depreciation'!$F$11</f>
        <v>44.854289600000001</v>
      </c>
      <c r="I106" s="69">
        <f>3941*SUM('Fuel, Energy, Demand, Customer'!$E$27:$E$28)*(D106/1000)</f>
        <v>6.4872435070855676</v>
      </c>
      <c r="J106" s="69">
        <f>'Fuel, Energy, Demand, Customer'!$E$26*D106</f>
        <v>7.3144123587393626</v>
      </c>
      <c r="K106" s="69">
        <f>'Fuel, Energy, Demand, Customer'!$E$24</f>
        <v>64.20543597576895</v>
      </c>
      <c r="L106" s="86">
        <f>'O&amp;M'!$H$16</f>
        <v>33.855000000000004</v>
      </c>
      <c r="M106" s="69">
        <f>SUM(H106:L106)*'Tax and Depreciation'!$F$13</f>
        <v>159.86794787238435</v>
      </c>
      <c r="N106" s="69">
        <f t="shared" ref="N106:N114" si="15">ROUND((G106+M106)/12,2)*12</f>
        <v>214.79999999999998</v>
      </c>
      <c r="O106" s="69">
        <f t="shared" ref="O106:O114" si="16">N106/12</f>
        <v>17.899999999999999</v>
      </c>
      <c r="Q106" s="73"/>
    </row>
    <row r="107" spans="1:17" x14ac:dyDescent="0.3">
      <c r="A107" s="39">
        <f t="shared" si="14"/>
        <v>35</v>
      </c>
      <c r="B107" s="52" t="s">
        <v>110</v>
      </c>
      <c r="C107" s="49">
        <v>201</v>
      </c>
      <c r="D107" s="50">
        <v>58</v>
      </c>
      <c r="E107" s="51" t="s">
        <v>89</v>
      </c>
      <c r="F107" s="69">
        <v>662.6</v>
      </c>
      <c r="G107" s="69">
        <f>(F107*Return!$G$15)*Return!$F$17</f>
        <v>55.988211800400009</v>
      </c>
      <c r="H107" s="86">
        <f>(F107*'Tax and Depreciation'!$F$8)+(F107*'Tax and Depreciation'!$F$9*0.3)+'Tax and Depreciation'!$F$11</f>
        <v>45.731315100000003</v>
      </c>
      <c r="I107" s="69">
        <f>3941*SUM('Fuel, Energy, Demand, Customer'!$E$27:$E$28)*(D107/1000)</f>
        <v>8.0055345406587861</v>
      </c>
      <c r="J107" s="69">
        <f>'Fuel, Energy, Demand, Customer'!$E$26*D107</f>
        <v>9.0262961022741077</v>
      </c>
      <c r="K107" s="69">
        <f>'Fuel, Energy, Demand, Customer'!$E$24</f>
        <v>64.20543597576895</v>
      </c>
      <c r="L107" s="86">
        <f>'O&amp;M'!$H$16</f>
        <v>33.855000000000004</v>
      </c>
      <c r="M107" s="69">
        <f>SUM(H107:L107)*'Tax and Depreciation'!$F$13</f>
        <v>164.05774394706498</v>
      </c>
      <c r="N107" s="69">
        <f t="shared" si="15"/>
        <v>220.07999999999998</v>
      </c>
      <c r="O107" s="69">
        <f t="shared" si="16"/>
        <v>18.34</v>
      </c>
      <c r="Q107" s="73"/>
    </row>
    <row r="108" spans="1:17" x14ac:dyDescent="0.3">
      <c r="A108" s="39">
        <f t="shared" si="14"/>
        <v>36</v>
      </c>
      <c r="B108" s="52" t="s">
        <v>110</v>
      </c>
      <c r="C108" s="49">
        <v>202</v>
      </c>
      <c r="D108" s="50">
        <v>111</v>
      </c>
      <c r="E108" s="51" t="s">
        <v>90</v>
      </c>
      <c r="F108" s="69">
        <v>857.6</v>
      </c>
      <c r="G108" s="69">
        <f>(F108*Return!$G$15)*Return!$F$17</f>
        <v>72.465273830400008</v>
      </c>
      <c r="H108" s="86">
        <f>(F108*'Tax and Depreciation'!$F$8)+(F108*'Tax and Depreciation'!$F$9*0.3)+'Tax and Depreciation'!$F$11</f>
        <v>58.886697600000005</v>
      </c>
      <c r="I108" s="69">
        <f>3941*SUM('Fuel, Energy, Demand, Customer'!$E$27:$E$28)*(D108/1000)</f>
        <v>15.320936793329745</v>
      </c>
      <c r="J108" s="69">
        <f>'Fuel, Energy, Demand, Customer'!$E$26*D108</f>
        <v>17.274463230214241</v>
      </c>
      <c r="K108" s="69">
        <f>'Fuel, Energy, Demand, Customer'!$E$24</f>
        <v>64.20543597576895</v>
      </c>
      <c r="L108" s="86">
        <f>'O&amp;M'!$H$16</f>
        <v>33.855000000000004</v>
      </c>
      <c r="M108" s="69">
        <f>SUM(H108:L108)*'Tax and Depreciation'!$F$13</f>
        <v>193.35423394999515</v>
      </c>
      <c r="N108" s="69">
        <f t="shared" si="15"/>
        <v>265.79999999999995</v>
      </c>
      <c r="O108" s="69">
        <f t="shared" si="16"/>
        <v>22.149999999999995</v>
      </c>
      <c r="Q108" s="73"/>
    </row>
    <row r="109" spans="1:17" x14ac:dyDescent="0.3">
      <c r="A109" s="39">
        <f t="shared" si="14"/>
        <v>37</v>
      </c>
      <c r="B109" s="52" t="s">
        <v>110</v>
      </c>
      <c r="C109" s="49">
        <v>203</v>
      </c>
      <c r="D109" s="50">
        <v>174</v>
      </c>
      <c r="E109" s="51" t="s">
        <v>91</v>
      </c>
      <c r="F109" s="69">
        <v>994.1</v>
      </c>
      <c r="G109" s="69">
        <f>(F109*Return!$G$15)*Return!$F$17</f>
        <v>83.999217251400012</v>
      </c>
      <c r="H109" s="86">
        <f>(F109*'Tax and Depreciation'!$F$8)+(F109*'Tax and Depreciation'!$F$9*0.3)+'Tax and Depreciation'!$F$11</f>
        <v>68.095465349999998</v>
      </c>
      <c r="I109" s="69">
        <f>3941*SUM('Fuel, Energy, Demand, Customer'!$E$27:$E$28)*(D109/1000)</f>
        <v>24.016603621976355</v>
      </c>
      <c r="J109" s="69">
        <f>'Fuel, Energy, Demand, Customer'!$E$26*D109</f>
        <v>27.078888306822321</v>
      </c>
      <c r="K109" s="69">
        <f>'Fuel, Energy, Demand, Customer'!$E$24</f>
        <v>64.20543597576895</v>
      </c>
      <c r="L109" s="86">
        <f>'O&amp;M'!$H$16</f>
        <v>33.855000000000004</v>
      </c>
      <c r="M109" s="69">
        <f>SUM(H109:L109)*'Tax and Depreciation'!$F$13</f>
        <v>221.62031877291699</v>
      </c>
      <c r="N109" s="69">
        <f t="shared" si="15"/>
        <v>305.64</v>
      </c>
      <c r="O109" s="69">
        <f t="shared" si="16"/>
        <v>25.47</v>
      </c>
    </row>
    <row r="110" spans="1:17" x14ac:dyDescent="0.3">
      <c r="A110" s="39">
        <f t="shared" si="14"/>
        <v>38</v>
      </c>
      <c r="B110" s="52" t="s">
        <v>110</v>
      </c>
      <c r="C110" s="49">
        <v>204</v>
      </c>
      <c r="D110" s="50">
        <v>136</v>
      </c>
      <c r="E110" s="51" t="s">
        <v>92</v>
      </c>
      <c r="F110" s="69">
        <v>940.7</v>
      </c>
      <c r="G110" s="69">
        <f>(F110*Return!$G$15)*Return!$F$17</f>
        <v>79.487037187799999</v>
      </c>
      <c r="H110" s="86">
        <f>(F110*'Tax and Depreciation'!$F$8)+(F110*'Tax and Depreciation'!$F$9*0.3)+'Tax and Depreciation'!$F$11</f>
        <v>64.492914450000001</v>
      </c>
      <c r="I110" s="69">
        <f>3941*SUM('Fuel, Energy, Demand, Customer'!$E$27:$E$28)*(D110/1000)</f>
        <v>18.771598233268879</v>
      </c>
      <c r="J110" s="69">
        <f>'Fuel, Energy, Demand, Customer'!$E$26*D110</f>
        <v>21.165108101884115</v>
      </c>
      <c r="K110" s="69">
        <f>'Fuel, Energy, Demand, Customer'!$E$24</f>
        <v>64.20543597576895</v>
      </c>
      <c r="L110" s="86">
        <f>'O&amp;M'!$H$16</f>
        <v>33.855000000000004</v>
      </c>
      <c r="M110" s="69">
        <f>SUM(H110:L110)*'Tax and Depreciation'!$F$13</f>
        <v>206.5621318023841</v>
      </c>
      <c r="N110" s="69">
        <f t="shared" si="15"/>
        <v>286.08</v>
      </c>
      <c r="O110" s="69">
        <f t="shared" si="16"/>
        <v>23.84</v>
      </c>
    </row>
    <row r="111" spans="1:17" x14ac:dyDescent="0.3">
      <c r="A111" s="39">
        <f t="shared" si="14"/>
        <v>39</v>
      </c>
      <c r="B111" s="52" t="s">
        <v>110</v>
      </c>
      <c r="C111" s="49">
        <v>205</v>
      </c>
      <c r="D111" s="50">
        <v>220</v>
      </c>
      <c r="E111" s="51" t="s">
        <v>93</v>
      </c>
      <c r="F111" s="69">
        <v>973.2</v>
      </c>
      <c r="G111" s="69">
        <f>(F111*Return!$G$15)*Return!$F$17</f>
        <v>82.23321419280002</v>
      </c>
      <c r="H111" s="86">
        <f>(F111*'Tax and Depreciation'!$F$8)+(F111*'Tax and Depreciation'!$F$9*0.3)+'Tax and Depreciation'!$F$11</f>
        <v>66.685478200000006</v>
      </c>
      <c r="I111" s="69">
        <f>3941*SUM('Fuel, Energy, Demand, Customer'!$E$27:$E$28)*(D111/1000)</f>
        <v>30.365820671464359</v>
      </c>
      <c r="J111" s="69">
        <f>'Fuel, Energy, Demand, Customer'!$E$26*D111</f>
        <v>34.237674870694889</v>
      </c>
      <c r="K111" s="69">
        <f>'Fuel, Energy, Demand, Customer'!$E$24</f>
        <v>64.20543597576895</v>
      </c>
      <c r="L111" s="86">
        <f>'O&amp;M'!$H$16</f>
        <v>33.855000000000004</v>
      </c>
      <c r="M111" s="69">
        <f>SUM(H111:L111)*'Tax and Depreciation'!$F$13</f>
        <v>233.96162634735578</v>
      </c>
      <c r="N111" s="69">
        <f t="shared" si="15"/>
        <v>316.20000000000005</v>
      </c>
      <c r="O111" s="69">
        <f t="shared" si="16"/>
        <v>26.350000000000005</v>
      </c>
    </row>
    <row r="112" spans="1:17" x14ac:dyDescent="0.3">
      <c r="A112" s="39">
        <f t="shared" si="14"/>
        <v>40</v>
      </c>
      <c r="B112" s="52" t="s">
        <v>110</v>
      </c>
      <c r="C112" s="49">
        <v>206</v>
      </c>
      <c r="D112" s="50">
        <v>83</v>
      </c>
      <c r="E112" s="51" t="s">
        <v>94</v>
      </c>
      <c r="F112" s="69">
        <v>894.8</v>
      </c>
      <c r="G112" s="69">
        <f>(F112*Return!$G$15)*Return!$F$17</f>
        <v>75.608590279200001</v>
      </c>
      <c r="H112" s="86">
        <f>(F112*'Tax and Depreciation'!$F$8)+(F112*'Tax and Depreciation'!$F$9*0.3)+'Tax and Depreciation'!$F$11</f>
        <v>61.3963398</v>
      </c>
      <c r="I112" s="69">
        <f>3941*SUM('Fuel, Energy, Demand, Customer'!$E$27:$E$28)*(D112/1000)</f>
        <v>11.456195980597919</v>
      </c>
      <c r="J112" s="69">
        <f>'Fuel, Energy, Demand, Customer'!$E$26*D112</f>
        <v>12.916940973943982</v>
      </c>
      <c r="K112" s="69">
        <f>'Fuel, Energy, Demand, Customer'!$E$24</f>
        <v>64.20543597576895</v>
      </c>
      <c r="L112" s="86">
        <f>'O&amp;M'!$H$16</f>
        <v>33.855000000000004</v>
      </c>
      <c r="M112" s="69">
        <f>SUM(H112:L112)*'Tax and Depreciation'!$F$13</f>
        <v>187.52673227531744</v>
      </c>
      <c r="N112" s="69">
        <f t="shared" si="15"/>
        <v>263.15999999999997</v>
      </c>
      <c r="O112" s="69">
        <f t="shared" si="16"/>
        <v>21.929999999999996</v>
      </c>
    </row>
    <row r="113" spans="1:15" ht="27.75" x14ac:dyDescent="0.3">
      <c r="A113" s="39">
        <f t="shared" si="14"/>
        <v>41</v>
      </c>
      <c r="B113" s="52" t="s">
        <v>110</v>
      </c>
      <c r="C113" s="49">
        <v>207</v>
      </c>
      <c r="D113" s="50">
        <v>136</v>
      </c>
      <c r="E113" s="51" t="s">
        <v>95</v>
      </c>
      <c r="F113" s="69">
        <v>3225.74</v>
      </c>
      <c r="G113" s="69">
        <f>(F113*Return!$G$15)*Return!$F$17</f>
        <v>272.56778498796001</v>
      </c>
      <c r="H113" s="86">
        <f>(F113*'Tax and Depreciation'!$F$8)+(F113*'Tax and Depreciation'!$F$9*0.3)+'Tax and Depreciation'!$F$11</f>
        <v>218.64971048999999</v>
      </c>
      <c r="I113" s="69">
        <f>3941*SUM('Fuel, Energy, Demand, Customer'!$E$27:$E$28)*(D113/1000)</f>
        <v>18.771598233268879</v>
      </c>
      <c r="J113" s="69">
        <f>'Fuel, Energy, Demand, Customer'!$E$26*D113</f>
        <v>21.165108101884115</v>
      </c>
      <c r="K113" s="69">
        <f>'Fuel, Energy, Demand, Customer'!$E$24</f>
        <v>64.20543597576895</v>
      </c>
      <c r="L113" s="86">
        <f>'O&amp;M'!$H$16</f>
        <v>33.855000000000004</v>
      </c>
      <c r="M113" s="69">
        <f>SUM(H113:L113)*'Tax and Depreciation'!$F$13</f>
        <v>363.81902101074849</v>
      </c>
      <c r="N113" s="69">
        <f t="shared" si="15"/>
        <v>636.36</v>
      </c>
      <c r="O113" s="69">
        <f t="shared" si="16"/>
        <v>53.03</v>
      </c>
    </row>
    <row r="114" spans="1:15" x14ac:dyDescent="0.3">
      <c r="A114" s="39">
        <f t="shared" si="14"/>
        <v>42</v>
      </c>
      <c r="B114" s="52" t="s">
        <v>110</v>
      </c>
      <c r="C114" s="49">
        <v>208</v>
      </c>
      <c r="D114" s="50">
        <v>68</v>
      </c>
      <c r="E114" s="51" t="s">
        <v>96</v>
      </c>
      <c r="F114" s="69">
        <v>1505.8</v>
      </c>
      <c r="G114" s="69">
        <f>(F114*Return!$G$15)*Return!$F$17</f>
        <v>127.23671797320002</v>
      </c>
      <c r="H114" s="86">
        <f>(F114*'Tax and Depreciation'!$F$8)+(F114*'Tax and Depreciation'!$F$9*0.3)+'Tax and Depreciation'!$F$11</f>
        <v>102.6165383</v>
      </c>
      <c r="I114" s="69">
        <f>3941*SUM('Fuel, Energy, Demand, Customer'!$E$27:$E$28)*(D114/1000)</f>
        <v>9.3857991166344394</v>
      </c>
      <c r="J114" s="69">
        <f>'Fuel, Energy, Demand, Customer'!$E$26*D114</f>
        <v>10.582554050942058</v>
      </c>
      <c r="K114" s="69">
        <f>'Fuel, Energy, Demand, Customer'!$E$24</f>
        <v>64.20543597576895</v>
      </c>
      <c r="L114" s="86">
        <f>'O&amp;M'!$H$16</f>
        <v>33.855000000000004</v>
      </c>
      <c r="M114" s="69">
        <f>SUM(H114:L114)*'Tax and Depreciation'!$F$13</f>
        <v>225.08250497823119</v>
      </c>
      <c r="N114" s="69">
        <f t="shared" si="15"/>
        <v>352.32</v>
      </c>
      <c r="O114" s="69">
        <f t="shared" si="16"/>
        <v>29.36</v>
      </c>
    </row>
    <row r="115" spans="1:15" x14ac:dyDescent="0.3">
      <c r="A115" s="39">
        <f t="shared" si="14"/>
        <v>43</v>
      </c>
      <c r="B115" s="52" t="s">
        <v>110</v>
      </c>
      <c r="C115" s="49">
        <v>396</v>
      </c>
      <c r="D115" s="50">
        <v>0</v>
      </c>
      <c r="E115" s="51" t="s">
        <v>52</v>
      </c>
      <c r="F115" s="69">
        <v>860.41</v>
      </c>
      <c r="G115" s="69">
        <f>(F115*Return!$G$15)*Return!$F$17</f>
        <v>72.702712519140007</v>
      </c>
      <c r="H115" s="69">
        <f>(F115*'Tax and Depreciation'!$F$7)+(F115*'Tax and Depreciation'!$F$9*0.3)+'Tax and Depreciation'!$F$11</f>
        <v>15.367442034999998</v>
      </c>
      <c r="I115" s="70"/>
      <c r="J115" s="70"/>
      <c r="K115" s="70"/>
      <c r="L115" s="70"/>
      <c r="M115" s="69">
        <f>SUM(H115:L115)*'Tax and Depreciation'!$F$13</f>
        <v>15.67648129432385</v>
      </c>
      <c r="N115" s="69">
        <f t="shared" ref="N115:N116" si="17">ROUND((G115+M115)/12,2)*12</f>
        <v>88.320000000000007</v>
      </c>
      <c r="O115" s="69">
        <f t="shared" ref="O115:O116" si="18">N115/12</f>
        <v>7.36</v>
      </c>
    </row>
    <row r="116" spans="1:15" x14ac:dyDescent="0.3">
      <c r="A116" s="39">
        <f t="shared" si="14"/>
        <v>44</v>
      </c>
      <c r="B116" s="52" t="s">
        <v>110</v>
      </c>
      <c r="C116" s="49">
        <v>397</v>
      </c>
      <c r="D116" s="50">
        <v>0</v>
      </c>
      <c r="E116" s="51" t="s">
        <v>53</v>
      </c>
      <c r="F116" s="69">
        <v>1092.02</v>
      </c>
      <c r="G116" s="69">
        <f>(F116*Return!$G$15)*Return!$F$17</f>
        <v>92.273237323080011</v>
      </c>
      <c r="H116" s="69">
        <f>(F116*'Tax and Depreciation'!$F$7)+(F116*'Tax and Depreciation'!$F$9*0.3)+'Tax and Depreciation'!$F$11</f>
        <v>19.226875270000001</v>
      </c>
      <c r="I116" s="70"/>
      <c r="J116" s="70"/>
      <c r="K116" s="70"/>
      <c r="L116" s="70"/>
      <c r="M116" s="69">
        <f>SUM(H116:L116)*'Tax and Depreciation'!$F$13</f>
        <v>19.613527731679703</v>
      </c>
      <c r="N116" s="69">
        <f t="shared" si="17"/>
        <v>111.84</v>
      </c>
      <c r="O116" s="69">
        <f t="shared" si="18"/>
        <v>9.32</v>
      </c>
    </row>
    <row r="117" spans="1:15" ht="27.75" x14ac:dyDescent="0.3">
      <c r="A117" s="39">
        <f t="shared" si="14"/>
        <v>45</v>
      </c>
      <c r="B117" s="52" t="s">
        <v>110</v>
      </c>
      <c r="C117" s="49">
        <v>228</v>
      </c>
      <c r="D117" s="50">
        <v>0</v>
      </c>
      <c r="E117" s="51" t="s">
        <v>97</v>
      </c>
      <c r="F117" s="69">
        <v>797.68</v>
      </c>
      <c r="G117" s="69">
        <f>(F117*Return!$G$15)*Return!$F$17</f>
        <v>67.402168410719995</v>
      </c>
      <c r="H117" s="69">
        <f>(F117*'Tax and Depreciation'!$F$7)+(F117*'Tax and Depreciation'!$F$9*0.3)+'Tax and Depreciation'!$F$11</f>
        <v>14.322140679999999</v>
      </c>
      <c r="I117" s="70"/>
      <c r="J117" s="70"/>
      <c r="K117" s="70"/>
      <c r="L117" s="70"/>
      <c r="M117" s="69">
        <f>SUM(H117:L117)*'Tax and Depreciation'!$F$13</f>
        <v>14.6101589290748</v>
      </c>
      <c r="N117" s="69">
        <f t="shared" ref="N117:N126" si="19">ROUND((G117+M117)/12,2)*12</f>
        <v>81.960000000000008</v>
      </c>
      <c r="O117" s="69">
        <f t="shared" ref="O117:O126" si="20">N117/12</f>
        <v>6.830000000000001</v>
      </c>
    </row>
    <row r="118" spans="1:15" ht="27.75" x14ac:dyDescent="0.3">
      <c r="A118" s="39">
        <f t="shared" si="14"/>
        <v>46</v>
      </c>
      <c r="B118" s="52" t="s">
        <v>110</v>
      </c>
      <c r="C118" s="49">
        <v>237</v>
      </c>
      <c r="D118" s="50">
        <v>0</v>
      </c>
      <c r="E118" s="51" t="s">
        <v>98</v>
      </c>
      <c r="F118" s="69">
        <v>1626.11</v>
      </c>
      <c r="G118" s="69">
        <f>(F118*Return!$G$15)*Return!$F$17</f>
        <v>137.40264275694</v>
      </c>
      <c r="H118" s="69">
        <f>(F118*'Tax and Depreciation'!$F$7)+(F118*'Tax and Depreciation'!$F$9*0.3)+'Tax and Depreciation'!$F$11</f>
        <v>28.126683985</v>
      </c>
      <c r="I118" s="70"/>
      <c r="J118" s="70"/>
      <c r="K118" s="70"/>
      <c r="L118" s="70"/>
      <c r="M118" s="69">
        <f>SUM(H118:L118)*'Tax and Depreciation'!$F$13</f>
        <v>28.692311599938353</v>
      </c>
      <c r="N118" s="69">
        <f t="shared" si="19"/>
        <v>166.07999999999998</v>
      </c>
      <c r="O118" s="69">
        <f t="shared" si="20"/>
        <v>13.839999999999998</v>
      </c>
    </row>
    <row r="119" spans="1:15" ht="27.75" x14ac:dyDescent="0.3">
      <c r="A119" s="39">
        <f t="shared" si="14"/>
        <v>47</v>
      </c>
      <c r="B119" s="52" t="s">
        <v>110</v>
      </c>
      <c r="C119" s="49">
        <v>242</v>
      </c>
      <c r="D119" s="50">
        <v>0</v>
      </c>
      <c r="E119" s="51" t="s">
        <v>99</v>
      </c>
      <c r="F119" s="69">
        <v>1882.12</v>
      </c>
      <c r="G119" s="69">
        <f>(F119*Return!$G$15)*Return!$F$17</f>
        <v>159.03491275848</v>
      </c>
      <c r="H119" s="69">
        <f>(F119*'Tax and Depreciation'!$F$7)+(F119*'Tax and Depreciation'!$F$9*0.3)+'Tax and Depreciation'!$F$11</f>
        <v>32.392706619999998</v>
      </c>
      <c r="I119" s="70"/>
      <c r="J119" s="70"/>
      <c r="K119" s="70"/>
      <c r="L119" s="70"/>
      <c r="M119" s="69">
        <f>SUM(H119:L119)*'Tax and Depreciation'!$F$13</f>
        <v>33.044123950128203</v>
      </c>
      <c r="N119" s="69">
        <f t="shared" si="19"/>
        <v>192.12</v>
      </c>
      <c r="O119" s="69">
        <f t="shared" si="20"/>
        <v>16.010000000000002</v>
      </c>
    </row>
    <row r="120" spans="1:15" ht="27.75" x14ac:dyDescent="0.3">
      <c r="A120" s="39">
        <f t="shared" si="14"/>
        <v>48</v>
      </c>
      <c r="B120" s="52" t="s">
        <v>110</v>
      </c>
      <c r="C120" s="49">
        <v>243</v>
      </c>
      <c r="D120" s="50">
        <v>0</v>
      </c>
      <c r="E120" s="51" t="s">
        <v>100</v>
      </c>
      <c r="F120" s="69">
        <v>1651.96</v>
      </c>
      <c r="G120" s="69">
        <f>(F120*Return!$G$15)*Return!$F$17</f>
        <v>139.58690969784001</v>
      </c>
      <c r="H120" s="69">
        <f>(F120*'Tax and Depreciation'!$F$7)+(F120*'Tax and Depreciation'!$F$9*0.3)+'Tax and Depreciation'!$F$11</f>
        <v>28.557435460000001</v>
      </c>
      <c r="I120" s="70"/>
      <c r="J120" s="70"/>
      <c r="K120" s="70"/>
      <c r="L120" s="70"/>
      <c r="M120" s="69">
        <f>SUM(H120:L120)*'Tax and Depreciation'!$F$13</f>
        <v>29.131725487100603</v>
      </c>
      <c r="N120" s="69">
        <f t="shared" si="19"/>
        <v>168.72</v>
      </c>
      <c r="O120" s="69">
        <f t="shared" si="20"/>
        <v>14.06</v>
      </c>
    </row>
    <row r="121" spans="1:15" ht="27.75" x14ac:dyDescent="0.3">
      <c r="A121" s="39">
        <f t="shared" si="14"/>
        <v>49</v>
      </c>
      <c r="B121" s="52" t="s">
        <v>110</v>
      </c>
      <c r="C121" s="49">
        <v>244</v>
      </c>
      <c r="D121" s="50">
        <v>0</v>
      </c>
      <c r="E121" s="51" t="s">
        <v>101</v>
      </c>
      <c r="F121" s="69">
        <v>1419.55</v>
      </c>
      <c r="G121" s="69">
        <f>(F121*Return!$G$15)*Return!$F$17</f>
        <v>119.9487866907</v>
      </c>
      <c r="H121" s="69">
        <f>(F121*'Tax and Depreciation'!$F$7)+(F121*'Tax and Depreciation'!$F$9*0.3)+'Tax and Depreciation'!$F$11</f>
        <v>24.684671424999998</v>
      </c>
      <c r="I121" s="70"/>
      <c r="J121" s="70"/>
      <c r="K121" s="70"/>
      <c r="L121" s="70"/>
      <c r="M121" s="69">
        <f>SUM(H121:L121)*'Tax and Depreciation'!$F$13</f>
        <v>25.18108016735675</v>
      </c>
      <c r="N121" s="69">
        <f t="shared" si="19"/>
        <v>145.07999999999998</v>
      </c>
      <c r="O121" s="69">
        <f t="shared" si="20"/>
        <v>12.089999999999998</v>
      </c>
    </row>
    <row r="122" spans="1:15" ht="27.75" x14ac:dyDescent="0.3">
      <c r="A122" s="39">
        <f t="shared" si="14"/>
        <v>50</v>
      </c>
      <c r="B122" s="52" t="s">
        <v>110</v>
      </c>
      <c r="C122" s="49">
        <v>254</v>
      </c>
      <c r="D122" s="50">
        <v>0</v>
      </c>
      <c r="E122" s="51" t="s">
        <v>102</v>
      </c>
      <c r="F122" s="69">
        <v>2012.4</v>
      </c>
      <c r="G122" s="69">
        <f>(F122*Return!$G$15)*Return!$F$17</f>
        <v>170.04328014960001</v>
      </c>
      <c r="H122" s="69">
        <f>(F122*'Tax and Depreciation'!$F$7)+(F122*'Tax and Depreciation'!$F$9*0.3)+'Tax and Depreciation'!$F$11</f>
        <v>34.563627400000001</v>
      </c>
      <c r="I122" s="70"/>
      <c r="J122" s="70"/>
      <c r="K122" s="70"/>
      <c r="L122" s="70"/>
      <c r="M122" s="69">
        <f>SUM(H122:L122)*'Tax and Depreciation'!$F$13</f>
        <v>35.258701947014004</v>
      </c>
      <c r="N122" s="69">
        <f t="shared" si="19"/>
        <v>205.32</v>
      </c>
      <c r="O122" s="69">
        <f t="shared" si="20"/>
        <v>17.11</v>
      </c>
    </row>
    <row r="123" spans="1:15" ht="27.75" x14ac:dyDescent="0.3">
      <c r="A123" s="39">
        <f t="shared" si="14"/>
        <v>51</v>
      </c>
      <c r="B123" s="52" t="s">
        <v>110</v>
      </c>
      <c r="C123" s="49">
        <v>255</v>
      </c>
      <c r="D123" s="50">
        <v>0</v>
      </c>
      <c r="E123" s="51" t="s">
        <v>103</v>
      </c>
      <c r="F123" s="69">
        <v>1116.8</v>
      </c>
      <c r="G123" s="69">
        <f>(F123*Return!$G$15)*Return!$F$17</f>
        <v>94.3670916672</v>
      </c>
      <c r="H123" s="69">
        <f>(F123*'Tax and Depreciation'!$F$7)+(F123*'Tax and Depreciation'!$F$9*0.3)+'Tax and Depreciation'!$F$11</f>
        <v>19.639796799999999</v>
      </c>
      <c r="I123" s="70"/>
      <c r="J123" s="70"/>
      <c r="K123" s="70"/>
      <c r="L123" s="70"/>
      <c r="M123" s="69">
        <f>SUM(H123:L123)*'Tax and Depreciation'!$F$13</f>
        <v>20.034753113648001</v>
      </c>
      <c r="N123" s="69">
        <f t="shared" si="19"/>
        <v>114.35999999999999</v>
      </c>
      <c r="O123" s="69">
        <f t="shared" si="20"/>
        <v>9.5299999999999994</v>
      </c>
    </row>
    <row r="124" spans="1:15" ht="27.75" x14ac:dyDescent="0.3">
      <c r="A124" s="39">
        <f t="shared" si="14"/>
        <v>52</v>
      </c>
      <c r="B124" s="52" t="s">
        <v>110</v>
      </c>
      <c r="C124" s="49">
        <v>269</v>
      </c>
      <c r="D124" s="50">
        <v>0</v>
      </c>
      <c r="E124" s="51" t="s">
        <v>104</v>
      </c>
      <c r="F124" s="69">
        <v>2196.31</v>
      </c>
      <c r="G124" s="69">
        <f>(F124*Return!$G$15)*Return!$F$17</f>
        <v>185.58326208774002</v>
      </c>
      <c r="H124" s="69">
        <f>(F124*'Tax and Depreciation'!$F$7)+(F124*'Tax and Depreciation'!$F$9*0.3)+'Tax and Depreciation'!$F$11</f>
        <v>37.628211684999997</v>
      </c>
      <c r="I124" s="70"/>
      <c r="J124" s="70"/>
      <c r="K124" s="70"/>
      <c r="L124" s="70"/>
      <c r="M124" s="69">
        <f>SUM(H124:L124)*'Tax and Depreciation'!$F$13</f>
        <v>38.38491502198535</v>
      </c>
      <c r="N124" s="69">
        <f t="shared" si="19"/>
        <v>223.92000000000002</v>
      </c>
      <c r="O124" s="69">
        <f t="shared" si="20"/>
        <v>18.66</v>
      </c>
    </row>
    <row r="125" spans="1:15" ht="27.75" x14ac:dyDescent="0.3">
      <c r="A125" s="39">
        <f t="shared" si="14"/>
        <v>53</v>
      </c>
      <c r="B125" s="52" t="s">
        <v>110</v>
      </c>
      <c r="C125" s="49">
        <v>270</v>
      </c>
      <c r="D125" s="50">
        <v>0</v>
      </c>
      <c r="E125" s="51" t="s">
        <v>105</v>
      </c>
      <c r="F125" s="69">
        <v>1300.71</v>
      </c>
      <c r="G125" s="69">
        <f>(F125*Return!$G$15)*Return!$F$17</f>
        <v>109.90707360534</v>
      </c>
      <c r="H125" s="69">
        <f>(F125*'Tax and Depreciation'!$F$7)+(F125*'Tax and Depreciation'!$F$9*0.3)+'Tax and Depreciation'!$F$11</f>
        <v>22.704381085000001</v>
      </c>
      <c r="I125" s="70"/>
      <c r="J125" s="70"/>
      <c r="K125" s="70"/>
      <c r="L125" s="70"/>
      <c r="M125" s="69">
        <f>SUM(H125:L125)*'Tax and Depreciation'!$F$13</f>
        <v>23.160966188619351</v>
      </c>
      <c r="N125" s="69">
        <f t="shared" si="19"/>
        <v>133.07999999999998</v>
      </c>
      <c r="O125" s="69">
        <f t="shared" si="20"/>
        <v>11.089999999999998</v>
      </c>
    </row>
    <row r="126" spans="1:15" ht="27.75" x14ac:dyDescent="0.3">
      <c r="A126" s="39">
        <f t="shared" si="14"/>
        <v>54</v>
      </c>
      <c r="B126" s="52" t="s">
        <v>110</v>
      </c>
      <c r="C126" s="49">
        <v>278</v>
      </c>
      <c r="D126" s="50">
        <v>0</v>
      </c>
      <c r="E126" s="51" t="s">
        <v>106</v>
      </c>
      <c r="F126" s="69">
        <v>1199.48</v>
      </c>
      <c r="G126" s="69">
        <f>(F126*Return!$G$15)*Return!$F$17</f>
        <v>101.35336596792001</v>
      </c>
      <c r="H126" s="69">
        <f>(F126*'Tax and Depreciation'!$F$7)+(F126*'Tax and Depreciation'!$F$9*0.3)+'Tax and Depreciation'!$F$11</f>
        <v>21.017534980000001</v>
      </c>
      <c r="I126" s="70"/>
      <c r="J126" s="70"/>
      <c r="K126" s="70"/>
      <c r="L126" s="70"/>
      <c r="M126" s="69">
        <f>SUM(H126:L126)*'Tax and Depreciation'!$F$13</f>
        <v>21.440197608447804</v>
      </c>
      <c r="N126" s="69">
        <f t="shared" si="19"/>
        <v>122.76</v>
      </c>
      <c r="O126" s="69">
        <f t="shared" si="20"/>
        <v>10.23</v>
      </c>
    </row>
    <row r="127" spans="1:15" x14ac:dyDescent="0.3">
      <c r="A127" s="39"/>
    </row>
    <row r="128" spans="1:15" x14ac:dyDescent="0.3">
      <c r="A128" s="39"/>
    </row>
  </sheetData>
  <pageMargins left="0.7" right="0.7" top="0.75" bottom="0.75" header="0.3" footer="0.3"/>
  <pageSetup scale="45" fitToHeight="0" orientation="landscape" r:id="rId1"/>
  <rowBreaks count="1" manualBreakCount="1">
    <brk id="7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1"/>
  <sheetViews>
    <sheetView zoomScaleNormal="100" workbookViewId="0">
      <selection activeCell="E22" sqref="E22"/>
    </sheetView>
  </sheetViews>
  <sheetFormatPr defaultColWidth="9.140625" defaultRowHeight="13.5" x14ac:dyDescent="0.25"/>
  <cols>
    <col min="1" max="2" width="9.140625" style="3"/>
    <col min="3" max="3" width="30.28515625" style="3" customWidth="1"/>
    <col min="4" max="7" width="17.140625" style="3" customWidth="1"/>
    <col min="8" max="16384" width="9.140625" style="3"/>
  </cols>
  <sheetData>
    <row r="1" spans="1:7" ht="15.75" x14ac:dyDescent="0.25">
      <c r="A1" s="58" t="s">
        <v>3</v>
      </c>
    </row>
    <row r="2" spans="1:7" ht="15.75" x14ac:dyDescent="0.25">
      <c r="A2" s="58" t="s">
        <v>5</v>
      </c>
    </row>
    <row r="4" spans="1:7" x14ac:dyDescent="0.25">
      <c r="B4" s="15" t="s">
        <v>26</v>
      </c>
      <c r="C4" s="13"/>
      <c r="D4" s="13"/>
      <c r="E4" s="13"/>
      <c r="F4" s="13"/>
      <c r="G4" s="12"/>
    </row>
    <row r="5" spans="1:7" x14ac:dyDescent="0.25">
      <c r="B5" s="120" t="s">
        <v>143</v>
      </c>
      <c r="C5" s="120"/>
      <c r="D5" s="59" t="s">
        <v>144</v>
      </c>
      <c r="E5" s="37" t="s">
        <v>145</v>
      </c>
      <c r="F5" s="37" t="s">
        <v>146</v>
      </c>
      <c r="G5" s="37" t="s">
        <v>147</v>
      </c>
    </row>
    <row r="6" spans="1:7" ht="13.5" customHeight="1" x14ac:dyDescent="0.25">
      <c r="A6" s="96" t="s">
        <v>148</v>
      </c>
      <c r="B6" s="121"/>
      <c r="C6" s="121"/>
      <c r="D6" s="113" t="s">
        <v>149</v>
      </c>
      <c r="E6" s="115" t="s">
        <v>150</v>
      </c>
      <c r="F6" s="113" t="s">
        <v>151</v>
      </c>
      <c r="G6" s="117" t="s">
        <v>152</v>
      </c>
    </row>
    <row r="7" spans="1:7" x14ac:dyDescent="0.25">
      <c r="A7" s="111" t="s">
        <v>153</v>
      </c>
      <c r="B7" s="120"/>
      <c r="C7" s="120"/>
      <c r="D7" s="114"/>
      <c r="E7" s="116"/>
      <c r="F7" s="114"/>
      <c r="G7" s="118"/>
    </row>
    <row r="8" spans="1:7" x14ac:dyDescent="0.25">
      <c r="A8" s="112">
        <v>1</v>
      </c>
      <c r="B8" s="119" t="s">
        <v>154</v>
      </c>
      <c r="C8" s="119"/>
      <c r="D8" s="97">
        <v>1694149</v>
      </c>
      <c r="E8" s="98">
        <f>ROUND(D8/$D$15,5)</f>
        <v>0.50170000000000003</v>
      </c>
      <c r="F8" s="98">
        <v>5.0299999999999997E-2</v>
      </c>
      <c r="G8" s="99">
        <f t="shared" ref="G8:G14" si="0">ROUND(E8*F8,4)</f>
        <v>2.52E-2</v>
      </c>
    </row>
    <row r="9" spans="1:7" x14ac:dyDescent="0.25">
      <c r="A9" s="112">
        <f>A8+1</f>
        <v>2</v>
      </c>
      <c r="B9" s="119" t="s">
        <v>155</v>
      </c>
      <c r="C9" s="119"/>
      <c r="D9" s="97">
        <v>59784</v>
      </c>
      <c r="E9" s="98">
        <f t="shared" ref="E9:E14" si="1">ROUND(D9/$D$15,5)</f>
        <v>1.77E-2</v>
      </c>
      <c r="F9" s="98">
        <v>5.3699999999999998E-2</v>
      </c>
      <c r="G9" s="99">
        <f t="shared" si="0"/>
        <v>1E-3</v>
      </c>
    </row>
    <row r="10" spans="1:7" x14ac:dyDescent="0.25">
      <c r="A10" s="112">
        <f t="shared" ref="A10:A15" si="2">A9+1</f>
        <v>3</v>
      </c>
      <c r="B10" s="119" t="s">
        <v>156</v>
      </c>
      <c r="C10" s="119"/>
      <c r="D10" s="97">
        <v>1357890</v>
      </c>
      <c r="E10" s="98">
        <f t="shared" si="1"/>
        <v>0.40211999999999998</v>
      </c>
      <c r="F10" s="100">
        <v>0.1032</v>
      </c>
      <c r="G10" s="99">
        <f t="shared" si="0"/>
        <v>4.1500000000000002E-2</v>
      </c>
    </row>
    <row r="11" spans="1:7" x14ac:dyDescent="0.25">
      <c r="A11" s="112">
        <f t="shared" si="2"/>
        <v>4</v>
      </c>
      <c r="B11" s="119" t="s">
        <v>157</v>
      </c>
      <c r="C11" s="119"/>
      <c r="D11" s="97">
        <v>30723</v>
      </c>
      <c r="E11" s="98">
        <f t="shared" si="1"/>
        <v>9.1000000000000004E-3</v>
      </c>
      <c r="F11" s="98">
        <v>0.06</v>
      </c>
      <c r="G11" s="99">
        <f t="shared" si="0"/>
        <v>5.0000000000000001E-4</v>
      </c>
    </row>
    <row r="12" spans="1:7" x14ac:dyDescent="0.25">
      <c r="A12" s="112">
        <f t="shared" si="2"/>
        <v>5</v>
      </c>
      <c r="B12" s="123" t="s">
        <v>158</v>
      </c>
      <c r="C12" s="123"/>
      <c r="D12" s="97">
        <v>-158188</v>
      </c>
      <c r="E12" s="98">
        <f t="shared" si="1"/>
        <v>-4.6850000000000003E-2</v>
      </c>
      <c r="F12" s="99">
        <v>0</v>
      </c>
      <c r="G12" s="99">
        <f t="shared" si="0"/>
        <v>0</v>
      </c>
    </row>
    <row r="13" spans="1:7" x14ac:dyDescent="0.25">
      <c r="A13" s="112">
        <f t="shared" si="2"/>
        <v>6</v>
      </c>
      <c r="B13" s="123" t="s">
        <v>159</v>
      </c>
      <c r="C13" s="123"/>
      <c r="D13" s="97">
        <v>390758</v>
      </c>
      <c r="E13" s="98">
        <f t="shared" si="1"/>
        <v>0.11572</v>
      </c>
      <c r="F13" s="99">
        <v>0</v>
      </c>
      <c r="G13" s="99">
        <f t="shared" si="0"/>
        <v>0</v>
      </c>
    </row>
    <row r="14" spans="1:7" x14ac:dyDescent="0.25">
      <c r="A14" s="112">
        <f t="shared" si="2"/>
        <v>7</v>
      </c>
      <c r="B14" s="119" t="s">
        <v>160</v>
      </c>
      <c r="C14" s="119"/>
      <c r="D14" s="97">
        <v>1721</v>
      </c>
      <c r="E14" s="98">
        <f t="shared" si="1"/>
        <v>5.1000000000000004E-4</v>
      </c>
      <c r="F14" s="99">
        <f>ROUND(D8/SUM(D8:D10)*F8,4)+ROUND(D9/SUM(D8:D10)*F9,4)+ROUND(D10/SUM(D8:D10)*F10,4)</f>
        <v>7.3399999999999993E-2</v>
      </c>
      <c r="G14" s="99">
        <f t="shared" si="0"/>
        <v>0</v>
      </c>
    </row>
    <row r="15" spans="1:7" ht="14.25" thickBot="1" x14ac:dyDescent="0.3">
      <c r="A15" s="112">
        <f t="shared" si="2"/>
        <v>8</v>
      </c>
      <c r="B15" s="122" t="s">
        <v>161</v>
      </c>
      <c r="C15" s="122"/>
      <c r="D15" s="101">
        <f>SUM(D8:D14)</f>
        <v>3376837</v>
      </c>
      <c r="E15" s="102">
        <f>SUM(E8:E14)</f>
        <v>1.0000000000000002</v>
      </c>
      <c r="F15" s="102"/>
      <c r="G15" s="103">
        <f>SUM(G8:G14)</f>
        <v>6.8200000000000011E-2</v>
      </c>
    </row>
    <row r="16" spans="1:7" ht="14.25" thickTop="1" x14ac:dyDescent="0.25"/>
    <row r="17" spans="1:6" x14ac:dyDescent="0.25">
      <c r="A17" s="112">
        <f>A15+1</f>
        <v>9</v>
      </c>
      <c r="B17" s="104" t="s">
        <v>162</v>
      </c>
      <c r="C17" s="104"/>
      <c r="D17" s="104"/>
      <c r="E17" s="104"/>
      <c r="F17" s="104">
        <v>1.2389699999999999</v>
      </c>
    </row>
    <row r="20" spans="1:6" x14ac:dyDescent="0.25">
      <c r="B20" s="105" t="s">
        <v>163</v>
      </c>
      <c r="C20" s="3" t="s">
        <v>164</v>
      </c>
    </row>
    <row r="21" spans="1:6" x14ac:dyDescent="0.25">
      <c r="B21" s="105"/>
      <c r="C21" s="12"/>
    </row>
  </sheetData>
  <mergeCells count="14">
    <mergeCell ref="B5:C5"/>
    <mergeCell ref="B6:C7"/>
    <mergeCell ref="B15:C15"/>
    <mergeCell ref="B10:C10"/>
    <mergeCell ref="B11:C11"/>
    <mergeCell ref="B12:C12"/>
    <mergeCell ref="B13:C13"/>
    <mergeCell ref="B14:C14"/>
    <mergeCell ref="B9:C9"/>
    <mergeCell ref="D6:D7"/>
    <mergeCell ref="E6:E7"/>
    <mergeCell ref="F6:F7"/>
    <mergeCell ref="G6:G7"/>
    <mergeCell ref="B8:C8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18"/>
  <sheetViews>
    <sheetView zoomScaleNormal="100" workbookViewId="0">
      <selection activeCell="E22" sqref="E22"/>
    </sheetView>
  </sheetViews>
  <sheetFormatPr defaultColWidth="9.140625" defaultRowHeight="13.5" x14ac:dyDescent="0.25"/>
  <cols>
    <col min="1" max="1" width="5" style="95" customWidth="1"/>
    <col min="2" max="2" width="22.140625" style="3" customWidth="1"/>
    <col min="3" max="3" width="10.28515625" style="3" customWidth="1"/>
    <col min="4" max="4" width="15.5703125" style="3" customWidth="1"/>
    <col min="5" max="5" width="11.140625" style="3" customWidth="1"/>
    <col min="6" max="6" width="11.5703125" style="3" bestFit="1" customWidth="1"/>
    <col min="7" max="7" width="27.42578125" style="3" customWidth="1"/>
    <col min="8" max="10" width="9.140625" style="3"/>
    <col min="11" max="11" width="12.140625" style="3" customWidth="1"/>
    <col min="12" max="12" width="9.140625" style="3"/>
    <col min="13" max="13" width="11.5703125" style="3" bestFit="1" customWidth="1"/>
    <col min="14" max="14" width="9.140625" style="3"/>
    <col min="15" max="15" width="11.5703125" style="3" bestFit="1" customWidth="1"/>
    <col min="16" max="16384" width="9.140625" style="3"/>
  </cols>
  <sheetData>
    <row r="1" spans="1:19" ht="15.75" x14ac:dyDescent="0.25">
      <c r="A1" s="58" t="s">
        <v>3</v>
      </c>
    </row>
    <row r="2" spans="1:19" ht="15.75" x14ac:dyDescent="0.25">
      <c r="A2" s="58" t="s">
        <v>5</v>
      </c>
    </row>
    <row r="3" spans="1:19" x14ac:dyDescent="0.25">
      <c r="A3" s="112"/>
      <c r="B3" s="17"/>
      <c r="C3" s="17"/>
      <c r="D3" s="18"/>
      <c r="E3" s="10"/>
      <c r="F3" s="12"/>
      <c r="G3" s="12"/>
      <c r="H3" s="12"/>
      <c r="I3" s="12"/>
      <c r="J3" s="10"/>
      <c r="K3" s="14"/>
      <c r="L3" s="14"/>
      <c r="M3" s="10"/>
      <c r="N3" s="12"/>
      <c r="O3" s="12"/>
      <c r="P3" s="12"/>
      <c r="Q3" s="12"/>
      <c r="R3" s="12"/>
      <c r="S3" s="10"/>
    </row>
    <row r="4" spans="1:19" x14ac:dyDescent="0.25">
      <c r="A4" s="112"/>
      <c r="B4" s="15" t="s">
        <v>165</v>
      </c>
      <c r="C4" s="12"/>
      <c r="D4" s="12"/>
      <c r="E4" s="10"/>
      <c r="F4" s="12"/>
      <c r="G4" s="12"/>
      <c r="H4" s="12"/>
      <c r="I4" s="13"/>
      <c r="J4" s="10"/>
      <c r="K4" s="14"/>
      <c r="L4" s="14"/>
      <c r="M4" s="10"/>
      <c r="N4" s="12"/>
      <c r="O4" s="12"/>
      <c r="P4" s="12"/>
      <c r="Q4" s="12"/>
      <c r="R4" s="12"/>
      <c r="S4" s="10"/>
    </row>
    <row r="5" spans="1:19" ht="27" x14ac:dyDescent="0.25">
      <c r="A5" s="106" t="s">
        <v>20</v>
      </c>
      <c r="B5" s="124" t="s">
        <v>143</v>
      </c>
      <c r="C5" s="124"/>
      <c r="D5" s="124"/>
      <c r="E5" s="107" t="s">
        <v>144</v>
      </c>
      <c r="F5" s="37" t="s">
        <v>145</v>
      </c>
      <c r="G5" s="12"/>
      <c r="H5" s="13"/>
      <c r="I5" s="13"/>
      <c r="J5" s="10"/>
      <c r="K5" s="14"/>
      <c r="L5" s="14"/>
      <c r="M5" s="10"/>
      <c r="N5" s="10"/>
      <c r="O5" s="10"/>
      <c r="P5" s="10"/>
      <c r="Q5" s="10"/>
      <c r="R5" s="10"/>
      <c r="S5" s="10"/>
    </row>
    <row r="6" spans="1:19" x14ac:dyDescent="0.25">
      <c r="A6" s="112"/>
      <c r="B6" s="13"/>
      <c r="C6" s="13"/>
      <c r="D6" s="13"/>
      <c r="E6" s="28" t="s">
        <v>166</v>
      </c>
      <c r="F6" s="28" t="s">
        <v>110</v>
      </c>
      <c r="G6" s="12"/>
      <c r="H6" s="13"/>
      <c r="I6" s="10"/>
      <c r="J6" s="10"/>
      <c r="K6" s="14"/>
      <c r="L6" s="14"/>
      <c r="M6" s="10"/>
      <c r="N6" s="10"/>
      <c r="O6" s="10"/>
      <c r="P6" s="10"/>
      <c r="Q6" s="10"/>
      <c r="R6" s="10"/>
      <c r="S6" s="10"/>
    </row>
    <row r="7" spans="1:19" x14ac:dyDescent="0.25">
      <c r="A7" s="112">
        <v>1</v>
      </c>
      <c r="B7" s="10" t="s">
        <v>167</v>
      </c>
      <c r="C7" s="10"/>
      <c r="D7" s="11"/>
      <c r="E7" s="108">
        <v>3.5000000000000001E-3</v>
      </c>
      <c r="F7" s="108">
        <v>8.0999999999999996E-3</v>
      </c>
      <c r="G7" s="12"/>
      <c r="H7" s="10"/>
      <c r="I7" s="10"/>
      <c r="J7" s="10"/>
      <c r="K7" s="14"/>
      <c r="L7" s="14"/>
      <c r="M7" s="10"/>
      <c r="N7" s="10"/>
      <c r="O7" s="10"/>
      <c r="P7" s="10"/>
      <c r="Q7" s="10"/>
      <c r="R7" s="10"/>
      <c r="S7" s="10"/>
    </row>
    <row r="8" spans="1:19" x14ac:dyDescent="0.25">
      <c r="A8" s="112">
        <f>A7+1</f>
        <v>2</v>
      </c>
      <c r="B8" s="10" t="s">
        <v>168</v>
      </c>
      <c r="C8" s="10"/>
      <c r="D8" s="11"/>
      <c r="E8" s="108">
        <v>5.8900000000000001E-2</v>
      </c>
      <c r="F8" s="108">
        <v>5.8900000000000001E-2</v>
      </c>
      <c r="G8" s="12"/>
      <c r="H8" s="10"/>
      <c r="I8" s="10"/>
      <c r="J8" s="10"/>
      <c r="K8" s="14"/>
      <c r="L8" s="14"/>
      <c r="M8" s="10"/>
      <c r="N8" s="10"/>
      <c r="O8" s="10"/>
      <c r="P8" s="10"/>
      <c r="Q8" s="10"/>
      <c r="R8" s="10"/>
      <c r="S8" s="10"/>
    </row>
    <row r="9" spans="1:19" x14ac:dyDescent="0.25">
      <c r="A9" s="112">
        <f>A8+1</f>
        <v>3</v>
      </c>
      <c r="B9" s="10" t="s">
        <v>169</v>
      </c>
      <c r="C9" s="10"/>
      <c r="D9" s="10"/>
      <c r="E9" s="108">
        <v>2.8545000000000001E-2</v>
      </c>
      <c r="F9" s="108">
        <v>2.8545000000000001E-2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x14ac:dyDescent="0.25">
      <c r="A10" s="112"/>
      <c r="B10" s="10"/>
      <c r="C10" s="10"/>
      <c r="D10" s="10"/>
      <c r="E10" s="10"/>
      <c r="F10" s="10"/>
      <c r="H10" s="10"/>
      <c r="I10" s="10"/>
      <c r="J10" s="10"/>
      <c r="K10" s="14"/>
      <c r="L10" s="14"/>
      <c r="M10" s="10"/>
      <c r="N10" s="10"/>
      <c r="O10" s="10"/>
      <c r="P10" s="10"/>
      <c r="Q10" s="10"/>
      <c r="R10" s="10"/>
      <c r="S10" s="10"/>
    </row>
    <row r="11" spans="1:19" x14ac:dyDescent="0.25">
      <c r="A11" s="112">
        <f>A9+1</f>
        <v>4</v>
      </c>
      <c r="B11" s="19" t="s">
        <v>170</v>
      </c>
      <c r="C11" s="19"/>
      <c r="D11" s="19"/>
      <c r="E11" s="109">
        <v>1.03</v>
      </c>
      <c r="F11" s="109">
        <v>1.03</v>
      </c>
      <c r="H11" s="10"/>
      <c r="I11" s="10"/>
      <c r="J11" s="10"/>
      <c r="K11" s="14"/>
      <c r="L11" s="14"/>
      <c r="M11" s="10"/>
      <c r="N11" s="10"/>
      <c r="O11" s="10"/>
      <c r="P11" s="10"/>
      <c r="Q11" s="10"/>
      <c r="R11" s="10"/>
      <c r="S11" s="10"/>
    </row>
    <row r="12" spans="1:19" x14ac:dyDescent="0.25">
      <c r="A12" s="112"/>
      <c r="B12" s="10"/>
      <c r="C12" s="10"/>
      <c r="D12" s="10"/>
      <c r="E12" s="10"/>
      <c r="F12" s="10"/>
      <c r="H12" s="16"/>
      <c r="I12" s="16"/>
      <c r="J12" s="10"/>
      <c r="K12" s="14"/>
      <c r="L12" s="14"/>
      <c r="M12" s="10"/>
      <c r="N12" s="10"/>
      <c r="O12" s="10"/>
      <c r="P12" s="10"/>
      <c r="Q12" s="10"/>
      <c r="R12" s="10"/>
      <c r="S12" s="10"/>
    </row>
    <row r="13" spans="1:19" x14ac:dyDescent="0.25">
      <c r="A13" s="112">
        <f>A11+1</f>
        <v>5</v>
      </c>
      <c r="B13" s="104" t="s">
        <v>171</v>
      </c>
      <c r="C13" s="104"/>
      <c r="D13" s="104"/>
      <c r="E13" s="104">
        <v>1.0201100000000001</v>
      </c>
      <c r="F13" s="104">
        <v>1.0201100000000001</v>
      </c>
      <c r="H13" s="16"/>
      <c r="I13" s="16"/>
      <c r="J13" s="10"/>
      <c r="K13" s="14"/>
      <c r="L13" s="14"/>
      <c r="M13" s="10"/>
      <c r="N13" s="10"/>
      <c r="O13" s="10"/>
      <c r="P13" s="10"/>
      <c r="Q13" s="10"/>
      <c r="R13" s="10"/>
      <c r="S13" s="10"/>
    </row>
    <row r="14" spans="1:19" x14ac:dyDescent="0.25">
      <c r="A14" s="112"/>
      <c r="B14" s="10"/>
      <c r="C14" s="10"/>
      <c r="D14" s="10"/>
      <c r="E14" s="10"/>
      <c r="F14" s="10"/>
      <c r="H14" s="16"/>
      <c r="I14" s="16"/>
      <c r="J14" s="10"/>
      <c r="K14" s="14"/>
      <c r="L14" s="14"/>
      <c r="M14" s="10"/>
      <c r="N14" s="10"/>
      <c r="O14" s="10"/>
      <c r="P14" s="10"/>
      <c r="Q14" s="10"/>
      <c r="R14" s="10"/>
      <c r="S14" s="10"/>
    </row>
    <row r="15" spans="1:19" x14ac:dyDescent="0.25">
      <c r="A15" s="112"/>
      <c r="B15" s="10"/>
      <c r="C15" s="10"/>
      <c r="D15" s="10"/>
      <c r="E15" s="10"/>
      <c r="F15" s="10"/>
      <c r="H15" s="16"/>
      <c r="I15" s="16"/>
      <c r="J15" s="10"/>
      <c r="K15" s="14"/>
      <c r="L15" s="14"/>
      <c r="M15" s="10"/>
      <c r="N15" s="10"/>
      <c r="O15" s="10"/>
      <c r="P15" s="10"/>
      <c r="Q15" s="10"/>
      <c r="R15" s="10"/>
      <c r="S15" s="10"/>
    </row>
    <row r="16" spans="1:19" x14ac:dyDescent="0.25">
      <c r="A16" s="112"/>
      <c r="B16" s="3" t="s">
        <v>172</v>
      </c>
      <c r="C16" s="17"/>
      <c r="D16" s="17"/>
      <c r="E16" s="17"/>
      <c r="F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2:2" x14ac:dyDescent="0.25">
      <c r="B17" s="12" t="s">
        <v>173</v>
      </c>
    </row>
    <row r="18" spans="2:2" x14ac:dyDescent="0.25">
      <c r="B18" s="12"/>
    </row>
  </sheetData>
  <mergeCells count="1">
    <mergeCell ref="B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K30"/>
  <sheetViews>
    <sheetView zoomScaleNormal="100" zoomScalePageLayoutView="85" workbookViewId="0">
      <selection activeCell="E22" sqref="E22"/>
    </sheetView>
  </sheetViews>
  <sheetFormatPr defaultColWidth="8.85546875" defaultRowHeight="13.5" x14ac:dyDescent="0.25"/>
  <cols>
    <col min="1" max="1" width="4.85546875" style="41" bestFit="1" customWidth="1"/>
    <col min="2" max="2" width="51" style="5" bestFit="1" customWidth="1"/>
    <col min="3" max="3" width="14.5703125" style="27" bestFit="1" customWidth="1"/>
    <col min="4" max="4" width="14" style="5" bestFit="1" customWidth="1"/>
    <col min="5" max="5" width="14.28515625" style="5" customWidth="1"/>
    <col min="6" max="6" width="18.42578125" style="5" bestFit="1" customWidth="1"/>
    <col min="7" max="7" width="18.5703125" style="5" customWidth="1"/>
    <col min="8" max="8" width="21.42578125" style="5" customWidth="1"/>
    <col min="9" max="9" width="8.140625" style="5" bestFit="1" customWidth="1"/>
    <col min="10" max="10" width="17.28515625" style="5" bestFit="1" customWidth="1"/>
    <col min="11" max="11" width="11.42578125" style="5" bestFit="1" customWidth="1"/>
    <col min="12" max="252" width="8.85546875" style="5"/>
    <col min="253" max="253" width="4.42578125" style="5" customWidth="1"/>
    <col min="254" max="254" width="42.85546875" style="5" bestFit="1" customWidth="1"/>
    <col min="255" max="255" width="0" style="5" hidden="1" customWidth="1"/>
    <col min="256" max="256" width="28.28515625" style="5" customWidth="1"/>
    <col min="257" max="257" width="31.42578125" style="5" bestFit="1" customWidth="1"/>
    <col min="258" max="258" width="17.42578125" style="5" bestFit="1" customWidth="1"/>
    <col min="259" max="259" width="19" style="5" customWidth="1"/>
    <col min="260" max="261" width="18.7109375" style="5" customWidth="1"/>
    <col min="262" max="262" width="20.140625" style="5" customWidth="1"/>
    <col min="263" max="263" width="20.28515625" style="5" bestFit="1" customWidth="1"/>
    <col min="264" max="264" width="21.42578125" style="5" customWidth="1"/>
    <col min="265" max="265" width="8.140625" style="5" bestFit="1" customWidth="1"/>
    <col min="266" max="266" width="17.28515625" style="5" bestFit="1" customWidth="1"/>
    <col min="267" max="267" width="11.42578125" style="5" bestFit="1" customWidth="1"/>
    <col min="268" max="508" width="8.85546875" style="5"/>
    <col min="509" max="509" width="4.42578125" style="5" customWidth="1"/>
    <col min="510" max="510" width="42.85546875" style="5" bestFit="1" customWidth="1"/>
    <col min="511" max="511" width="0" style="5" hidden="1" customWidth="1"/>
    <col min="512" max="512" width="28.28515625" style="5" customWidth="1"/>
    <col min="513" max="513" width="31.42578125" style="5" bestFit="1" customWidth="1"/>
    <col min="514" max="514" width="17.42578125" style="5" bestFit="1" customWidth="1"/>
    <col min="515" max="515" width="19" style="5" customWidth="1"/>
    <col min="516" max="517" width="18.7109375" style="5" customWidth="1"/>
    <col min="518" max="518" width="20.140625" style="5" customWidth="1"/>
    <col min="519" max="519" width="20.28515625" style="5" bestFit="1" customWidth="1"/>
    <col min="520" max="520" width="21.42578125" style="5" customWidth="1"/>
    <col min="521" max="521" width="8.140625" style="5" bestFit="1" customWidth="1"/>
    <col min="522" max="522" width="17.28515625" style="5" bestFit="1" customWidth="1"/>
    <col min="523" max="523" width="11.42578125" style="5" bestFit="1" customWidth="1"/>
    <col min="524" max="764" width="8.85546875" style="5"/>
    <col min="765" max="765" width="4.42578125" style="5" customWidth="1"/>
    <col min="766" max="766" width="42.85546875" style="5" bestFit="1" customWidth="1"/>
    <col min="767" max="767" width="0" style="5" hidden="1" customWidth="1"/>
    <col min="768" max="768" width="28.28515625" style="5" customWidth="1"/>
    <col min="769" max="769" width="31.42578125" style="5" bestFit="1" customWidth="1"/>
    <col min="770" max="770" width="17.42578125" style="5" bestFit="1" customWidth="1"/>
    <col min="771" max="771" width="19" style="5" customWidth="1"/>
    <col min="772" max="773" width="18.7109375" style="5" customWidth="1"/>
    <col min="774" max="774" width="20.140625" style="5" customWidth="1"/>
    <col min="775" max="775" width="20.28515625" style="5" bestFit="1" customWidth="1"/>
    <col min="776" max="776" width="21.42578125" style="5" customWidth="1"/>
    <col min="777" max="777" width="8.140625" style="5" bestFit="1" customWidth="1"/>
    <col min="778" max="778" width="17.28515625" style="5" bestFit="1" customWidth="1"/>
    <col min="779" max="779" width="11.42578125" style="5" bestFit="1" customWidth="1"/>
    <col min="780" max="1020" width="8.85546875" style="5"/>
    <col min="1021" max="1021" width="4.42578125" style="5" customWidth="1"/>
    <col min="1022" max="1022" width="42.85546875" style="5" bestFit="1" customWidth="1"/>
    <col min="1023" max="1023" width="0" style="5" hidden="1" customWidth="1"/>
    <col min="1024" max="1024" width="28.28515625" style="5" customWidth="1"/>
    <col min="1025" max="1025" width="31.42578125" style="5" bestFit="1" customWidth="1"/>
    <col min="1026" max="1026" width="17.42578125" style="5" bestFit="1" customWidth="1"/>
    <col min="1027" max="1027" width="19" style="5" customWidth="1"/>
    <col min="1028" max="1029" width="18.7109375" style="5" customWidth="1"/>
    <col min="1030" max="1030" width="20.140625" style="5" customWidth="1"/>
    <col min="1031" max="1031" width="20.28515625" style="5" bestFit="1" customWidth="1"/>
    <col min="1032" max="1032" width="21.42578125" style="5" customWidth="1"/>
    <col min="1033" max="1033" width="8.140625" style="5" bestFit="1" customWidth="1"/>
    <col min="1034" max="1034" width="17.28515625" style="5" bestFit="1" customWidth="1"/>
    <col min="1035" max="1035" width="11.42578125" style="5" bestFit="1" customWidth="1"/>
    <col min="1036" max="1276" width="8.85546875" style="5"/>
    <col min="1277" max="1277" width="4.42578125" style="5" customWidth="1"/>
    <col min="1278" max="1278" width="42.85546875" style="5" bestFit="1" customWidth="1"/>
    <col min="1279" max="1279" width="0" style="5" hidden="1" customWidth="1"/>
    <col min="1280" max="1280" width="28.28515625" style="5" customWidth="1"/>
    <col min="1281" max="1281" width="31.42578125" style="5" bestFit="1" customWidth="1"/>
    <col min="1282" max="1282" width="17.42578125" style="5" bestFit="1" customWidth="1"/>
    <col min="1283" max="1283" width="19" style="5" customWidth="1"/>
    <col min="1284" max="1285" width="18.7109375" style="5" customWidth="1"/>
    <col min="1286" max="1286" width="20.140625" style="5" customWidth="1"/>
    <col min="1287" max="1287" width="20.28515625" style="5" bestFit="1" customWidth="1"/>
    <col min="1288" max="1288" width="21.42578125" style="5" customWidth="1"/>
    <col min="1289" max="1289" width="8.140625" style="5" bestFit="1" customWidth="1"/>
    <col min="1290" max="1290" width="17.28515625" style="5" bestFit="1" customWidth="1"/>
    <col min="1291" max="1291" width="11.42578125" style="5" bestFit="1" customWidth="1"/>
    <col min="1292" max="1532" width="8.85546875" style="5"/>
    <col min="1533" max="1533" width="4.42578125" style="5" customWidth="1"/>
    <col min="1534" max="1534" width="42.85546875" style="5" bestFit="1" customWidth="1"/>
    <col min="1535" max="1535" width="0" style="5" hidden="1" customWidth="1"/>
    <col min="1536" max="1536" width="28.28515625" style="5" customWidth="1"/>
    <col min="1537" max="1537" width="31.42578125" style="5" bestFit="1" customWidth="1"/>
    <col min="1538" max="1538" width="17.42578125" style="5" bestFit="1" customWidth="1"/>
    <col min="1539" max="1539" width="19" style="5" customWidth="1"/>
    <col min="1540" max="1541" width="18.7109375" style="5" customWidth="1"/>
    <col min="1542" max="1542" width="20.140625" style="5" customWidth="1"/>
    <col min="1543" max="1543" width="20.28515625" style="5" bestFit="1" customWidth="1"/>
    <col min="1544" max="1544" width="21.42578125" style="5" customWidth="1"/>
    <col min="1545" max="1545" width="8.140625" style="5" bestFit="1" customWidth="1"/>
    <col min="1546" max="1546" width="17.28515625" style="5" bestFit="1" customWidth="1"/>
    <col min="1547" max="1547" width="11.42578125" style="5" bestFit="1" customWidth="1"/>
    <col min="1548" max="1788" width="8.85546875" style="5"/>
    <col min="1789" max="1789" width="4.42578125" style="5" customWidth="1"/>
    <col min="1790" max="1790" width="42.85546875" style="5" bestFit="1" customWidth="1"/>
    <col min="1791" max="1791" width="0" style="5" hidden="1" customWidth="1"/>
    <col min="1792" max="1792" width="28.28515625" style="5" customWidth="1"/>
    <col min="1793" max="1793" width="31.42578125" style="5" bestFit="1" customWidth="1"/>
    <col min="1794" max="1794" width="17.42578125" style="5" bestFit="1" customWidth="1"/>
    <col min="1795" max="1795" width="19" style="5" customWidth="1"/>
    <col min="1796" max="1797" width="18.7109375" style="5" customWidth="1"/>
    <col min="1798" max="1798" width="20.140625" style="5" customWidth="1"/>
    <col min="1799" max="1799" width="20.28515625" style="5" bestFit="1" customWidth="1"/>
    <col min="1800" max="1800" width="21.42578125" style="5" customWidth="1"/>
    <col min="1801" max="1801" width="8.140625" style="5" bestFit="1" customWidth="1"/>
    <col min="1802" max="1802" width="17.28515625" style="5" bestFit="1" customWidth="1"/>
    <col min="1803" max="1803" width="11.42578125" style="5" bestFit="1" customWidth="1"/>
    <col min="1804" max="2044" width="8.85546875" style="5"/>
    <col min="2045" max="2045" width="4.42578125" style="5" customWidth="1"/>
    <col min="2046" max="2046" width="42.85546875" style="5" bestFit="1" customWidth="1"/>
    <col min="2047" max="2047" width="0" style="5" hidden="1" customWidth="1"/>
    <col min="2048" max="2048" width="28.28515625" style="5" customWidth="1"/>
    <col min="2049" max="2049" width="31.42578125" style="5" bestFit="1" customWidth="1"/>
    <col min="2050" max="2050" width="17.42578125" style="5" bestFit="1" customWidth="1"/>
    <col min="2051" max="2051" width="19" style="5" customWidth="1"/>
    <col min="2052" max="2053" width="18.7109375" style="5" customWidth="1"/>
    <col min="2054" max="2054" width="20.140625" style="5" customWidth="1"/>
    <col min="2055" max="2055" width="20.28515625" style="5" bestFit="1" customWidth="1"/>
    <col min="2056" max="2056" width="21.42578125" style="5" customWidth="1"/>
    <col min="2057" max="2057" width="8.140625" style="5" bestFit="1" customWidth="1"/>
    <col min="2058" max="2058" width="17.28515625" style="5" bestFit="1" customWidth="1"/>
    <col min="2059" max="2059" width="11.42578125" style="5" bestFit="1" customWidth="1"/>
    <col min="2060" max="2300" width="8.85546875" style="5"/>
    <col min="2301" max="2301" width="4.42578125" style="5" customWidth="1"/>
    <col min="2302" max="2302" width="42.85546875" style="5" bestFit="1" customWidth="1"/>
    <col min="2303" max="2303" width="0" style="5" hidden="1" customWidth="1"/>
    <col min="2304" max="2304" width="28.28515625" style="5" customWidth="1"/>
    <col min="2305" max="2305" width="31.42578125" style="5" bestFit="1" customWidth="1"/>
    <col min="2306" max="2306" width="17.42578125" style="5" bestFit="1" customWidth="1"/>
    <col min="2307" max="2307" width="19" style="5" customWidth="1"/>
    <col min="2308" max="2309" width="18.7109375" style="5" customWidth="1"/>
    <col min="2310" max="2310" width="20.140625" style="5" customWidth="1"/>
    <col min="2311" max="2311" width="20.28515625" style="5" bestFit="1" customWidth="1"/>
    <col min="2312" max="2312" width="21.42578125" style="5" customWidth="1"/>
    <col min="2313" max="2313" width="8.140625" style="5" bestFit="1" customWidth="1"/>
    <col min="2314" max="2314" width="17.28515625" style="5" bestFit="1" customWidth="1"/>
    <col min="2315" max="2315" width="11.42578125" style="5" bestFit="1" customWidth="1"/>
    <col min="2316" max="2556" width="8.85546875" style="5"/>
    <col min="2557" max="2557" width="4.42578125" style="5" customWidth="1"/>
    <col min="2558" max="2558" width="42.85546875" style="5" bestFit="1" customWidth="1"/>
    <col min="2559" max="2559" width="0" style="5" hidden="1" customWidth="1"/>
    <col min="2560" max="2560" width="28.28515625" style="5" customWidth="1"/>
    <col min="2561" max="2561" width="31.42578125" style="5" bestFit="1" customWidth="1"/>
    <col min="2562" max="2562" width="17.42578125" style="5" bestFit="1" customWidth="1"/>
    <col min="2563" max="2563" width="19" style="5" customWidth="1"/>
    <col min="2564" max="2565" width="18.7109375" style="5" customWidth="1"/>
    <col min="2566" max="2566" width="20.140625" style="5" customWidth="1"/>
    <col min="2567" max="2567" width="20.28515625" style="5" bestFit="1" customWidth="1"/>
    <col min="2568" max="2568" width="21.42578125" style="5" customWidth="1"/>
    <col min="2569" max="2569" width="8.140625" style="5" bestFit="1" customWidth="1"/>
    <col min="2570" max="2570" width="17.28515625" style="5" bestFit="1" customWidth="1"/>
    <col min="2571" max="2571" width="11.42578125" style="5" bestFit="1" customWidth="1"/>
    <col min="2572" max="2812" width="8.85546875" style="5"/>
    <col min="2813" max="2813" width="4.42578125" style="5" customWidth="1"/>
    <col min="2814" max="2814" width="42.85546875" style="5" bestFit="1" customWidth="1"/>
    <col min="2815" max="2815" width="0" style="5" hidden="1" customWidth="1"/>
    <col min="2816" max="2816" width="28.28515625" style="5" customWidth="1"/>
    <col min="2817" max="2817" width="31.42578125" style="5" bestFit="1" customWidth="1"/>
    <col min="2818" max="2818" width="17.42578125" style="5" bestFit="1" customWidth="1"/>
    <col min="2819" max="2819" width="19" style="5" customWidth="1"/>
    <col min="2820" max="2821" width="18.7109375" style="5" customWidth="1"/>
    <col min="2822" max="2822" width="20.140625" style="5" customWidth="1"/>
    <col min="2823" max="2823" width="20.28515625" style="5" bestFit="1" customWidth="1"/>
    <col min="2824" max="2824" width="21.42578125" style="5" customWidth="1"/>
    <col min="2825" max="2825" width="8.140625" style="5" bestFit="1" customWidth="1"/>
    <col min="2826" max="2826" width="17.28515625" style="5" bestFit="1" customWidth="1"/>
    <col min="2827" max="2827" width="11.42578125" style="5" bestFit="1" customWidth="1"/>
    <col min="2828" max="3068" width="8.85546875" style="5"/>
    <col min="3069" max="3069" width="4.42578125" style="5" customWidth="1"/>
    <col min="3070" max="3070" width="42.85546875" style="5" bestFit="1" customWidth="1"/>
    <col min="3071" max="3071" width="0" style="5" hidden="1" customWidth="1"/>
    <col min="3072" max="3072" width="28.28515625" style="5" customWidth="1"/>
    <col min="3073" max="3073" width="31.42578125" style="5" bestFit="1" customWidth="1"/>
    <col min="3074" max="3074" width="17.42578125" style="5" bestFit="1" customWidth="1"/>
    <col min="3075" max="3075" width="19" style="5" customWidth="1"/>
    <col min="3076" max="3077" width="18.7109375" style="5" customWidth="1"/>
    <col min="3078" max="3078" width="20.140625" style="5" customWidth="1"/>
    <col min="3079" max="3079" width="20.28515625" style="5" bestFit="1" customWidth="1"/>
    <col min="3080" max="3080" width="21.42578125" style="5" customWidth="1"/>
    <col min="3081" max="3081" width="8.140625" style="5" bestFit="1" customWidth="1"/>
    <col min="3082" max="3082" width="17.28515625" style="5" bestFit="1" customWidth="1"/>
    <col min="3083" max="3083" width="11.42578125" style="5" bestFit="1" customWidth="1"/>
    <col min="3084" max="3324" width="8.85546875" style="5"/>
    <col min="3325" max="3325" width="4.42578125" style="5" customWidth="1"/>
    <col min="3326" max="3326" width="42.85546875" style="5" bestFit="1" customWidth="1"/>
    <col min="3327" max="3327" width="0" style="5" hidden="1" customWidth="1"/>
    <col min="3328" max="3328" width="28.28515625" style="5" customWidth="1"/>
    <col min="3329" max="3329" width="31.42578125" style="5" bestFit="1" customWidth="1"/>
    <col min="3330" max="3330" width="17.42578125" style="5" bestFit="1" customWidth="1"/>
    <col min="3331" max="3331" width="19" style="5" customWidth="1"/>
    <col min="3332" max="3333" width="18.7109375" style="5" customWidth="1"/>
    <col min="3334" max="3334" width="20.140625" style="5" customWidth="1"/>
    <col min="3335" max="3335" width="20.28515625" style="5" bestFit="1" customWidth="1"/>
    <col min="3336" max="3336" width="21.42578125" style="5" customWidth="1"/>
    <col min="3337" max="3337" width="8.140625" style="5" bestFit="1" customWidth="1"/>
    <col min="3338" max="3338" width="17.28515625" style="5" bestFit="1" customWidth="1"/>
    <col min="3339" max="3339" width="11.42578125" style="5" bestFit="1" customWidth="1"/>
    <col min="3340" max="3580" width="8.85546875" style="5"/>
    <col min="3581" max="3581" width="4.42578125" style="5" customWidth="1"/>
    <col min="3582" max="3582" width="42.85546875" style="5" bestFit="1" customWidth="1"/>
    <col min="3583" max="3583" width="0" style="5" hidden="1" customWidth="1"/>
    <col min="3584" max="3584" width="28.28515625" style="5" customWidth="1"/>
    <col min="3585" max="3585" width="31.42578125" style="5" bestFit="1" customWidth="1"/>
    <col min="3586" max="3586" width="17.42578125" style="5" bestFit="1" customWidth="1"/>
    <col min="3587" max="3587" width="19" style="5" customWidth="1"/>
    <col min="3588" max="3589" width="18.7109375" style="5" customWidth="1"/>
    <col min="3590" max="3590" width="20.140625" style="5" customWidth="1"/>
    <col min="3591" max="3591" width="20.28515625" style="5" bestFit="1" customWidth="1"/>
    <col min="3592" max="3592" width="21.42578125" style="5" customWidth="1"/>
    <col min="3593" max="3593" width="8.140625" style="5" bestFit="1" customWidth="1"/>
    <col min="3594" max="3594" width="17.28515625" style="5" bestFit="1" customWidth="1"/>
    <col min="3595" max="3595" width="11.42578125" style="5" bestFit="1" customWidth="1"/>
    <col min="3596" max="3836" width="8.85546875" style="5"/>
    <col min="3837" max="3837" width="4.42578125" style="5" customWidth="1"/>
    <col min="3838" max="3838" width="42.85546875" style="5" bestFit="1" customWidth="1"/>
    <col min="3839" max="3839" width="0" style="5" hidden="1" customWidth="1"/>
    <col min="3840" max="3840" width="28.28515625" style="5" customWidth="1"/>
    <col min="3841" max="3841" width="31.42578125" style="5" bestFit="1" customWidth="1"/>
    <col min="3842" max="3842" width="17.42578125" style="5" bestFit="1" customWidth="1"/>
    <col min="3843" max="3843" width="19" style="5" customWidth="1"/>
    <col min="3844" max="3845" width="18.7109375" style="5" customWidth="1"/>
    <col min="3846" max="3846" width="20.140625" style="5" customWidth="1"/>
    <col min="3847" max="3847" width="20.28515625" style="5" bestFit="1" customWidth="1"/>
    <col min="3848" max="3848" width="21.42578125" style="5" customWidth="1"/>
    <col min="3849" max="3849" width="8.140625" style="5" bestFit="1" customWidth="1"/>
    <col min="3850" max="3850" width="17.28515625" style="5" bestFit="1" customWidth="1"/>
    <col min="3851" max="3851" width="11.42578125" style="5" bestFit="1" customWidth="1"/>
    <col min="3852" max="4092" width="8.85546875" style="5"/>
    <col min="4093" max="4093" width="4.42578125" style="5" customWidth="1"/>
    <col min="4094" max="4094" width="42.85546875" style="5" bestFit="1" customWidth="1"/>
    <col min="4095" max="4095" width="0" style="5" hidden="1" customWidth="1"/>
    <col min="4096" max="4096" width="28.28515625" style="5" customWidth="1"/>
    <col min="4097" max="4097" width="31.42578125" style="5" bestFit="1" customWidth="1"/>
    <col min="4098" max="4098" width="17.42578125" style="5" bestFit="1" customWidth="1"/>
    <col min="4099" max="4099" width="19" style="5" customWidth="1"/>
    <col min="4100" max="4101" width="18.7109375" style="5" customWidth="1"/>
    <col min="4102" max="4102" width="20.140625" style="5" customWidth="1"/>
    <col min="4103" max="4103" width="20.28515625" style="5" bestFit="1" customWidth="1"/>
    <col min="4104" max="4104" width="21.42578125" style="5" customWidth="1"/>
    <col min="4105" max="4105" width="8.140625" style="5" bestFit="1" customWidth="1"/>
    <col min="4106" max="4106" width="17.28515625" style="5" bestFit="1" customWidth="1"/>
    <col min="4107" max="4107" width="11.42578125" style="5" bestFit="1" customWidth="1"/>
    <col min="4108" max="4348" width="8.85546875" style="5"/>
    <col min="4349" max="4349" width="4.42578125" style="5" customWidth="1"/>
    <col min="4350" max="4350" width="42.85546875" style="5" bestFit="1" customWidth="1"/>
    <col min="4351" max="4351" width="0" style="5" hidden="1" customWidth="1"/>
    <col min="4352" max="4352" width="28.28515625" style="5" customWidth="1"/>
    <col min="4353" max="4353" width="31.42578125" style="5" bestFit="1" customWidth="1"/>
    <col min="4354" max="4354" width="17.42578125" style="5" bestFit="1" customWidth="1"/>
    <col min="4355" max="4355" width="19" style="5" customWidth="1"/>
    <col min="4356" max="4357" width="18.7109375" style="5" customWidth="1"/>
    <col min="4358" max="4358" width="20.140625" style="5" customWidth="1"/>
    <col min="4359" max="4359" width="20.28515625" style="5" bestFit="1" customWidth="1"/>
    <col min="4360" max="4360" width="21.42578125" style="5" customWidth="1"/>
    <col min="4361" max="4361" width="8.140625" style="5" bestFit="1" customWidth="1"/>
    <col min="4362" max="4362" width="17.28515625" style="5" bestFit="1" customWidth="1"/>
    <col min="4363" max="4363" width="11.42578125" style="5" bestFit="1" customWidth="1"/>
    <col min="4364" max="4604" width="8.85546875" style="5"/>
    <col min="4605" max="4605" width="4.42578125" style="5" customWidth="1"/>
    <col min="4606" max="4606" width="42.85546875" style="5" bestFit="1" customWidth="1"/>
    <col min="4607" max="4607" width="0" style="5" hidden="1" customWidth="1"/>
    <col min="4608" max="4608" width="28.28515625" style="5" customWidth="1"/>
    <col min="4609" max="4609" width="31.42578125" style="5" bestFit="1" customWidth="1"/>
    <col min="4610" max="4610" width="17.42578125" style="5" bestFit="1" customWidth="1"/>
    <col min="4611" max="4611" width="19" style="5" customWidth="1"/>
    <col min="4612" max="4613" width="18.7109375" style="5" customWidth="1"/>
    <col min="4614" max="4614" width="20.140625" style="5" customWidth="1"/>
    <col min="4615" max="4615" width="20.28515625" style="5" bestFit="1" customWidth="1"/>
    <col min="4616" max="4616" width="21.42578125" style="5" customWidth="1"/>
    <col min="4617" max="4617" width="8.140625" style="5" bestFit="1" customWidth="1"/>
    <col min="4618" max="4618" width="17.28515625" style="5" bestFit="1" customWidth="1"/>
    <col min="4619" max="4619" width="11.42578125" style="5" bestFit="1" customWidth="1"/>
    <col min="4620" max="4860" width="8.85546875" style="5"/>
    <col min="4861" max="4861" width="4.42578125" style="5" customWidth="1"/>
    <col min="4862" max="4862" width="42.85546875" style="5" bestFit="1" customWidth="1"/>
    <col min="4863" max="4863" width="0" style="5" hidden="1" customWidth="1"/>
    <col min="4864" max="4864" width="28.28515625" style="5" customWidth="1"/>
    <col min="4865" max="4865" width="31.42578125" style="5" bestFit="1" customWidth="1"/>
    <col min="4866" max="4866" width="17.42578125" style="5" bestFit="1" customWidth="1"/>
    <col min="4867" max="4867" width="19" style="5" customWidth="1"/>
    <col min="4868" max="4869" width="18.7109375" style="5" customWidth="1"/>
    <col min="4870" max="4870" width="20.140625" style="5" customWidth="1"/>
    <col min="4871" max="4871" width="20.28515625" style="5" bestFit="1" customWidth="1"/>
    <col min="4872" max="4872" width="21.42578125" style="5" customWidth="1"/>
    <col min="4873" max="4873" width="8.140625" style="5" bestFit="1" customWidth="1"/>
    <col min="4874" max="4874" width="17.28515625" style="5" bestFit="1" customWidth="1"/>
    <col min="4875" max="4875" width="11.42578125" style="5" bestFit="1" customWidth="1"/>
    <col min="4876" max="5116" width="8.85546875" style="5"/>
    <col min="5117" max="5117" width="4.42578125" style="5" customWidth="1"/>
    <col min="5118" max="5118" width="42.85546875" style="5" bestFit="1" customWidth="1"/>
    <col min="5119" max="5119" width="0" style="5" hidden="1" customWidth="1"/>
    <col min="5120" max="5120" width="28.28515625" style="5" customWidth="1"/>
    <col min="5121" max="5121" width="31.42578125" style="5" bestFit="1" customWidth="1"/>
    <col min="5122" max="5122" width="17.42578125" style="5" bestFit="1" customWidth="1"/>
    <col min="5123" max="5123" width="19" style="5" customWidth="1"/>
    <col min="5124" max="5125" width="18.7109375" style="5" customWidth="1"/>
    <col min="5126" max="5126" width="20.140625" style="5" customWidth="1"/>
    <col min="5127" max="5127" width="20.28515625" style="5" bestFit="1" customWidth="1"/>
    <col min="5128" max="5128" width="21.42578125" style="5" customWidth="1"/>
    <col min="5129" max="5129" width="8.140625" style="5" bestFit="1" customWidth="1"/>
    <col min="5130" max="5130" width="17.28515625" style="5" bestFit="1" customWidth="1"/>
    <col min="5131" max="5131" width="11.42578125" style="5" bestFit="1" customWidth="1"/>
    <col min="5132" max="5372" width="8.85546875" style="5"/>
    <col min="5373" max="5373" width="4.42578125" style="5" customWidth="1"/>
    <col min="5374" max="5374" width="42.85546875" style="5" bestFit="1" customWidth="1"/>
    <col min="5375" max="5375" width="0" style="5" hidden="1" customWidth="1"/>
    <col min="5376" max="5376" width="28.28515625" style="5" customWidth="1"/>
    <col min="5377" max="5377" width="31.42578125" style="5" bestFit="1" customWidth="1"/>
    <col min="5378" max="5378" width="17.42578125" style="5" bestFit="1" customWidth="1"/>
    <col min="5379" max="5379" width="19" style="5" customWidth="1"/>
    <col min="5380" max="5381" width="18.7109375" style="5" customWidth="1"/>
    <col min="5382" max="5382" width="20.140625" style="5" customWidth="1"/>
    <col min="5383" max="5383" width="20.28515625" style="5" bestFit="1" customWidth="1"/>
    <col min="5384" max="5384" width="21.42578125" style="5" customWidth="1"/>
    <col min="5385" max="5385" width="8.140625" style="5" bestFit="1" customWidth="1"/>
    <col min="5386" max="5386" width="17.28515625" style="5" bestFit="1" customWidth="1"/>
    <col min="5387" max="5387" width="11.42578125" style="5" bestFit="1" customWidth="1"/>
    <col min="5388" max="5628" width="8.85546875" style="5"/>
    <col min="5629" max="5629" width="4.42578125" style="5" customWidth="1"/>
    <col min="5630" max="5630" width="42.85546875" style="5" bestFit="1" customWidth="1"/>
    <col min="5631" max="5631" width="0" style="5" hidden="1" customWidth="1"/>
    <col min="5632" max="5632" width="28.28515625" style="5" customWidth="1"/>
    <col min="5633" max="5633" width="31.42578125" style="5" bestFit="1" customWidth="1"/>
    <col min="5634" max="5634" width="17.42578125" style="5" bestFit="1" customWidth="1"/>
    <col min="5635" max="5635" width="19" style="5" customWidth="1"/>
    <col min="5636" max="5637" width="18.7109375" style="5" customWidth="1"/>
    <col min="5638" max="5638" width="20.140625" style="5" customWidth="1"/>
    <col min="5639" max="5639" width="20.28515625" style="5" bestFit="1" customWidth="1"/>
    <col min="5640" max="5640" width="21.42578125" style="5" customWidth="1"/>
    <col min="5641" max="5641" width="8.140625" style="5" bestFit="1" customWidth="1"/>
    <col min="5642" max="5642" width="17.28515625" style="5" bestFit="1" customWidth="1"/>
    <col min="5643" max="5643" width="11.42578125" style="5" bestFit="1" customWidth="1"/>
    <col min="5644" max="5884" width="8.85546875" style="5"/>
    <col min="5885" max="5885" width="4.42578125" style="5" customWidth="1"/>
    <col min="5886" max="5886" width="42.85546875" style="5" bestFit="1" customWidth="1"/>
    <col min="5887" max="5887" width="0" style="5" hidden="1" customWidth="1"/>
    <col min="5888" max="5888" width="28.28515625" style="5" customWidth="1"/>
    <col min="5889" max="5889" width="31.42578125" style="5" bestFit="1" customWidth="1"/>
    <col min="5890" max="5890" width="17.42578125" style="5" bestFit="1" customWidth="1"/>
    <col min="5891" max="5891" width="19" style="5" customWidth="1"/>
    <col min="5892" max="5893" width="18.7109375" style="5" customWidth="1"/>
    <col min="5894" max="5894" width="20.140625" style="5" customWidth="1"/>
    <col min="5895" max="5895" width="20.28515625" style="5" bestFit="1" customWidth="1"/>
    <col min="5896" max="5896" width="21.42578125" style="5" customWidth="1"/>
    <col min="5897" max="5897" width="8.140625" style="5" bestFit="1" customWidth="1"/>
    <col min="5898" max="5898" width="17.28515625" style="5" bestFit="1" customWidth="1"/>
    <col min="5899" max="5899" width="11.42578125" style="5" bestFit="1" customWidth="1"/>
    <col min="5900" max="6140" width="8.85546875" style="5"/>
    <col min="6141" max="6141" width="4.42578125" style="5" customWidth="1"/>
    <col min="6142" max="6142" width="42.85546875" style="5" bestFit="1" customWidth="1"/>
    <col min="6143" max="6143" width="0" style="5" hidden="1" customWidth="1"/>
    <col min="6144" max="6144" width="28.28515625" style="5" customWidth="1"/>
    <col min="6145" max="6145" width="31.42578125" style="5" bestFit="1" customWidth="1"/>
    <col min="6146" max="6146" width="17.42578125" style="5" bestFit="1" customWidth="1"/>
    <col min="6147" max="6147" width="19" style="5" customWidth="1"/>
    <col min="6148" max="6149" width="18.7109375" style="5" customWidth="1"/>
    <col min="6150" max="6150" width="20.140625" style="5" customWidth="1"/>
    <col min="6151" max="6151" width="20.28515625" style="5" bestFit="1" customWidth="1"/>
    <col min="6152" max="6152" width="21.42578125" style="5" customWidth="1"/>
    <col min="6153" max="6153" width="8.140625" style="5" bestFit="1" customWidth="1"/>
    <col min="6154" max="6154" width="17.28515625" style="5" bestFit="1" customWidth="1"/>
    <col min="6155" max="6155" width="11.42578125" style="5" bestFit="1" customWidth="1"/>
    <col min="6156" max="6396" width="8.85546875" style="5"/>
    <col min="6397" max="6397" width="4.42578125" style="5" customWidth="1"/>
    <col min="6398" max="6398" width="42.85546875" style="5" bestFit="1" customWidth="1"/>
    <col min="6399" max="6399" width="0" style="5" hidden="1" customWidth="1"/>
    <col min="6400" max="6400" width="28.28515625" style="5" customWidth="1"/>
    <col min="6401" max="6401" width="31.42578125" style="5" bestFit="1" customWidth="1"/>
    <col min="6402" max="6402" width="17.42578125" style="5" bestFit="1" customWidth="1"/>
    <col min="6403" max="6403" width="19" style="5" customWidth="1"/>
    <col min="6404" max="6405" width="18.7109375" style="5" customWidth="1"/>
    <col min="6406" max="6406" width="20.140625" style="5" customWidth="1"/>
    <col min="6407" max="6407" width="20.28515625" style="5" bestFit="1" customWidth="1"/>
    <col min="6408" max="6408" width="21.42578125" style="5" customWidth="1"/>
    <col min="6409" max="6409" width="8.140625" style="5" bestFit="1" customWidth="1"/>
    <col min="6410" max="6410" width="17.28515625" style="5" bestFit="1" customWidth="1"/>
    <col min="6411" max="6411" width="11.42578125" style="5" bestFit="1" customWidth="1"/>
    <col min="6412" max="6652" width="8.85546875" style="5"/>
    <col min="6653" max="6653" width="4.42578125" style="5" customWidth="1"/>
    <col min="6654" max="6654" width="42.85546875" style="5" bestFit="1" customWidth="1"/>
    <col min="6655" max="6655" width="0" style="5" hidden="1" customWidth="1"/>
    <col min="6656" max="6656" width="28.28515625" style="5" customWidth="1"/>
    <col min="6657" max="6657" width="31.42578125" style="5" bestFit="1" customWidth="1"/>
    <col min="6658" max="6658" width="17.42578125" style="5" bestFit="1" customWidth="1"/>
    <col min="6659" max="6659" width="19" style="5" customWidth="1"/>
    <col min="6660" max="6661" width="18.7109375" style="5" customWidth="1"/>
    <col min="6662" max="6662" width="20.140625" style="5" customWidth="1"/>
    <col min="6663" max="6663" width="20.28515625" style="5" bestFit="1" customWidth="1"/>
    <col min="6664" max="6664" width="21.42578125" style="5" customWidth="1"/>
    <col min="6665" max="6665" width="8.140625" style="5" bestFit="1" customWidth="1"/>
    <col min="6666" max="6666" width="17.28515625" style="5" bestFit="1" customWidth="1"/>
    <col min="6667" max="6667" width="11.42578125" style="5" bestFit="1" customWidth="1"/>
    <col min="6668" max="6908" width="8.85546875" style="5"/>
    <col min="6909" max="6909" width="4.42578125" style="5" customWidth="1"/>
    <col min="6910" max="6910" width="42.85546875" style="5" bestFit="1" customWidth="1"/>
    <col min="6911" max="6911" width="0" style="5" hidden="1" customWidth="1"/>
    <col min="6912" max="6912" width="28.28515625" style="5" customWidth="1"/>
    <col min="6913" max="6913" width="31.42578125" style="5" bestFit="1" customWidth="1"/>
    <col min="6914" max="6914" width="17.42578125" style="5" bestFit="1" customWidth="1"/>
    <col min="6915" max="6915" width="19" style="5" customWidth="1"/>
    <col min="6916" max="6917" width="18.7109375" style="5" customWidth="1"/>
    <col min="6918" max="6918" width="20.140625" style="5" customWidth="1"/>
    <col min="6919" max="6919" width="20.28515625" style="5" bestFit="1" customWidth="1"/>
    <col min="6920" max="6920" width="21.42578125" style="5" customWidth="1"/>
    <col min="6921" max="6921" width="8.140625" style="5" bestFit="1" customWidth="1"/>
    <col min="6922" max="6922" width="17.28515625" style="5" bestFit="1" customWidth="1"/>
    <col min="6923" max="6923" width="11.42578125" style="5" bestFit="1" customWidth="1"/>
    <col min="6924" max="7164" width="8.85546875" style="5"/>
    <col min="7165" max="7165" width="4.42578125" style="5" customWidth="1"/>
    <col min="7166" max="7166" width="42.85546875" style="5" bestFit="1" customWidth="1"/>
    <col min="7167" max="7167" width="0" style="5" hidden="1" customWidth="1"/>
    <col min="7168" max="7168" width="28.28515625" style="5" customWidth="1"/>
    <col min="7169" max="7169" width="31.42578125" style="5" bestFit="1" customWidth="1"/>
    <col min="7170" max="7170" width="17.42578125" style="5" bestFit="1" customWidth="1"/>
    <col min="7171" max="7171" width="19" style="5" customWidth="1"/>
    <col min="7172" max="7173" width="18.7109375" style="5" customWidth="1"/>
    <col min="7174" max="7174" width="20.140625" style="5" customWidth="1"/>
    <col min="7175" max="7175" width="20.28515625" style="5" bestFit="1" customWidth="1"/>
    <col min="7176" max="7176" width="21.42578125" style="5" customWidth="1"/>
    <col min="7177" max="7177" width="8.140625" style="5" bestFit="1" customWidth="1"/>
    <col min="7178" max="7178" width="17.28515625" style="5" bestFit="1" customWidth="1"/>
    <col min="7179" max="7179" width="11.42578125" style="5" bestFit="1" customWidth="1"/>
    <col min="7180" max="7420" width="8.85546875" style="5"/>
    <col min="7421" max="7421" width="4.42578125" style="5" customWidth="1"/>
    <col min="7422" max="7422" width="42.85546875" style="5" bestFit="1" customWidth="1"/>
    <col min="7423" max="7423" width="0" style="5" hidden="1" customWidth="1"/>
    <col min="7424" max="7424" width="28.28515625" style="5" customWidth="1"/>
    <col min="7425" max="7425" width="31.42578125" style="5" bestFit="1" customWidth="1"/>
    <col min="7426" max="7426" width="17.42578125" style="5" bestFit="1" customWidth="1"/>
    <col min="7427" max="7427" width="19" style="5" customWidth="1"/>
    <col min="7428" max="7429" width="18.7109375" style="5" customWidth="1"/>
    <col min="7430" max="7430" width="20.140625" style="5" customWidth="1"/>
    <col min="7431" max="7431" width="20.28515625" style="5" bestFit="1" customWidth="1"/>
    <col min="7432" max="7432" width="21.42578125" style="5" customWidth="1"/>
    <col min="7433" max="7433" width="8.140625" style="5" bestFit="1" customWidth="1"/>
    <col min="7434" max="7434" width="17.28515625" style="5" bestFit="1" customWidth="1"/>
    <col min="7435" max="7435" width="11.42578125" style="5" bestFit="1" customWidth="1"/>
    <col min="7436" max="7676" width="8.85546875" style="5"/>
    <col min="7677" max="7677" width="4.42578125" style="5" customWidth="1"/>
    <col min="7678" max="7678" width="42.85546875" style="5" bestFit="1" customWidth="1"/>
    <col min="7679" max="7679" width="0" style="5" hidden="1" customWidth="1"/>
    <col min="7680" max="7680" width="28.28515625" style="5" customWidth="1"/>
    <col min="7681" max="7681" width="31.42578125" style="5" bestFit="1" customWidth="1"/>
    <col min="7682" max="7682" width="17.42578125" style="5" bestFit="1" customWidth="1"/>
    <col min="7683" max="7683" width="19" style="5" customWidth="1"/>
    <col min="7684" max="7685" width="18.7109375" style="5" customWidth="1"/>
    <col min="7686" max="7686" width="20.140625" style="5" customWidth="1"/>
    <col min="7687" max="7687" width="20.28515625" style="5" bestFit="1" customWidth="1"/>
    <col min="7688" max="7688" width="21.42578125" style="5" customWidth="1"/>
    <col min="7689" max="7689" width="8.140625" style="5" bestFit="1" customWidth="1"/>
    <col min="7690" max="7690" width="17.28515625" style="5" bestFit="1" customWidth="1"/>
    <col min="7691" max="7691" width="11.42578125" style="5" bestFit="1" customWidth="1"/>
    <col min="7692" max="7932" width="8.85546875" style="5"/>
    <col min="7933" max="7933" width="4.42578125" style="5" customWidth="1"/>
    <col min="7934" max="7934" width="42.85546875" style="5" bestFit="1" customWidth="1"/>
    <col min="7935" max="7935" width="0" style="5" hidden="1" customWidth="1"/>
    <col min="7936" max="7936" width="28.28515625" style="5" customWidth="1"/>
    <col min="7937" max="7937" width="31.42578125" style="5" bestFit="1" customWidth="1"/>
    <col min="7938" max="7938" width="17.42578125" style="5" bestFit="1" customWidth="1"/>
    <col min="7939" max="7939" width="19" style="5" customWidth="1"/>
    <col min="7940" max="7941" width="18.7109375" style="5" customWidth="1"/>
    <col min="7942" max="7942" width="20.140625" style="5" customWidth="1"/>
    <col min="7943" max="7943" width="20.28515625" style="5" bestFit="1" customWidth="1"/>
    <col min="7944" max="7944" width="21.42578125" style="5" customWidth="1"/>
    <col min="7945" max="7945" width="8.140625" style="5" bestFit="1" customWidth="1"/>
    <col min="7946" max="7946" width="17.28515625" style="5" bestFit="1" customWidth="1"/>
    <col min="7947" max="7947" width="11.42578125" style="5" bestFit="1" customWidth="1"/>
    <col min="7948" max="8188" width="8.85546875" style="5"/>
    <col min="8189" max="8189" width="4.42578125" style="5" customWidth="1"/>
    <col min="8190" max="8190" width="42.85546875" style="5" bestFit="1" customWidth="1"/>
    <col min="8191" max="8191" width="0" style="5" hidden="1" customWidth="1"/>
    <col min="8192" max="8192" width="28.28515625" style="5" customWidth="1"/>
    <col min="8193" max="8193" width="31.42578125" style="5" bestFit="1" customWidth="1"/>
    <col min="8194" max="8194" width="17.42578125" style="5" bestFit="1" customWidth="1"/>
    <col min="8195" max="8195" width="19" style="5" customWidth="1"/>
    <col min="8196" max="8197" width="18.7109375" style="5" customWidth="1"/>
    <col min="8198" max="8198" width="20.140625" style="5" customWidth="1"/>
    <col min="8199" max="8199" width="20.28515625" style="5" bestFit="1" customWidth="1"/>
    <col min="8200" max="8200" width="21.42578125" style="5" customWidth="1"/>
    <col min="8201" max="8201" width="8.140625" style="5" bestFit="1" customWidth="1"/>
    <col min="8202" max="8202" width="17.28515625" style="5" bestFit="1" customWidth="1"/>
    <col min="8203" max="8203" width="11.42578125" style="5" bestFit="1" customWidth="1"/>
    <col min="8204" max="8444" width="8.85546875" style="5"/>
    <col min="8445" max="8445" width="4.42578125" style="5" customWidth="1"/>
    <col min="8446" max="8446" width="42.85546875" style="5" bestFit="1" customWidth="1"/>
    <col min="8447" max="8447" width="0" style="5" hidden="1" customWidth="1"/>
    <col min="8448" max="8448" width="28.28515625" style="5" customWidth="1"/>
    <col min="8449" max="8449" width="31.42578125" style="5" bestFit="1" customWidth="1"/>
    <col min="8450" max="8450" width="17.42578125" style="5" bestFit="1" customWidth="1"/>
    <col min="8451" max="8451" width="19" style="5" customWidth="1"/>
    <col min="8452" max="8453" width="18.7109375" style="5" customWidth="1"/>
    <col min="8454" max="8454" width="20.140625" style="5" customWidth="1"/>
    <col min="8455" max="8455" width="20.28515625" style="5" bestFit="1" customWidth="1"/>
    <col min="8456" max="8456" width="21.42578125" style="5" customWidth="1"/>
    <col min="8457" max="8457" width="8.140625" style="5" bestFit="1" customWidth="1"/>
    <col min="8458" max="8458" width="17.28515625" style="5" bestFit="1" customWidth="1"/>
    <col min="8459" max="8459" width="11.42578125" style="5" bestFit="1" customWidth="1"/>
    <col min="8460" max="8700" width="8.85546875" style="5"/>
    <col min="8701" max="8701" width="4.42578125" style="5" customWidth="1"/>
    <col min="8702" max="8702" width="42.85546875" style="5" bestFit="1" customWidth="1"/>
    <col min="8703" max="8703" width="0" style="5" hidden="1" customWidth="1"/>
    <col min="8704" max="8704" width="28.28515625" style="5" customWidth="1"/>
    <col min="8705" max="8705" width="31.42578125" style="5" bestFit="1" customWidth="1"/>
    <col min="8706" max="8706" width="17.42578125" style="5" bestFit="1" customWidth="1"/>
    <col min="8707" max="8707" width="19" style="5" customWidth="1"/>
    <col min="8708" max="8709" width="18.7109375" style="5" customWidth="1"/>
    <col min="8710" max="8710" width="20.140625" style="5" customWidth="1"/>
    <col min="8711" max="8711" width="20.28515625" style="5" bestFit="1" customWidth="1"/>
    <col min="8712" max="8712" width="21.42578125" style="5" customWidth="1"/>
    <col min="8713" max="8713" width="8.140625" style="5" bestFit="1" customWidth="1"/>
    <col min="8714" max="8714" width="17.28515625" style="5" bestFit="1" customWidth="1"/>
    <col min="8715" max="8715" width="11.42578125" style="5" bestFit="1" customWidth="1"/>
    <col min="8716" max="8956" width="8.85546875" style="5"/>
    <col min="8957" max="8957" width="4.42578125" style="5" customWidth="1"/>
    <col min="8958" max="8958" width="42.85546875" style="5" bestFit="1" customWidth="1"/>
    <col min="8959" max="8959" width="0" style="5" hidden="1" customWidth="1"/>
    <col min="8960" max="8960" width="28.28515625" style="5" customWidth="1"/>
    <col min="8961" max="8961" width="31.42578125" style="5" bestFit="1" customWidth="1"/>
    <col min="8962" max="8962" width="17.42578125" style="5" bestFit="1" customWidth="1"/>
    <col min="8963" max="8963" width="19" style="5" customWidth="1"/>
    <col min="8964" max="8965" width="18.7109375" style="5" customWidth="1"/>
    <col min="8966" max="8966" width="20.140625" style="5" customWidth="1"/>
    <col min="8967" max="8967" width="20.28515625" style="5" bestFit="1" customWidth="1"/>
    <col min="8968" max="8968" width="21.42578125" style="5" customWidth="1"/>
    <col min="8969" max="8969" width="8.140625" style="5" bestFit="1" customWidth="1"/>
    <col min="8970" max="8970" width="17.28515625" style="5" bestFit="1" customWidth="1"/>
    <col min="8971" max="8971" width="11.42578125" style="5" bestFit="1" customWidth="1"/>
    <col min="8972" max="9212" width="8.85546875" style="5"/>
    <col min="9213" max="9213" width="4.42578125" style="5" customWidth="1"/>
    <col min="9214" max="9214" width="42.85546875" style="5" bestFit="1" customWidth="1"/>
    <col min="9215" max="9215" width="0" style="5" hidden="1" customWidth="1"/>
    <col min="9216" max="9216" width="28.28515625" style="5" customWidth="1"/>
    <col min="9217" max="9217" width="31.42578125" style="5" bestFit="1" customWidth="1"/>
    <col min="9218" max="9218" width="17.42578125" style="5" bestFit="1" customWidth="1"/>
    <col min="9219" max="9219" width="19" style="5" customWidth="1"/>
    <col min="9220" max="9221" width="18.7109375" style="5" customWidth="1"/>
    <col min="9222" max="9222" width="20.140625" style="5" customWidth="1"/>
    <col min="9223" max="9223" width="20.28515625" style="5" bestFit="1" customWidth="1"/>
    <col min="9224" max="9224" width="21.42578125" style="5" customWidth="1"/>
    <col min="9225" max="9225" width="8.140625" style="5" bestFit="1" customWidth="1"/>
    <col min="9226" max="9226" width="17.28515625" style="5" bestFit="1" customWidth="1"/>
    <col min="9227" max="9227" width="11.42578125" style="5" bestFit="1" customWidth="1"/>
    <col min="9228" max="9468" width="8.85546875" style="5"/>
    <col min="9469" max="9469" width="4.42578125" style="5" customWidth="1"/>
    <col min="9470" max="9470" width="42.85546875" style="5" bestFit="1" customWidth="1"/>
    <col min="9471" max="9471" width="0" style="5" hidden="1" customWidth="1"/>
    <col min="9472" max="9472" width="28.28515625" style="5" customWidth="1"/>
    <col min="9473" max="9473" width="31.42578125" style="5" bestFit="1" customWidth="1"/>
    <col min="9474" max="9474" width="17.42578125" style="5" bestFit="1" customWidth="1"/>
    <col min="9475" max="9475" width="19" style="5" customWidth="1"/>
    <col min="9476" max="9477" width="18.7109375" style="5" customWidth="1"/>
    <col min="9478" max="9478" width="20.140625" style="5" customWidth="1"/>
    <col min="9479" max="9479" width="20.28515625" style="5" bestFit="1" customWidth="1"/>
    <col min="9480" max="9480" width="21.42578125" style="5" customWidth="1"/>
    <col min="9481" max="9481" width="8.140625" style="5" bestFit="1" customWidth="1"/>
    <col min="9482" max="9482" width="17.28515625" style="5" bestFit="1" customWidth="1"/>
    <col min="9483" max="9483" width="11.42578125" style="5" bestFit="1" customWidth="1"/>
    <col min="9484" max="9724" width="8.85546875" style="5"/>
    <col min="9725" max="9725" width="4.42578125" style="5" customWidth="1"/>
    <col min="9726" max="9726" width="42.85546875" style="5" bestFit="1" customWidth="1"/>
    <col min="9727" max="9727" width="0" style="5" hidden="1" customWidth="1"/>
    <col min="9728" max="9728" width="28.28515625" style="5" customWidth="1"/>
    <col min="9729" max="9729" width="31.42578125" style="5" bestFit="1" customWidth="1"/>
    <col min="9730" max="9730" width="17.42578125" style="5" bestFit="1" customWidth="1"/>
    <col min="9731" max="9731" width="19" style="5" customWidth="1"/>
    <col min="9732" max="9733" width="18.7109375" style="5" customWidth="1"/>
    <col min="9734" max="9734" width="20.140625" style="5" customWidth="1"/>
    <col min="9735" max="9735" width="20.28515625" style="5" bestFit="1" customWidth="1"/>
    <col min="9736" max="9736" width="21.42578125" style="5" customWidth="1"/>
    <col min="9737" max="9737" width="8.140625" style="5" bestFit="1" customWidth="1"/>
    <col min="9738" max="9738" width="17.28515625" style="5" bestFit="1" customWidth="1"/>
    <col min="9739" max="9739" width="11.42578125" style="5" bestFit="1" customWidth="1"/>
    <col min="9740" max="9980" width="8.85546875" style="5"/>
    <col min="9981" max="9981" width="4.42578125" style="5" customWidth="1"/>
    <col min="9982" max="9982" width="42.85546875" style="5" bestFit="1" customWidth="1"/>
    <col min="9983" max="9983" width="0" style="5" hidden="1" customWidth="1"/>
    <col min="9984" max="9984" width="28.28515625" style="5" customWidth="1"/>
    <col min="9985" max="9985" width="31.42578125" style="5" bestFit="1" customWidth="1"/>
    <col min="9986" max="9986" width="17.42578125" style="5" bestFit="1" customWidth="1"/>
    <col min="9987" max="9987" width="19" style="5" customWidth="1"/>
    <col min="9988" max="9989" width="18.7109375" style="5" customWidth="1"/>
    <col min="9990" max="9990" width="20.140625" style="5" customWidth="1"/>
    <col min="9991" max="9991" width="20.28515625" style="5" bestFit="1" customWidth="1"/>
    <col min="9992" max="9992" width="21.42578125" style="5" customWidth="1"/>
    <col min="9993" max="9993" width="8.140625" style="5" bestFit="1" customWidth="1"/>
    <col min="9994" max="9994" width="17.28515625" style="5" bestFit="1" customWidth="1"/>
    <col min="9995" max="9995" width="11.42578125" style="5" bestFit="1" customWidth="1"/>
    <col min="9996" max="10236" width="8.85546875" style="5"/>
    <col min="10237" max="10237" width="4.42578125" style="5" customWidth="1"/>
    <col min="10238" max="10238" width="42.85546875" style="5" bestFit="1" customWidth="1"/>
    <col min="10239" max="10239" width="0" style="5" hidden="1" customWidth="1"/>
    <col min="10240" max="10240" width="28.28515625" style="5" customWidth="1"/>
    <col min="10241" max="10241" width="31.42578125" style="5" bestFit="1" customWidth="1"/>
    <col min="10242" max="10242" width="17.42578125" style="5" bestFit="1" customWidth="1"/>
    <col min="10243" max="10243" width="19" style="5" customWidth="1"/>
    <col min="10244" max="10245" width="18.7109375" style="5" customWidth="1"/>
    <col min="10246" max="10246" width="20.140625" style="5" customWidth="1"/>
    <col min="10247" max="10247" width="20.28515625" style="5" bestFit="1" customWidth="1"/>
    <col min="10248" max="10248" width="21.42578125" style="5" customWidth="1"/>
    <col min="10249" max="10249" width="8.140625" style="5" bestFit="1" customWidth="1"/>
    <col min="10250" max="10250" width="17.28515625" style="5" bestFit="1" customWidth="1"/>
    <col min="10251" max="10251" width="11.42578125" style="5" bestFit="1" customWidth="1"/>
    <col min="10252" max="10492" width="8.85546875" style="5"/>
    <col min="10493" max="10493" width="4.42578125" style="5" customWidth="1"/>
    <col min="10494" max="10494" width="42.85546875" style="5" bestFit="1" customWidth="1"/>
    <col min="10495" max="10495" width="0" style="5" hidden="1" customWidth="1"/>
    <col min="10496" max="10496" width="28.28515625" style="5" customWidth="1"/>
    <col min="10497" max="10497" width="31.42578125" style="5" bestFit="1" customWidth="1"/>
    <col min="10498" max="10498" width="17.42578125" style="5" bestFit="1" customWidth="1"/>
    <col min="10499" max="10499" width="19" style="5" customWidth="1"/>
    <col min="10500" max="10501" width="18.7109375" style="5" customWidth="1"/>
    <col min="10502" max="10502" width="20.140625" style="5" customWidth="1"/>
    <col min="10503" max="10503" width="20.28515625" style="5" bestFit="1" customWidth="1"/>
    <col min="10504" max="10504" width="21.42578125" style="5" customWidth="1"/>
    <col min="10505" max="10505" width="8.140625" style="5" bestFit="1" customWidth="1"/>
    <col min="10506" max="10506" width="17.28515625" style="5" bestFit="1" customWidth="1"/>
    <col min="10507" max="10507" width="11.42578125" style="5" bestFit="1" customWidth="1"/>
    <col min="10508" max="10748" width="8.85546875" style="5"/>
    <col min="10749" max="10749" width="4.42578125" style="5" customWidth="1"/>
    <col min="10750" max="10750" width="42.85546875" style="5" bestFit="1" customWidth="1"/>
    <col min="10751" max="10751" width="0" style="5" hidden="1" customWidth="1"/>
    <col min="10752" max="10752" width="28.28515625" style="5" customWidth="1"/>
    <col min="10753" max="10753" width="31.42578125" style="5" bestFit="1" customWidth="1"/>
    <col min="10754" max="10754" width="17.42578125" style="5" bestFit="1" customWidth="1"/>
    <col min="10755" max="10755" width="19" style="5" customWidth="1"/>
    <col min="10756" max="10757" width="18.7109375" style="5" customWidth="1"/>
    <col min="10758" max="10758" width="20.140625" style="5" customWidth="1"/>
    <col min="10759" max="10759" width="20.28515625" style="5" bestFit="1" customWidth="1"/>
    <col min="10760" max="10760" width="21.42578125" style="5" customWidth="1"/>
    <col min="10761" max="10761" width="8.140625" style="5" bestFit="1" customWidth="1"/>
    <col min="10762" max="10762" width="17.28515625" style="5" bestFit="1" customWidth="1"/>
    <col min="10763" max="10763" width="11.42578125" style="5" bestFit="1" customWidth="1"/>
    <col min="10764" max="11004" width="8.85546875" style="5"/>
    <col min="11005" max="11005" width="4.42578125" style="5" customWidth="1"/>
    <col min="11006" max="11006" width="42.85546875" style="5" bestFit="1" customWidth="1"/>
    <col min="11007" max="11007" width="0" style="5" hidden="1" customWidth="1"/>
    <col min="11008" max="11008" width="28.28515625" style="5" customWidth="1"/>
    <col min="11009" max="11009" width="31.42578125" style="5" bestFit="1" customWidth="1"/>
    <col min="11010" max="11010" width="17.42578125" style="5" bestFit="1" customWidth="1"/>
    <col min="11011" max="11011" width="19" style="5" customWidth="1"/>
    <col min="11012" max="11013" width="18.7109375" style="5" customWidth="1"/>
    <col min="11014" max="11014" width="20.140625" style="5" customWidth="1"/>
    <col min="11015" max="11015" width="20.28515625" style="5" bestFit="1" customWidth="1"/>
    <col min="11016" max="11016" width="21.42578125" style="5" customWidth="1"/>
    <col min="11017" max="11017" width="8.140625" style="5" bestFit="1" customWidth="1"/>
    <col min="11018" max="11018" width="17.28515625" style="5" bestFit="1" customWidth="1"/>
    <col min="11019" max="11019" width="11.42578125" style="5" bestFit="1" customWidth="1"/>
    <col min="11020" max="11260" width="8.85546875" style="5"/>
    <col min="11261" max="11261" width="4.42578125" style="5" customWidth="1"/>
    <col min="11262" max="11262" width="42.85546875" style="5" bestFit="1" customWidth="1"/>
    <col min="11263" max="11263" width="0" style="5" hidden="1" customWidth="1"/>
    <col min="11264" max="11264" width="28.28515625" style="5" customWidth="1"/>
    <col min="11265" max="11265" width="31.42578125" style="5" bestFit="1" customWidth="1"/>
    <col min="11266" max="11266" width="17.42578125" style="5" bestFit="1" customWidth="1"/>
    <col min="11267" max="11267" width="19" style="5" customWidth="1"/>
    <col min="11268" max="11269" width="18.7109375" style="5" customWidth="1"/>
    <col min="11270" max="11270" width="20.140625" style="5" customWidth="1"/>
    <col min="11271" max="11271" width="20.28515625" style="5" bestFit="1" customWidth="1"/>
    <col min="11272" max="11272" width="21.42578125" style="5" customWidth="1"/>
    <col min="11273" max="11273" width="8.140625" style="5" bestFit="1" customWidth="1"/>
    <col min="11274" max="11274" width="17.28515625" style="5" bestFit="1" customWidth="1"/>
    <col min="11275" max="11275" width="11.42578125" style="5" bestFit="1" customWidth="1"/>
    <col min="11276" max="11516" width="8.85546875" style="5"/>
    <col min="11517" max="11517" width="4.42578125" style="5" customWidth="1"/>
    <col min="11518" max="11518" width="42.85546875" style="5" bestFit="1" customWidth="1"/>
    <col min="11519" max="11519" width="0" style="5" hidden="1" customWidth="1"/>
    <col min="11520" max="11520" width="28.28515625" style="5" customWidth="1"/>
    <col min="11521" max="11521" width="31.42578125" style="5" bestFit="1" customWidth="1"/>
    <col min="11522" max="11522" width="17.42578125" style="5" bestFit="1" customWidth="1"/>
    <col min="11523" max="11523" width="19" style="5" customWidth="1"/>
    <col min="11524" max="11525" width="18.7109375" style="5" customWidth="1"/>
    <col min="11526" max="11526" width="20.140625" style="5" customWidth="1"/>
    <col min="11527" max="11527" width="20.28515625" style="5" bestFit="1" customWidth="1"/>
    <col min="11528" max="11528" width="21.42578125" style="5" customWidth="1"/>
    <col min="11529" max="11529" width="8.140625" style="5" bestFit="1" customWidth="1"/>
    <col min="11530" max="11530" width="17.28515625" style="5" bestFit="1" customWidth="1"/>
    <col min="11531" max="11531" width="11.42578125" style="5" bestFit="1" customWidth="1"/>
    <col min="11532" max="11772" width="8.85546875" style="5"/>
    <col min="11773" max="11773" width="4.42578125" style="5" customWidth="1"/>
    <col min="11774" max="11774" width="42.85546875" style="5" bestFit="1" customWidth="1"/>
    <col min="11775" max="11775" width="0" style="5" hidden="1" customWidth="1"/>
    <col min="11776" max="11776" width="28.28515625" style="5" customWidth="1"/>
    <col min="11777" max="11777" width="31.42578125" style="5" bestFit="1" customWidth="1"/>
    <col min="11778" max="11778" width="17.42578125" style="5" bestFit="1" customWidth="1"/>
    <col min="11779" max="11779" width="19" style="5" customWidth="1"/>
    <col min="11780" max="11781" width="18.7109375" style="5" customWidth="1"/>
    <col min="11782" max="11782" width="20.140625" style="5" customWidth="1"/>
    <col min="11783" max="11783" width="20.28515625" style="5" bestFit="1" customWidth="1"/>
    <col min="11784" max="11784" width="21.42578125" style="5" customWidth="1"/>
    <col min="11785" max="11785" width="8.140625" style="5" bestFit="1" customWidth="1"/>
    <col min="11786" max="11786" width="17.28515625" style="5" bestFit="1" customWidth="1"/>
    <col min="11787" max="11787" width="11.42578125" style="5" bestFit="1" customWidth="1"/>
    <col min="11788" max="12028" width="8.85546875" style="5"/>
    <col min="12029" max="12029" width="4.42578125" style="5" customWidth="1"/>
    <col min="12030" max="12030" width="42.85546875" style="5" bestFit="1" customWidth="1"/>
    <col min="12031" max="12031" width="0" style="5" hidden="1" customWidth="1"/>
    <col min="12032" max="12032" width="28.28515625" style="5" customWidth="1"/>
    <col min="12033" max="12033" width="31.42578125" style="5" bestFit="1" customWidth="1"/>
    <col min="12034" max="12034" width="17.42578125" style="5" bestFit="1" customWidth="1"/>
    <col min="12035" max="12035" width="19" style="5" customWidth="1"/>
    <col min="12036" max="12037" width="18.7109375" style="5" customWidth="1"/>
    <col min="12038" max="12038" width="20.140625" style="5" customWidth="1"/>
    <col min="12039" max="12039" width="20.28515625" style="5" bestFit="1" customWidth="1"/>
    <col min="12040" max="12040" width="21.42578125" style="5" customWidth="1"/>
    <col min="12041" max="12041" width="8.140625" style="5" bestFit="1" customWidth="1"/>
    <col min="12042" max="12042" width="17.28515625" style="5" bestFit="1" customWidth="1"/>
    <col min="12043" max="12043" width="11.42578125" style="5" bestFit="1" customWidth="1"/>
    <col min="12044" max="12284" width="8.85546875" style="5"/>
    <col min="12285" max="12285" width="4.42578125" style="5" customWidth="1"/>
    <col min="12286" max="12286" width="42.85546875" style="5" bestFit="1" customWidth="1"/>
    <col min="12287" max="12287" width="0" style="5" hidden="1" customWidth="1"/>
    <col min="12288" max="12288" width="28.28515625" style="5" customWidth="1"/>
    <col min="12289" max="12289" width="31.42578125" style="5" bestFit="1" customWidth="1"/>
    <col min="12290" max="12290" width="17.42578125" style="5" bestFit="1" customWidth="1"/>
    <col min="12291" max="12291" width="19" style="5" customWidth="1"/>
    <col min="12292" max="12293" width="18.7109375" style="5" customWidth="1"/>
    <col min="12294" max="12294" width="20.140625" style="5" customWidth="1"/>
    <col min="12295" max="12295" width="20.28515625" style="5" bestFit="1" customWidth="1"/>
    <col min="12296" max="12296" width="21.42578125" style="5" customWidth="1"/>
    <col min="12297" max="12297" width="8.140625" style="5" bestFit="1" customWidth="1"/>
    <col min="12298" max="12298" width="17.28515625" style="5" bestFit="1" customWidth="1"/>
    <col min="12299" max="12299" width="11.42578125" style="5" bestFit="1" customWidth="1"/>
    <col min="12300" max="12540" width="8.85546875" style="5"/>
    <col min="12541" max="12541" width="4.42578125" style="5" customWidth="1"/>
    <col min="12542" max="12542" width="42.85546875" style="5" bestFit="1" customWidth="1"/>
    <col min="12543" max="12543" width="0" style="5" hidden="1" customWidth="1"/>
    <col min="12544" max="12544" width="28.28515625" style="5" customWidth="1"/>
    <col min="12545" max="12545" width="31.42578125" style="5" bestFit="1" customWidth="1"/>
    <col min="12546" max="12546" width="17.42578125" style="5" bestFit="1" customWidth="1"/>
    <col min="12547" max="12547" width="19" style="5" customWidth="1"/>
    <col min="12548" max="12549" width="18.7109375" style="5" customWidth="1"/>
    <col min="12550" max="12550" width="20.140625" style="5" customWidth="1"/>
    <col min="12551" max="12551" width="20.28515625" style="5" bestFit="1" customWidth="1"/>
    <col min="12552" max="12552" width="21.42578125" style="5" customWidth="1"/>
    <col min="12553" max="12553" width="8.140625" style="5" bestFit="1" customWidth="1"/>
    <col min="12554" max="12554" width="17.28515625" style="5" bestFit="1" customWidth="1"/>
    <col min="12555" max="12555" width="11.42578125" style="5" bestFit="1" customWidth="1"/>
    <col min="12556" max="12796" width="8.85546875" style="5"/>
    <col min="12797" max="12797" width="4.42578125" style="5" customWidth="1"/>
    <col min="12798" max="12798" width="42.85546875" style="5" bestFit="1" customWidth="1"/>
    <col min="12799" max="12799" width="0" style="5" hidden="1" customWidth="1"/>
    <col min="12800" max="12800" width="28.28515625" style="5" customWidth="1"/>
    <col min="12801" max="12801" width="31.42578125" style="5" bestFit="1" customWidth="1"/>
    <col min="12802" max="12802" width="17.42578125" style="5" bestFit="1" customWidth="1"/>
    <col min="12803" max="12803" width="19" style="5" customWidth="1"/>
    <col min="12804" max="12805" width="18.7109375" style="5" customWidth="1"/>
    <col min="12806" max="12806" width="20.140625" style="5" customWidth="1"/>
    <col min="12807" max="12807" width="20.28515625" style="5" bestFit="1" customWidth="1"/>
    <col min="12808" max="12808" width="21.42578125" style="5" customWidth="1"/>
    <col min="12809" max="12809" width="8.140625" style="5" bestFit="1" customWidth="1"/>
    <col min="12810" max="12810" width="17.28515625" style="5" bestFit="1" customWidth="1"/>
    <col min="12811" max="12811" width="11.42578125" style="5" bestFit="1" customWidth="1"/>
    <col min="12812" max="13052" width="8.85546875" style="5"/>
    <col min="13053" max="13053" width="4.42578125" style="5" customWidth="1"/>
    <col min="13054" max="13054" width="42.85546875" style="5" bestFit="1" customWidth="1"/>
    <col min="13055" max="13055" width="0" style="5" hidden="1" customWidth="1"/>
    <col min="13056" max="13056" width="28.28515625" style="5" customWidth="1"/>
    <col min="13057" max="13057" width="31.42578125" style="5" bestFit="1" customWidth="1"/>
    <col min="13058" max="13058" width="17.42578125" style="5" bestFit="1" customWidth="1"/>
    <col min="13059" max="13059" width="19" style="5" customWidth="1"/>
    <col min="13060" max="13061" width="18.7109375" style="5" customWidth="1"/>
    <col min="13062" max="13062" width="20.140625" style="5" customWidth="1"/>
    <col min="13063" max="13063" width="20.28515625" style="5" bestFit="1" customWidth="1"/>
    <col min="13064" max="13064" width="21.42578125" style="5" customWidth="1"/>
    <col min="13065" max="13065" width="8.140625" style="5" bestFit="1" customWidth="1"/>
    <col min="13066" max="13066" width="17.28515625" style="5" bestFit="1" customWidth="1"/>
    <col min="13067" max="13067" width="11.42578125" style="5" bestFit="1" customWidth="1"/>
    <col min="13068" max="13308" width="8.85546875" style="5"/>
    <col min="13309" max="13309" width="4.42578125" style="5" customWidth="1"/>
    <col min="13310" max="13310" width="42.85546875" style="5" bestFit="1" customWidth="1"/>
    <col min="13311" max="13311" width="0" style="5" hidden="1" customWidth="1"/>
    <col min="13312" max="13312" width="28.28515625" style="5" customWidth="1"/>
    <col min="13313" max="13313" width="31.42578125" style="5" bestFit="1" customWidth="1"/>
    <col min="13314" max="13314" width="17.42578125" style="5" bestFit="1" customWidth="1"/>
    <col min="13315" max="13315" width="19" style="5" customWidth="1"/>
    <col min="13316" max="13317" width="18.7109375" style="5" customWidth="1"/>
    <col min="13318" max="13318" width="20.140625" style="5" customWidth="1"/>
    <col min="13319" max="13319" width="20.28515625" style="5" bestFit="1" customWidth="1"/>
    <col min="13320" max="13320" width="21.42578125" style="5" customWidth="1"/>
    <col min="13321" max="13321" width="8.140625" style="5" bestFit="1" customWidth="1"/>
    <col min="13322" max="13322" width="17.28515625" style="5" bestFit="1" customWidth="1"/>
    <col min="13323" max="13323" width="11.42578125" style="5" bestFit="1" customWidth="1"/>
    <col min="13324" max="13564" width="8.85546875" style="5"/>
    <col min="13565" max="13565" width="4.42578125" style="5" customWidth="1"/>
    <col min="13566" max="13566" width="42.85546875" style="5" bestFit="1" customWidth="1"/>
    <col min="13567" max="13567" width="0" style="5" hidden="1" customWidth="1"/>
    <col min="13568" max="13568" width="28.28515625" style="5" customWidth="1"/>
    <col min="13569" max="13569" width="31.42578125" style="5" bestFit="1" customWidth="1"/>
    <col min="13570" max="13570" width="17.42578125" style="5" bestFit="1" customWidth="1"/>
    <col min="13571" max="13571" width="19" style="5" customWidth="1"/>
    <col min="13572" max="13573" width="18.7109375" style="5" customWidth="1"/>
    <col min="13574" max="13574" width="20.140625" style="5" customWidth="1"/>
    <col min="13575" max="13575" width="20.28515625" style="5" bestFit="1" customWidth="1"/>
    <col min="13576" max="13576" width="21.42578125" style="5" customWidth="1"/>
    <col min="13577" max="13577" width="8.140625" style="5" bestFit="1" customWidth="1"/>
    <col min="13578" max="13578" width="17.28515625" style="5" bestFit="1" customWidth="1"/>
    <col min="13579" max="13579" width="11.42578125" style="5" bestFit="1" customWidth="1"/>
    <col min="13580" max="13820" width="8.85546875" style="5"/>
    <col min="13821" max="13821" width="4.42578125" style="5" customWidth="1"/>
    <col min="13822" max="13822" width="42.85546875" style="5" bestFit="1" customWidth="1"/>
    <col min="13823" max="13823" width="0" style="5" hidden="1" customWidth="1"/>
    <col min="13824" max="13824" width="28.28515625" style="5" customWidth="1"/>
    <col min="13825" max="13825" width="31.42578125" style="5" bestFit="1" customWidth="1"/>
    <col min="13826" max="13826" width="17.42578125" style="5" bestFit="1" customWidth="1"/>
    <col min="13827" max="13827" width="19" style="5" customWidth="1"/>
    <col min="13828" max="13829" width="18.7109375" style="5" customWidth="1"/>
    <col min="13830" max="13830" width="20.140625" style="5" customWidth="1"/>
    <col min="13831" max="13831" width="20.28515625" style="5" bestFit="1" customWidth="1"/>
    <col min="13832" max="13832" width="21.42578125" style="5" customWidth="1"/>
    <col min="13833" max="13833" width="8.140625" style="5" bestFit="1" customWidth="1"/>
    <col min="13834" max="13834" width="17.28515625" style="5" bestFit="1" customWidth="1"/>
    <col min="13835" max="13835" width="11.42578125" style="5" bestFit="1" customWidth="1"/>
    <col min="13836" max="14076" width="8.85546875" style="5"/>
    <col min="14077" max="14077" width="4.42578125" style="5" customWidth="1"/>
    <col min="14078" max="14078" width="42.85546875" style="5" bestFit="1" customWidth="1"/>
    <col min="14079" max="14079" width="0" style="5" hidden="1" customWidth="1"/>
    <col min="14080" max="14080" width="28.28515625" style="5" customWidth="1"/>
    <col min="14081" max="14081" width="31.42578125" style="5" bestFit="1" customWidth="1"/>
    <col min="14082" max="14082" width="17.42578125" style="5" bestFit="1" customWidth="1"/>
    <col min="14083" max="14083" width="19" style="5" customWidth="1"/>
    <col min="14084" max="14085" width="18.7109375" style="5" customWidth="1"/>
    <col min="14086" max="14086" width="20.140625" style="5" customWidth="1"/>
    <col min="14087" max="14087" width="20.28515625" style="5" bestFit="1" customWidth="1"/>
    <col min="14088" max="14088" width="21.42578125" style="5" customWidth="1"/>
    <col min="14089" max="14089" width="8.140625" style="5" bestFit="1" customWidth="1"/>
    <col min="14090" max="14090" width="17.28515625" style="5" bestFit="1" customWidth="1"/>
    <col min="14091" max="14091" width="11.42578125" style="5" bestFit="1" customWidth="1"/>
    <col min="14092" max="14332" width="8.85546875" style="5"/>
    <col min="14333" max="14333" width="4.42578125" style="5" customWidth="1"/>
    <col min="14334" max="14334" width="42.85546875" style="5" bestFit="1" customWidth="1"/>
    <col min="14335" max="14335" width="0" style="5" hidden="1" customWidth="1"/>
    <col min="14336" max="14336" width="28.28515625" style="5" customWidth="1"/>
    <col min="14337" max="14337" width="31.42578125" style="5" bestFit="1" customWidth="1"/>
    <col min="14338" max="14338" width="17.42578125" style="5" bestFit="1" customWidth="1"/>
    <col min="14339" max="14339" width="19" style="5" customWidth="1"/>
    <col min="14340" max="14341" width="18.7109375" style="5" customWidth="1"/>
    <col min="14342" max="14342" width="20.140625" style="5" customWidth="1"/>
    <col min="14343" max="14343" width="20.28515625" style="5" bestFit="1" customWidth="1"/>
    <col min="14344" max="14344" width="21.42578125" style="5" customWidth="1"/>
    <col min="14345" max="14345" width="8.140625" style="5" bestFit="1" customWidth="1"/>
    <col min="14346" max="14346" width="17.28515625" style="5" bestFit="1" customWidth="1"/>
    <col min="14347" max="14347" width="11.42578125" style="5" bestFit="1" customWidth="1"/>
    <col min="14348" max="14588" width="8.85546875" style="5"/>
    <col min="14589" max="14589" width="4.42578125" style="5" customWidth="1"/>
    <col min="14590" max="14590" width="42.85546875" style="5" bestFit="1" customWidth="1"/>
    <col min="14591" max="14591" width="0" style="5" hidden="1" customWidth="1"/>
    <col min="14592" max="14592" width="28.28515625" style="5" customWidth="1"/>
    <col min="14593" max="14593" width="31.42578125" style="5" bestFit="1" customWidth="1"/>
    <col min="14594" max="14594" width="17.42578125" style="5" bestFit="1" customWidth="1"/>
    <col min="14595" max="14595" width="19" style="5" customWidth="1"/>
    <col min="14596" max="14597" width="18.7109375" style="5" customWidth="1"/>
    <col min="14598" max="14598" width="20.140625" style="5" customWidth="1"/>
    <col min="14599" max="14599" width="20.28515625" style="5" bestFit="1" customWidth="1"/>
    <col min="14600" max="14600" width="21.42578125" style="5" customWidth="1"/>
    <col min="14601" max="14601" width="8.140625" style="5" bestFit="1" customWidth="1"/>
    <col min="14602" max="14602" width="17.28515625" style="5" bestFit="1" customWidth="1"/>
    <col min="14603" max="14603" width="11.42578125" style="5" bestFit="1" customWidth="1"/>
    <col min="14604" max="14844" width="8.85546875" style="5"/>
    <col min="14845" max="14845" width="4.42578125" style="5" customWidth="1"/>
    <col min="14846" max="14846" width="42.85546875" style="5" bestFit="1" customWidth="1"/>
    <col min="14847" max="14847" width="0" style="5" hidden="1" customWidth="1"/>
    <col min="14848" max="14848" width="28.28515625" style="5" customWidth="1"/>
    <col min="14849" max="14849" width="31.42578125" style="5" bestFit="1" customWidth="1"/>
    <col min="14850" max="14850" width="17.42578125" style="5" bestFit="1" customWidth="1"/>
    <col min="14851" max="14851" width="19" style="5" customWidth="1"/>
    <col min="14852" max="14853" width="18.7109375" style="5" customWidth="1"/>
    <col min="14854" max="14854" width="20.140625" style="5" customWidth="1"/>
    <col min="14855" max="14855" width="20.28515625" style="5" bestFit="1" customWidth="1"/>
    <col min="14856" max="14856" width="21.42578125" style="5" customWidth="1"/>
    <col min="14857" max="14857" width="8.140625" style="5" bestFit="1" customWidth="1"/>
    <col min="14858" max="14858" width="17.28515625" style="5" bestFit="1" customWidth="1"/>
    <col min="14859" max="14859" width="11.42578125" style="5" bestFit="1" customWidth="1"/>
    <col min="14860" max="15100" width="8.85546875" style="5"/>
    <col min="15101" max="15101" width="4.42578125" style="5" customWidth="1"/>
    <col min="15102" max="15102" width="42.85546875" style="5" bestFit="1" customWidth="1"/>
    <col min="15103" max="15103" width="0" style="5" hidden="1" customWidth="1"/>
    <col min="15104" max="15104" width="28.28515625" style="5" customWidth="1"/>
    <col min="15105" max="15105" width="31.42578125" style="5" bestFit="1" customWidth="1"/>
    <col min="15106" max="15106" width="17.42578125" style="5" bestFit="1" customWidth="1"/>
    <col min="15107" max="15107" width="19" style="5" customWidth="1"/>
    <col min="15108" max="15109" width="18.7109375" style="5" customWidth="1"/>
    <col min="15110" max="15110" width="20.140625" style="5" customWidth="1"/>
    <col min="15111" max="15111" width="20.28515625" style="5" bestFit="1" customWidth="1"/>
    <col min="15112" max="15112" width="21.42578125" style="5" customWidth="1"/>
    <col min="15113" max="15113" width="8.140625" style="5" bestFit="1" customWidth="1"/>
    <col min="15114" max="15114" width="17.28515625" style="5" bestFit="1" customWidth="1"/>
    <col min="15115" max="15115" width="11.42578125" style="5" bestFit="1" customWidth="1"/>
    <col min="15116" max="15356" width="8.85546875" style="5"/>
    <col min="15357" max="15357" width="4.42578125" style="5" customWidth="1"/>
    <col min="15358" max="15358" width="42.85546875" style="5" bestFit="1" customWidth="1"/>
    <col min="15359" max="15359" width="0" style="5" hidden="1" customWidth="1"/>
    <col min="15360" max="15360" width="28.28515625" style="5" customWidth="1"/>
    <col min="15361" max="15361" width="31.42578125" style="5" bestFit="1" customWidth="1"/>
    <col min="15362" max="15362" width="17.42578125" style="5" bestFit="1" customWidth="1"/>
    <col min="15363" max="15363" width="19" style="5" customWidth="1"/>
    <col min="15364" max="15365" width="18.7109375" style="5" customWidth="1"/>
    <col min="15366" max="15366" width="20.140625" style="5" customWidth="1"/>
    <col min="15367" max="15367" width="20.28515625" style="5" bestFit="1" customWidth="1"/>
    <col min="15368" max="15368" width="21.42578125" style="5" customWidth="1"/>
    <col min="15369" max="15369" width="8.140625" style="5" bestFit="1" customWidth="1"/>
    <col min="15370" max="15370" width="17.28515625" style="5" bestFit="1" customWidth="1"/>
    <col min="15371" max="15371" width="11.42578125" style="5" bestFit="1" customWidth="1"/>
    <col min="15372" max="15612" width="8.85546875" style="5"/>
    <col min="15613" max="15613" width="4.42578125" style="5" customWidth="1"/>
    <col min="15614" max="15614" width="42.85546875" style="5" bestFit="1" customWidth="1"/>
    <col min="15615" max="15615" width="0" style="5" hidden="1" customWidth="1"/>
    <col min="15616" max="15616" width="28.28515625" style="5" customWidth="1"/>
    <col min="15617" max="15617" width="31.42578125" style="5" bestFit="1" customWidth="1"/>
    <col min="15618" max="15618" width="17.42578125" style="5" bestFit="1" customWidth="1"/>
    <col min="15619" max="15619" width="19" style="5" customWidth="1"/>
    <col min="15620" max="15621" width="18.7109375" style="5" customWidth="1"/>
    <col min="15622" max="15622" width="20.140625" style="5" customWidth="1"/>
    <col min="15623" max="15623" width="20.28515625" style="5" bestFit="1" customWidth="1"/>
    <col min="15624" max="15624" width="21.42578125" style="5" customWidth="1"/>
    <col min="15625" max="15625" width="8.140625" style="5" bestFit="1" customWidth="1"/>
    <col min="15626" max="15626" width="17.28515625" style="5" bestFit="1" customWidth="1"/>
    <col min="15627" max="15627" width="11.42578125" style="5" bestFit="1" customWidth="1"/>
    <col min="15628" max="15868" width="8.85546875" style="5"/>
    <col min="15869" max="15869" width="4.42578125" style="5" customWidth="1"/>
    <col min="15870" max="15870" width="42.85546875" style="5" bestFit="1" customWidth="1"/>
    <col min="15871" max="15871" width="0" style="5" hidden="1" customWidth="1"/>
    <col min="15872" max="15872" width="28.28515625" style="5" customWidth="1"/>
    <col min="15873" max="15873" width="31.42578125" style="5" bestFit="1" customWidth="1"/>
    <col min="15874" max="15874" width="17.42578125" style="5" bestFit="1" customWidth="1"/>
    <col min="15875" max="15875" width="19" style="5" customWidth="1"/>
    <col min="15876" max="15877" width="18.7109375" style="5" customWidth="1"/>
    <col min="15878" max="15878" width="20.140625" style="5" customWidth="1"/>
    <col min="15879" max="15879" width="20.28515625" style="5" bestFit="1" customWidth="1"/>
    <col min="15880" max="15880" width="21.42578125" style="5" customWidth="1"/>
    <col min="15881" max="15881" width="8.140625" style="5" bestFit="1" customWidth="1"/>
    <col min="15882" max="15882" width="17.28515625" style="5" bestFit="1" customWidth="1"/>
    <col min="15883" max="15883" width="11.42578125" style="5" bestFit="1" customWidth="1"/>
    <col min="15884" max="16124" width="8.85546875" style="5"/>
    <col min="16125" max="16125" width="4.42578125" style="5" customWidth="1"/>
    <col min="16126" max="16126" width="42.85546875" style="5" bestFit="1" customWidth="1"/>
    <col min="16127" max="16127" width="0" style="5" hidden="1" customWidth="1"/>
    <col min="16128" max="16128" width="28.28515625" style="5" customWidth="1"/>
    <col min="16129" max="16129" width="31.42578125" style="5" bestFit="1" customWidth="1"/>
    <col min="16130" max="16130" width="17.42578125" style="5" bestFit="1" customWidth="1"/>
    <col min="16131" max="16131" width="19" style="5" customWidth="1"/>
    <col min="16132" max="16133" width="18.7109375" style="5" customWidth="1"/>
    <col min="16134" max="16134" width="20.140625" style="5" customWidth="1"/>
    <col min="16135" max="16135" width="20.28515625" style="5" bestFit="1" customWidth="1"/>
    <col min="16136" max="16136" width="21.42578125" style="5" customWidth="1"/>
    <col min="16137" max="16137" width="8.140625" style="5" bestFit="1" customWidth="1"/>
    <col min="16138" max="16138" width="17.28515625" style="5" bestFit="1" customWidth="1"/>
    <col min="16139" max="16139" width="11.42578125" style="5" bestFit="1" customWidth="1"/>
    <col min="16140" max="16384" width="8.85546875" style="5"/>
  </cols>
  <sheetData>
    <row r="1" spans="1:11" s="1" customFormat="1" ht="15.75" x14ac:dyDescent="0.25">
      <c r="A1" s="58" t="s">
        <v>3</v>
      </c>
      <c r="C1" s="3"/>
    </row>
    <row r="2" spans="1:11" s="1" customFormat="1" ht="15.75" x14ac:dyDescent="0.25">
      <c r="A2" s="58" t="s">
        <v>5</v>
      </c>
      <c r="C2" s="3"/>
    </row>
    <row r="3" spans="1:11" s="1" customFormat="1" ht="15.75" x14ac:dyDescent="0.25">
      <c r="A3" s="58"/>
      <c r="C3" s="3"/>
    </row>
    <row r="4" spans="1:11" x14ac:dyDescent="0.25">
      <c r="B4" s="15" t="s">
        <v>174</v>
      </c>
      <c r="C4" s="39"/>
      <c r="D4" s="39"/>
      <c r="E4" s="39"/>
      <c r="F4" s="39"/>
      <c r="G4" s="27"/>
    </row>
    <row r="5" spans="1:11" x14ac:dyDescent="0.25">
      <c r="A5" s="41" t="s">
        <v>148</v>
      </c>
      <c r="B5" s="35" t="s">
        <v>143</v>
      </c>
      <c r="C5" s="62" t="s">
        <v>144</v>
      </c>
      <c r="D5" s="35" t="s">
        <v>145</v>
      </c>
      <c r="E5" s="35" t="s">
        <v>146</v>
      </c>
      <c r="F5" s="35" t="s">
        <v>147</v>
      </c>
      <c r="G5" s="35" t="s">
        <v>175</v>
      </c>
      <c r="I5" s="35"/>
      <c r="J5" s="35"/>
      <c r="K5" s="35"/>
    </row>
    <row r="6" spans="1:11" x14ac:dyDescent="0.25">
      <c r="A6" s="42" t="s">
        <v>153</v>
      </c>
      <c r="B6" s="40" t="s">
        <v>166</v>
      </c>
      <c r="C6" s="40"/>
      <c r="D6" s="40"/>
      <c r="E6" s="40"/>
      <c r="F6" s="40"/>
      <c r="G6" s="40"/>
    </row>
    <row r="7" spans="1:11" ht="27" x14ac:dyDescent="0.25">
      <c r="B7" s="20"/>
      <c r="C7" s="63" t="s">
        <v>176</v>
      </c>
      <c r="D7" s="7" t="s">
        <v>177</v>
      </c>
      <c r="E7" s="7" t="s">
        <v>178</v>
      </c>
      <c r="F7" s="7" t="s">
        <v>179</v>
      </c>
      <c r="G7" s="7" t="s">
        <v>180</v>
      </c>
    </row>
    <row r="8" spans="1:11" x14ac:dyDescent="0.25">
      <c r="B8" s="21" t="s">
        <v>39</v>
      </c>
      <c r="C8" s="39"/>
      <c r="D8" s="8"/>
      <c r="E8" s="8"/>
      <c r="F8" s="8"/>
    </row>
    <row r="9" spans="1:11" x14ac:dyDescent="0.25">
      <c r="A9" s="41">
        <v>1</v>
      </c>
      <c r="B9" s="22" t="s">
        <v>181</v>
      </c>
      <c r="C9" s="76">
        <v>1828379</v>
      </c>
      <c r="D9" s="77"/>
      <c r="E9" s="78"/>
      <c r="F9" s="8"/>
      <c r="G9" s="5" t="s">
        <v>182</v>
      </c>
    </row>
    <row r="10" spans="1:11" x14ac:dyDescent="0.25">
      <c r="A10" s="41">
        <f>A9+1</f>
        <v>2</v>
      </c>
      <c r="B10" s="22" t="s">
        <v>183</v>
      </c>
      <c r="C10" s="76">
        <v>139542.108825</v>
      </c>
      <c r="D10" s="77"/>
      <c r="E10" s="79"/>
      <c r="F10" s="8"/>
      <c r="G10" s="5" t="s">
        <v>182</v>
      </c>
    </row>
    <row r="11" spans="1:11" x14ac:dyDescent="0.25">
      <c r="A11" s="41">
        <f t="shared" ref="A11" si="0">A10+1</f>
        <v>3</v>
      </c>
      <c r="B11" s="22" t="s">
        <v>184</v>
      </c>
      <c r="C11" s="76">
        <v>2811187.366398992</v>
      </c>
      <c r="D11" s="77">
        <f>'O&amp;M'!E9</f>
        <v>47832</v>
      </c>
      <c r="E11" s="80">
        <f>C11/D11</f>
        <v>58.772105837075429</v>
      </c>
      <c r="F11" s="8" t="s">
        <v>185</v>
      </c>
      <c r="G11" s="5" t="s">
        <v>182</v>
      </c>
    </row>
    <row r="12" spans="1:11" x14ac:dyDescent="0.25">
      <c r="A12" s="5"/>
      <c r="B12" s="23"/>
      <c r="C12" s="39"/>
      <c r="D12" s="39"/>
      <c r="E12" s="79"/>
      <c r="F12" s="8"/>
    </row>
    <row r="13" spans="1:11" x14ac:dyDescent="0.25">
      <c r="A13" s="41">
        <f>A11+1</f>
        <v>4</v>
      </c>
      <c r="B13" s="24" t="s">
        <v>186</v>
      </c>
      <c r="C13" s="76">
        <v>1829856.3439220909</v>
      </c>
      <c r="D13" s="77">
        <v>11374440.999999994</v>
      </c>
      <c r="E13" s="81">
        <f>C13/D13</f>
        <v>0.16087439760090996</v>
      </c>
      <c r="F13" s="8" t="s">
        <v>187</v>
      </c>
      <c r="G13" s="5" t="s">
        <v>182</v>
      </c>
    </row>
    <row r="14" spans="1:11" x14ac:dyDescent="0.25">
      <c r="A14" s="41">
        <f>A13+1</f>
        <v>5</v>
      </c>
      <c r="B14" s="24" t="s">
        <v>188</v>
      </c>
      <c r="C14" s="76">
        <v>83526.325032378954</v>
      </c>
      <c r="D14" s="77">
        <v>44826671.980999976</v>
      </c>
      <c r="E14" s="81">
        <f>C14/D14</f>
        <v>1.8633175594160109E-3</v>
      </c>
      <c r="F14" s="8" t="s">
        <v>189</v>
      </c>
      <c r="G14" s="5" t="s">
        <v>182</v>
      </c>
    </row>
    <row r="15" spans="1:11" x14ac:dyDescent="0.25">
      <c r="A15" s="41">
        <f>A14+1</f>
        <v>6</v>
      </c>
      <c r="B15" s="24" t="s">
        <v>190</v>
      </c>
      <c r="C15" s="76">
        <v>1486541.2515651144</v>
      </c>
      <c r="D15" s="77">
        <f>D14</f>
        <v>44826671.980999976</v>
      </c>
      <c r="E15" s="81">
        <f>C15/D15</f>
        <v>3.3161981157003868E-2</v>
      </c>
      <c r="F15" s="8" t="s">
        <v>189</v>
      </c>
      <c r="G15" s="5" t="s">
        <v>182</v>
      </c>
    </row>
    <row r="16" spans="1:11" x14ac:dyDescent="0.25">
      <c r="A16" s="5"/>
      <c r="B16" s="8"/>
      <c r="C16" s="39"/>
      <c r="D16" s="39"/>
      <c r="E16" s="39"/>
      <c r="F16" s="8"/>
    </row>
    <row r="17" spans="1:7" x14ac:dyDescent="0.25">
      <c r="A17" s="41">
        <v>6</v>
      </c>
      <c r="B17" s="25" t="s">
        <v>191</v>
      </c>
      <c r="C17" s="82">
        <f>SUM(C9:C15)</f>
        <v>8179032.3957435759</v>
      </c>
      <c r="D17" s="83"/>
      <c r="E17" s="83"/>
      <c r="F17" s="9"/>
      <c r="G17" s="9"/>
    </row>
    <row r="18" spans="1:7" x14ac:dyDescent="0.25">
      <c r="B18" s="23"/>
      <c r="C18" s="64"/>
      <c r="D18" s="39"/>
      <c r="E18" s="39"/>
      <c r="F18" s="8"/>
    </row>
    <row r="19" spans="1:7" x14ac:dyDescent="0.25">
      <c r="B19" s="6" t="s">
        <v>110</v>
      </c>
      <c r="C19" s="6"/>
      <c r="D19" s="6"/>
      <c r="E19" s="6"/>
      <c r="F19" s="6"/>
      <c r="G19" s="6"/>
    </row>
    <row r="20" spans="1:7" ht="27" x14ac:dyDescent="0.25">
      <c r="B20" s="26"/>
      <c r="C20" s="63" t="s">
        <v>176</v>
      </c>
      <c r="D20" s="63" t="s">
        <v>177</v>
      </c>
      <c r="E20" s="63" t="s">
        <v>178</v>
      </c>
      <c r="F20" s="7" t="s">
        <v>179</v>
      </c>
      <c r="G20" s="7" t="s">
        <v>180</v>
      </c>
    </row>
    <row r="21" spans="1:7" x14ac:dyDescent="0.25">
      <c r="B21" s="30" t="s">
        <v>39</v>
      </c>
      <c r="C21" s="63"/>
      <c r="D21" s="63"/>
      <c r="E21" s="63"/>
      <c r="F21" s="7"/>
      <c r="G21" s="31"/>
    </row>
    <row r="22" spans="1:7" x14ac:dyDescent="0.25">
      <c r="A22" s="41">
        <f>A17+1</f>
        <v>7</v>
      </c>
      <c r="B22" s="22" t="s">
        <v>192</v>
      </c>
      <c r="C22" s="76">
        <v>2130094</v>
      </c>
      <c r="D22" s="77"/>
      <c r="E22" s="78"/>
      <c r="F22" s="8"/>
      <c r="G22" s="5" t="s">
        <v>182</v>
      </c>
    </row>
    <row r="23" spans="1:7" x14ac:dyDescent="0.25">
      <c r="A23" s="41">
        <f>A22+1</f>
        <v>8</v>
      </c>
      <c r="B23" s="22" t="s">
        <v>193</v>
      </c>
      <c r="C23" s="76">
        <v>518843.43250599992</v>
      </c>
      <c r="D23" s="77"/>
      <c r="E23" s="78"/>
      <c r="F23" s="8"/>
      <c r="G23" s="5" t="s">
        <v>182</v>
      </c>
    </row>
    <row r="24" spans="1:7" x14ac:dyDescent="0.25">
      <c r="A24" s="41">
        <f t="shared" ref="A24" si="1">A23+1</f>
        <v>9</v>
      </c>
      <c r="B24" s="22" t="s">
        <v>184</v>
      </c>
      <c r="C24" s="76">
        <v>3450143.3075939203</v>
      </c>
      <c r="D24" s="77">
        <v>53736</v>
      </c>
      <c r="E24" s="80">
        <f>C24/D24</f>
        <v>64.20543597576895</v>
      </c>
      <c r="F24" s="8" t="s">
        <v>185</v>
      </c>
      <c r="G24" s="5" t="s">
        <v>182</v>
      </c>
    </row>
    <row r="25" spans="1:7" x14ac:dyDescent="0.25">
      <c r="A25" s="5"/>
      <c r="B25" s="22"/>
      <c r="C25" s="76"/>
      <c r="D25" s="39"/>
      <c r="E25" s="79"/>
      <c r="F25" s="8"/>
    </row>
    <row r="26" spans="1:7" x14ac:dyDescent="0.25">
      <c r="A26" s="41">
        <f>A24+1</f>
        <v>10</v>
      </c>
      <c r="B26" s="24" t="s">
        <v>186</v>
      </c>
      <c r="C26" s="76">
        <v>2119264.1562243938</v>
      </c>
      <c r="D26" s="77">
        <v>13617692.093</v>
      </c>
      <c r="E26" s="81">
        <f>C26/D26</f>
        <v>0.15562579486679495</v>
      </c>
      <c r="F26" s="8" t="s">
        <v>187</v>
      </c>
      <c r="G26" s="5" t="s">
        <v>182</v>
      </c>
    </row>
    <row r="27" spans="1:7" x14ac:dyDescent="0.25">
      <c r="A27" s="41">
        <f>A26+1</f>
        <v>11</v>
      </c>
      <c r="B27" s="24" t="s">
        <v>188</v>
      </c>
      <c r="C27" s="76">
        <v>107783.45302935851</v>
      </c>
      <c r="D27" s="77">
        <v>58155794.595679939</v>
      </c>
      <c r="E27" s="81">
        <f>C27/D27</f>
        <v>1.8533570692088029E-3</v>
      </c>
      <c r="F27" s="8" t="s">
        <v>189</v>
      </c>
      <c r="G27" s="5" t="s">
        <v>182</v>
      </c>
    </row>
    <row r="28" spans="1:7" x14ac:dyDescent="0.25">
      <c r="A28" s="41">
        <f>A27+1</f>
        <v>12</v>
      </c>
      <c r="B28" s="24" t="s">
        <v>190</v>
      </c>
      <c r="C28" s="76">
        <v>1929018.9617925982</v>
      </c>
      <c r="D28" s="77">
        <f>D27</f>
        <v>58155794.595679939</v>
      </c>
      <c r="E28" s="81">
        <f>C28/D28</f>
        <v>3.3169849628980806E-2</v>
      </c>
      <c r="F28" s="8" t="s">
        <v>189</v>
      </c>
      <c r="G28" s="5" t="s">
        <v>182</v>
      </c>
    </row>
    <row r="29" spans="1:7" x14ac:dyDescent="0.25">
      <c r="A29" s="5"/>
      <c r="B29" s="8"/>
      <c r="C29" s="39"/>
      <c r="D29" s="39"/>
      <c r="E29" s="39"/>
      <c r="F29" s="8"/>
      <c r="G29" s="32"/>
    </row>
    <row r="30" spans="1:7" x14ac:dyDescent="0.25">
      <c r="A30" s="41">
        <v>6</v>
      </c>
      <c r="B30" s="25" t="s">
        <v>191</v>
      </c>
      <c r="C30" s="82">
        <f>SUM(C22:C28)</f>
        <v>10255147.31114627</v>
      </c>
      <c r="D30" s="83"/>
      <c r="E30" s="83"/>
      <c r="F30" s="9"/>
      <c r="G30" s="33"/>
    </row>
  </sheetData>
  <pageMargins left="0.7" right="0.7" top="0.75" bottom="0.75" header="0.3" footer="0.3"/>
  <pageSetup scale="6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H21"/>
  <sheetViews>
    <sheetView zoomScaleNormal="100" workbookViewId="0">
      <selection activeCell="E22" sqref="E22"/>
    </sheetView>
  </sheetViews>
  <sheetFormatPr defaultColWidth="9.140625" defaultRowHeight="13.5" x14ac:dyDescent="0.25"/>
  <cols>
    <col min="1" max="1" width="6.5703125" style="1" customWidth="1"/>
    <col min="2" max="2" width="18.28515625" style="1" customWidth="1"/>
    <col min="3" max="3" width="20.140625" style="1" customWidth="1"/>
    <col min="4" max="4" width="14.28515625" style="1" bestFit="1" customWidth="1"/>
    <col min="5" max="5" width="12.7109375" style="1" customWidth="1"/>
    <col min="6" max="6" width="15.140625" style="1" customWidth="1"/>
    <col min="7" max="7" width="14.28515625" style="1" bestFit="1" customWidth="1"/>
    <col min="8" max="8" width="15.140625" style="1" customWidth="1"/>
    <col min="9" max="16384" width="9.140625" style="1"/>
  </cols>
  <sheetData>
    <row r="1" spans="1:8" ht="15.75" x14ac:dyDescent="0.25">
      <c r="A1" s="58" t="s">
        <v>3</v>
      </c>
    </row>
    <row r="2" spans="1:8" ht="15.75" x14ac:dyDescent="0.25">
      <c r="A2" s="58" t="s">
        <v>5</v>
      </c>
    </row>
    <row r="3" spans="1:8" ht="15.75" x14ac:dyDescent="0.25">
      <c r="A3" s="58"/>
    </row>
    <row r="4" spans="1:8" x14ac:dyDescent="0.25">
      <c r="B4" s="15" t="s">
        <v>194</v>
      </c>
    </row>
    <row r="5" spans="1:8" ht="27" x14ac:dyDescent="0.25">
      <c r="A5" s="38" t="s">
        <v>20</v>
      </c>
      <c r="B5" s="35" t="s">
        <v>143</v>
      </c>
      <c r="C5" s="36" t="s">
        <v>144</v>
      </c>
      <c r="D5" s="35" t="s">
        <v>145</v>
      </c>
      <c r="E5" s="35" t="s">
        <v>146</v>
      </c>
      <c r="F5" s="35" t="s">
        <v>147</v>
      </c>
      <c r="G5" s="2" t="s">
        <v>175</v>
      </c>
      <c r="H5" s="2" t="s">
        <v>195</v>
      </c>
    </row>
    <row r="6" spans="1:8" ht="40.5" x14ac:dyDescent="0.25">
      <c r="A6" s="2"/>
      <c r="B6" s="126" t="s">
        <v>196</v>
      </c>
      <c r="C6" s="126"/>
      <c r="D6" s="126"/>
      <c r="E6" s="34" t="s">
        <v>197</v>
      </c>
      <c r="F6" s="34" t="s">
        <v>198</v>
      </c>
      <c r="G6" s="34" t="s">
        <v>199</v>
      </c>
      <c r="H6" s="34" t="s">
        <v>200</v>
      </c>
    </row>
    <row r="7" spans="1:8" x14ac:dyDescent="0.25">
      <c r="A7" s="2">
        <v>1</v>
      </c>
      <c r="B7" s="2" t="s">
        <v>201</v>
      </c>
      <c r="C7" s="2" t="s">
        <v>202</v>
      </c>
      <c r="D7" s="2" t="s">
        <v>203</v>
      </c>
    </row>
    <row r="8" spans="1:8" ht="40.5" x14ac:dyDescent="0.25">
      <c r="A8" s="2">
        <f>A7+1</f>
        <v>2</v>
      </c>
      <c r="B8" s="29" t="s">
        <v>204</v>
      </c>
      <c r="C8" s="29" t="s">
        <v>205</v>
      </c>
      <c r="D8" s="29"/>
    </row>
    <row r="9" spans="1:8" x14ac:dyDescent="0.25">
      <c r="A9" s="2">
        <f t="shared" ref="A9" si="0">A8+1</f>
        <v>3</v>
      </c>
      <c r="B9" s="66">
        <v>1460877</v>
      </c>
      <c r="C9" s="66">
        <v>367502</v>
      </c>
      <c r="D9" s="66">
        <f>SUM(B9:C9)</f>
        <v>1828379</v>
      </c>
      <c r="E9" s="84">
        <v>47832</v>
      </c>
      <c r="F9" s="72">
        <f>ROUND(D9/E9,2)</f>
        <v>38.229999999999997</v>
      </c>
      <c r="G9" s="72">
        <f>F9*0.25</f>
        <v>9.5574999999999992</v>
      </c>
      <c r="H9" s="72">
        <f>F9-G9</f>
        <v>28.672499999999999</v>
      </c>
    </row>
    <row r="10" spans="1:8" x14ac:dyDescent="0.25">
      <c r="B10" s="3"/>
      <c r="C10" s="3"/>
      <c r="D10" s="3"/>
      <c r="E10" s="3"/>
    </row>
    <row r="11" spans="1:8" x14ac:dyDescent="0.25">
      <c r="A11" s="3"/>
      <c r="B11" s="125"/>
      <c r="C11" s="125"/>
      <c r="D11" s="125"/>
      <c r="E11" s="3"/>
    </row>
    <row r="12" spans="1:8" x14ac:dyDescent="0.25">
      <c r="A12" s="3"/>
      <c r="B12" s="112"/>
      <c r="C12" s="112"/>
      <c r="D12" s="112"/>
      <c r="E12" s="3"/>
    </row>
    <row r="13" spans="1:8" ht="40.5" x14ac:dyDescent="0.25">
      <c r="B13" s="126" t="s">
        <v>196</v>
      </c>
      <c r="C13" s="126"/>
      <c r="D13" s="126"/>
      <c r="E13" s="85" t="s">
        <v>197</v>
      </c>
      <c r="F13" s="34" t="s">
        <v>198</v>
      </c>
      <c r="G13" s="34" t="s">
        <v>199</v>
      </c>
      <c r="H13" s="34" t="s">
        <v>200</v>
      </c>
    </row>
    <row r="14" spans="1:8" x14ac:dyDescent="0.25">
      <c r="A14" s="2">
        <f>A9+1</f>
        <v>4</v>
      </c>
      <c r="B14" s="112" t="s">
        <v>206</v>
      </c>
      <c r="C14" s="112" t="s">
        <v>207</v>
      </c>
      <c r="D14" s="112" t="s">
        <v>208</v>
      </c>
      <c r="E14" s="3"/>
    </row>
    <row r="15" spans="1:8" ht="40.5" x14ac:dyDescent="0.25">
      <c r="A15" s="2">
        <f>A14+1</f>
        <v>5</v>
      </c>
      <c r="B15" s="29" t="s">
        <v>209</v>
      </c>
      <c r="C15" s="29" t="s">
        <v>210</v>
      </c>
      <c r="D15" s="3"/>
      <c r="E15" s="3"/>
    </row>
    <row r="16" spans="1:8" x14ac:dyDescent="0.25">
      <c r="A16" s="2">
        <f t="shared" ref="A16" si="1">A15+1</f>
        <v>6</v>
      </c>
      <c r="B16" s="71">
        <v>2129198</v>
      </c>
      <c r="C16" s="71">
        <v>896</v>
      </c>
      <c r="D16" s="71">
        <f>SUM(B16:C16)</f>
        <v>2130094</v>
      </c>
      <c r="E16" s="110">
        <v>47189</v>
      </c>
      <c r="F16" s="72">
        <f>ROUND(D16/E16,2)</f>
        <v>45.14</v>
      </c>
      <c r="G16" s="72">
        <f>F16*0.25</f>
        <v>11.285</v>
      </c>
      <c r="H16" s="72">
        <f>F16-G16</f>
        <v>33.855000000000004</v>
      </c>
    </row>
    <row r="17" spans="2:6" x14ac:dyDescent="0.25">
      <c r="B17" s="3"/>
      <c r="C17" s="3"/>
      <c r="D17" s="3"/>
      <c r="E17" s="3"/>
      <c r="F17" s="3"/>
    </row>
    <row r="18" spans="2:6" x14ac:dyDescent="0.25">
      <c r="B18" s="4"/>
    </row>
    <row r="21" spans="2:6" x14ac:dyDescent="0.25">
      <c r="C21" s="65"/>
      <c r="D21" s="65"/>
    </row>
  </sheetData>
  <mergeCells count="3">
    <mergeCell ref="B11:D11"/>
    <mergeCell ref="B6:D6"/>
    <mergeCell ref="B13:D13"/>
  </mergeCells>
  <pageMargins left="0.7" right="0.7" top="0.75" bottom="0.75" header="0.3" footer="0.3"/>
  <pageSetup scale="7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708A0F-2E4C-400C-B7CF-EF746C85B9D8}">
  <ds:schemaRefs>
    <ds:schemaRef ds:uri="http://purl.org/dc/terms/"/>
    <ds:schemaRef ds:uri="http://purl.org/dc/elements/1.1/"/>
    <ds:schemaRef ds:uri="99180bc4-2f7d-45e7-9e22-353907fb92c6"/>
    <ds:schemaRef ds:uri="http://purl.org/dc/dcmitype/"/>
    <ds:schemaRef ds:uri="http://www.w3.org/XML/1998/namespace"/>
    <ds:schemaRef ds:uri="7558938a-8a22-4524-afb0-58b165029303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22EE5F-735C-40B9-865C-8B07DB587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AD9651-0A2A-42A0-B0A1-B74DB7C34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Rate Design</vt:lpstr>
      <vt:lpstr>Return</vt:lpstr>
      <vt:lpstr>Tax and Depreciation</vt:lpstr>
      <vt:lpstr>Fuel, Energy, Demand, Customer</vt:lpstr>
      <vt:lpstr>O&amp;M</vt:lpstr>
      <vt:lpstr>'Rate Design'!Print_Area</vt:lpstr>
      <vt:lpstr>'Tax and Depreciation'!Print_Area</vt:lpstr>
      <vt:lpstr>'Rate Design'!Print_Titles</vt:lpstr>
    </vt:vector>
  </TitlesOfParts>
  <Manager/>
  <Company>Indianapolis Power &amp; Light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EISSupport</dc:creator>
  <cp:keywords/>
  <dc:description/>
  <cp:lastModifiedBy>mbecerra</cp:lastModifiedBy>
  <cp:revision/>
  <dcterms:created xsi:type="dcterms:W3CDTF">2013-12-11T15:48:42Z</dcterms:created>
  <dcterms:modified xsi:type="dcterms:W3CDTF">2018-11-13T19:39:26Z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{932AFF4D-3F4B-4AC0-8C74-365483F868E8}</vt:lpwstr>
  </property>
  <property fmtid="{D5CDD505-2E9C-101B-9397-08002B2CF9AE}" pid="3" name="ContentTypeId">
    <vt:lpwstr>0x01010017F62C1BAB7D1B4998D0BFFEC59B8AD2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