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ruce\Desktop\FILINGS\"/>
    </mc:Choice>
  </mc:AlternateContent>
  <xr:revisionPtr revIDLastSave="0" documentId="8_{15B3D743-DCDB-41EC-8093-516BA493393A}" xr6:coauthVersionLast="47" xr6:coauthVersionMax="47" xr10:uidLastSave="{00000000-0000-0000-0000-000000000000}"/>
  <bookViews>
    <workbookView xWindow="-120" yWindow="-120" windowWidth="29040" windowHeight="15840" firstSheet="9" activeTab="9" xr2:uid="{00000000-000D-0000-FFFF-FFFF00000000}"/>
  </bookViews>
  <sheets>
    <sheet name="Cover Page" sheetId="13" r:id="rId1"/>
    <sheet name="Sch 1 - Overall" sheetId="24" r:id="rId2"/>
    <sheet name="Sch 1 - Phased" sheetId="1" r:id="rId3"/>
    <sheet name="Sch 1 - REcon of IS Adj." sheetId="44" r:id="rId4"/>
    <sheet name="Sch 2 - BS" sheetId="2" r:id="rId5"/>
    <sheet name="Sch 3 - IS" sheetId="3" r:id="rId6"/>
    <sheet name="Sch 4 PF IS" sheetId="6" r:id="rId7"/>
    <sheet name="Sch 5 - Inc Adj" sheetId="8" r:id="rId8"/>
    <sheet name="Sch 6 - Exp Adj" sheetId="7" r:id="rId9"/>
    <sheet name="Sch 7 - E&amp;R" sheetId="5" r:id="rId10"/>
    <sheet name="Sch 8 - PILT" sheetId="14" r:id="rId11"/>
    <sheet name="Sch 9 - Working Captial" sheetId="11" r:id="rId12"/>
    <sheet name="Sch 10 - Debt Service" sheetId="10" r:id="rId13"/>
    <sheet name="Sch 11 - Debt Service Reserve" sheetId="9" r:id="rId14"/>
    <sheet name="Sch 12 - Tariff" sheetId="12" r:id="rId15"/>
    <sheet name="Workpapers" sheetId="15" r:id="rId16"/>
    <sheet name="WP-2 Rev Req Comp" sheetId="16" r:id="rId17"/>
    <sheet name="WP-3 IS TB Map" sheetId="25" r:id="rId18"/>
    <sheet name="WP-4 Salaries &amp; Wages Expense" sheetId="38" r:id="rId19"/>
    <sheet name="WP-5 Payroll Data" sheetId="43" r:id="rId20"/>
    <sheet name="WP-6 2024 Salaries $ Wages" sheetId="40" r:id="rId21"/>
    <sheet name="WP-7 Tank Maint" sheetId="31" r:id="rId22"/>
    <sheet name="Inputs" sheetId="4" r:id="rId23"/>
  </sheets>
  <definedNames>
    <definedName name="_xlnm._FilterDatabase" localSheetId="18" hidden="1">'WP-4 Salaries &amp; Wages Expense'!$A$9:$CI$1049</definedName>
    <definedName name="_xlnm._FilterDatabase" localSheetId="19" hidden="1">'WP-5 Payroll Data'!$A$9:$I$1049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_xlnm.Print_Area" localSheetId="1">'Sch 1 - Overall'!$A$1:$J$33</definedName>
    <definedName name="_xlnm.Print_Area" localSheetId="2">'Sch 1 - Phased'!$A$1:$AA$69</definedName>
    <definedName name="_xlnm.Print_Area" localSheetId="3">'Sch 1 - REcon of IS Adj.'!$A$1:$L$39</definedName>
    <definedName name="_xlnm.Print_Area" localSheetId="12">'Sch 10 - Debt Service'!$A$1:$N$24</definedName>
    <definedName name="_xlnm.Print_Area" localSheetId="13">'Sch 11 - Debt Service Reserve'!$A$1:$N$22</definedName>
    <definedName name="_xlnm.Print_Area" localSheetId="14">'Sch 12 - Tariff'!$A$1:$L$25</definedName>
    <definedName name="_xlnm.Print_Area" localSheetId="4">'Sch 2 - BS'!$A$1:$J$74</definedName>
    <definedName name="_xlnm.Print_Area" localSheetId="5">'Sch 3 - IS'!$A$1:$J$71</definedName>
    <definedName name="_xlnm.Print_Area" localSheetId="6">'Sch 4 PF IS'!$A$1:$R$148</definedName>
    <definedName name="_xlnm.Print_Area" localSheetId="7">'Sch 5 - Inc Adj'!$A$1:$I$17</definedName>
    <definedName name="_xlnm.Print_Area" localSheetId="8">'Sch 6 - Exp Adj'!$A$1:$I$136</definedName>
    <definedName name="_xlnm.Print_Area" localSheetId="9">'Sch 7 - E&amp;R'!$A$1:$L$25</definedName>
    <definedName name="_xlnm.Print_Area" localSheetId="10">'Sch 8 - PILT'!$A$1:$H$17</definedName>
    <definedName name="_xlnm.Print_Area" localSheetId="11">'Sch 9 - Working Captial'!$A$1:$I$32</definedName>
    <definedName name="_xlnm.Print_Area" localSheetId="17">'WP-3 IS TB Map'!$A$1:$R$178</definedName>
    <definedName name="_xlnm.Print_Area" localSheetId="18">'WP-4 Salaries &amp; Wages Expense'!$A$1:$W$1110</definedName>
    <definedName name="_xlnm.Print_Area" localSheetId="19">'WP-5 Payroll Data'!$A$1:$P$1049</definedName>
    <definedName name="_xlnm.Print_Area" localSheetId="20">'WP-6 2024 Salaries $ Wages'!$A$1:$C$82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44" l="1"/>
  <c r="H21" i="44"/>
  <c r="H20" i="44"/>
  <c r="H23" i="6"/>
  <c r="V1103" i="38" s="1"/>
  <c r="H22" i="6"/>
  <c r="V1093" i="38" s="1"/>
  <c r="H21" i="6"/>
  <c r="V1089" i="38" s="1"/>
  <c r="O1105" i="38"/>
  <c r="S1098" i="38"/>
  <c r="S1097" i="38"/>
  <c r="S1096" i="38"/>
  <c r="P2" i="43" l="1"/>
  <c r="A5" i="31"/>
  <c r="A4" i="31"/>
  <c r="Q2" i="31"/>
  <c r="Q1" i="31"/>
  <c r="C2" i="40"/>
  <c r="A5" i="40"/>
  <c r="A4" i="40"/>
  <c r="C1" i="40"/>
  <c r="A5" i="43"/>
  <c r="A4" i="43"/>
  <c r="P1" i="43"/>
  <c r="W2" i="38"/>
  <c r="A5" i="38"/>
  <c r="A4" i="38"/>
  <c r="W1" i="38"/>
  <c r="G51" i="1" l="1"/>
  <c r="O51" i="1"/>
  <c r="W16" i="1"/>
  <c r="O16" i="1"/>
  <c r="G16" i="1"/>
  <c r="F72" i="3"/>
  <c r="H72" i="3"/>
  <c r="D41" i="44"/>
  <c r="D27" i="24" l="1"/>
  <c r="D26" i="24"/>
  <c r="D14" i="24"/>
  <c r="D13" i="24"/>
  <c r="D16" i="24"/>
  <c r="D15" i="24"/>
  <c r="M63" i="1"/>
  <c r="M64" i="1"/>
  <c r="M53" i="1"/>
  <c r="M52" i="1"/>
  <c r="M50" i="1"/>
  <c r="M49" i="1"/>
  <c r="E63" i="1"/>
  <c r="U18" i="1"/>
  <c r="U19" i="1"/>
  <c r="E54" i="1"/>
  <c r="E53" i="1"/>
  <c r="E52" i="1"/>
  <c r="E50" i="1"/>
  <c r="E49" i="1"/>
  <c r="E64" i="1"/>
  <c r="U28" i="1"/>
  <c r="U29" i="1"/>
  <c r="U17" i="1"/>
  <c r="U15" i="1"/>
  <c r="U14" i="1"/>
  <c r="M14" i="1"/>
  <c r="M17" i="1"/>
  <c r="M15" i="1"/>
  <c r="M28" i="1"/>
  <c r="M27" i="1" s="1"/>
  <c r="M29" i="1"/>
  <c r="E33" i="1"/>
  <c r="E29" i="1"/>
  <c r="E28" i="1"/>
  <c r="A39" i="1"/>
  <c r="A40" i="1"/>
  <c r="E17" i="1"/>
  <c r="E14" i="1"/>
  <c r="G24" i="1" l="1"/>
  <c r="V39" i="6"/>
  <c r="V65" i="6"/>
  <c r="G89" i="7"/>
  <c r="H32" i="44"/>
  <c r="L32" i="44" s="1"/>
  <c r="H31" i="44"/>
  <c r="L31" i="44" s="1"/>
  <c r="H30" i="44"/>
  <c r="L30" i="44" s="1"/>
  <c r="H22" i="44"/>
  <c r="L22" i="44" s="1"/>
  <c r="A13" i="44"/>
  <c r="H14" i="44"/>
  <c r="L14" i="44" s="1"/>
  <c r="L15" i="44" s="1"/>
  <c r="A15" i="44"/>
  <c r="T88" i="44"/>
  <c r="S55" i="44"/>
  <c r="S57" i="44" s="1"/>
  <c r="S44" i="44"/>
  <c r="D36" i="44"/>
  <c r="D38" i="44" s="1"/>
  <c r="D42" i="44" s="1"/>
  <c r="J33" i="44"/>
  <c r="J32" i="44"/>
  <c r="J31" i="44"/>
  <c r="J30" i="44"/>
  <c r="J29" i="44"/>
  <c r="J27" i="44"/>
  <c r="J22" i="44"/>
  <c r="J23" i="44"/>
  <c r="J20" i="44"/>
  <c r="J19" i="44"/>
  <c r="A5" i="44"/>
  <c r="A4" i="44"/>
  <c r="E26" i="4"/>
  <c r="H15" i="44" l="1"/>
  <c r="G28" i="11" l="1"/>
  <c r="I28" i="11" s="1"/>
  <c r="I27" i="11"/>
  <c r="G30" i="11"/>
  <c r="G29" i="11"/>
  <c r="G16" i="11"/>
  <c r="E15" i="11"/>
  <c r="E14" i="11"/>
  <c r="E18" i="11" l="1"/>
  <c r="F15" i="24"/>
  <c r="A1112" i="38"/>
  <c r="A1110" i="38"/>
  <c r="A1111" i="38"/>
  <c r="A1109" i="38"/>
  <c r="B1104" i="38" l="1"/>
  <c r="B1096" i="38"/>
  <c r="B1108" i="38"/>
  <c r="B1107" i="38"/>
  <c r="B1080" i="38"/>
  <c r="B1106" i="38"/>
  <c r="B1105" i="38"/>
  <c r="B1103" i="38"/>
  <c r="B1102" i="38"/>
  <c r="B1101" i="38"/>
  <c r="B1100" i="38"/>
  <c r="B1093" i="38"/>
  <c r="B1092" i="38"/>
  <c r="B1091" i="38"/>
  <c r="B1090" i="38"/>
  <c r="B1097" i="38"/>
  <c r="B1089" i="38"/>
  <c r="B1082" i="38"/>
  <c r="B1081" i="38"/>
  <c r="B1088" i="38"/>
  <c r="B1087" i="38"/>
  <c r="B1086" i="38"/>
  <c r="B1085" i="38"/>
  <c r="B1084" i="38"/>
  <c r="B1095" i="38"/>
  <c r="B1094" i="38"/>
  <c r="B1116" i="38"/>
  <c r="B1115" i="38"/>
  <c r="V11" i="38" l="1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27" i="38"/>
  <c r="V28" i="38"/>
  <c r="V29" i="38"/>
  <c r="V30" i="38"/>
  <c r="V31" i="38"/>
  <c r="V32" i="38"/>
  <c r="V33" i="38"/>
  <c r="V34" i="38"/>
  <c r="W34" i="38" s="1"/>
  <c r="V35" i="38"/>
  <c r="V36" i="38"/>
  <c r="V37" i="38"/>
  <c r="W37" i="38" s="1"/>
  <c r="V38" i="38"/>
  <c r="V39" i="38"/>
  <c r="V40" i="38"/>
  <c r="V41" i="38"/>
  <c r="V42" i="38"/>
  <c r="V43" i="38"/>
  <c r="W43" i="38" s="1"/>
  <c r="V44" i="38"/>
  <c r="V45" i="38"/>
  <c r="V46" i="38"/>
  <c r="V47" i="38"/>
  <c r="V48" i="38"/>
  <c r="V49" i="38"/>
  <c r="V50" i="38"/>
  <c r="W50" i="38" s="1"/>
  <c r="V51" i="38"/>
  <c r="V52" i="38"/>
  <c r="V53" i="38"/>
  <c r="V54" i="38"/>
  <c r="V55" i="38"/>
  <c r="V56" i="38"/>
  <c r="V57" i="38"/>
  <c r="V58" i="38"/>
  <c r="W58" i="38" s="1"/>
  <c r="V59" i="38"/>
  <c r="V60" i="38"/>
  <c r="V61" i="38"/>
  <c r="V62" i="38"/>
  <c r="V63" i="38"/>
  <c r="V64" i="38"/>
  <c r="W64" i="38" s="1"/>
  <c r="V65" i="38"/>
  <c r="V66" i="38"/>
  <c r="V67" i="38"/>
  <c r="V68" i="38"/>
  <c r="V69" i="38"/>
  <c r="V70" i="38"/>
  <c r="V71" i="38"/>
  <c r="V72" i="38"/>
  <c r="V73" i="38"/>
  <c r="W73" i="38" s="1"/>
  <c r="V74" i="38"/>
  <c r="V75" i="38"/>
  <c r="V76" i="38"/>
  <c r="V77" i="38"/>
  <c r="V78" i="38"/>
  <c r="V79" i="38"/>
  <c r="V80" i="38"/>
  <c r="V81" i="38"/>
  <c r="V82" i="38"/>
  <c r="W82" i="38" s="1"/>
  <c r="V83" i="38"/>
  <c r="V84" i="38"/>
  <c r="V85" i="38"/>
  <c r="V86" i="38"/>
  <c r="V87" i="38"/>
  <c r="W87" i="38" s="1"/>
  <c r="V88" i="38"/>
  <c r="V89" i="38"/>
  <c r="V90" i="38"/>
  <c r="V91" i="38"/>
  <c r="V92" i="38"/>
  <c r="V93" i="38"/>
  <c r="V94" i="38"/>
  <c r="V95" i="38"/>
  <c r="V96" i="38"/>
  <c r="V97" i="38"/>
  <c r="V98" i="38"/>
  <c r="V99" i="38"/>
  <c r="V100" i="38"/>
  <c r="V101" i="38"/>
  <c r="V102" i="38"/>
  <c r="V103" i="38"/>
  <c r="W103" i="38" s="1"/>
  <c r="V104" i="38"/>
  <c r="V105" i="38"/>
  <c r="V106" i="38"/>
  <c r="V107" i="38"/>
  <c r="V108" i="38"/>
  <c r="V109" i="38"/>
  <c r="V110" i="38"/>
  <c r="V111" i="38"/>
  <c r="V112" i="38"/>
  <c r="V113" i="38"/>
  <c r="V114" i="38"/>
  <c r="V115" i="38"/>
  <c r="V116" i="38"/>
  <c r="W116" i="38" s="1"/>
  <c r="V117" i="38"/>
  <c r="V118" i="38"/>
  <c r="V119" i="38"/>
  <c r="V120" i="38"/>
  <c r="V121" i="38"/>
  <c r="W121" i="38" s="1"/>
  <c r="V122" i="38"/>
  <c r="V123" i="38"/>
  <c r="V124" i="38"/>
  <c r="V125" i="38"/>
  <c r="V126" i="38"/>
  <c r="V127" i="38"/>
  <c r="W127" i="38" s="1"/>
  <c r="V128" i="38"/>
  <c r="V129" i="38"/>
  <c r="V130" i="38"/>
  <c r="V131" i="38"/>
  <c r="V132" i="38"/>
  <c r="V133" i="38"/>
  <c r="V134" i="38"/>
  <c r="V135" i="38"/>
  <c r="V136" i="38"/>
  <c r="V137" i="38"/>
  <c r="V138" i="38"/>
  <c r="W138" i="38" s="1"/>
  <c r="V139" i="38"/>
  <c r="V140" i="38"/>
  <c r="V141" i="38"/>
  <c r="V142" i="38"/>
  <c r="V143" i="38"/>
  <c r="V144" i="38"/>
  <c r="V145" i="38"/>
  <c r="V146" i="38"/>
  <c r="V147" i="38"/>
  <c r="V148" i="38"/>
  <c r="V149" i="38"/>
  <c r="V150" i="38"/>
  <c r="V151" i="38"/>
  <c r="V152" i="38"/>
  <c r="V153" i="38"/>
  <c r="W153" i="38" s="1"/>
  <c r="V154" i="38"/>
  <c r="V155" i="38"/>
  <c r="V156" i="38"/>
  <c r="V157" i="38"/>
  <c r="V158" i="38"/>
  <c r="V159" i="38"/>
  <c r="V160" i="38"/>
  <c r="V161" i="38"/>
  <c r="V162" i="38"/>
  <c r="W162" i="38" s="1"/>
  <c r="V163" i="38"/>
  <c r="V164" i="38"/>
  <c r="V165" i="38"/>
  <c r="V166" i="38"/>
  <c r="V167" i="38"/>
  <c r="V168" i="38"/>
  <c r="V169" i="38"/>
  <c r="V170" i="38"/>
  <c r="V171" i="38"/>
  <c r="V172" i="38"/>
  <c r="V173" i="38"/>
  <c r="W173" i="38" s="1"/>
  <c r="V174" i="38"/>
  <c r="V175" i="38"/>
  <c r="W175" i="38" s="1"/>
  <c r="V176" i="38"/>
  <c r="V177" i="38"/>
  <c r="V178" i="38"/>
  <c r="V179" i="38"/>
  <c r="V180" i="38"/>
  <c r="V181" i="38"/>
  <c r="V182" i="38"/>
  <c r="W182" i="38" s="1"/>
  <c r="V183" i="38"/>
  <c r="V184" i="38"/>
  <c r="V185" i="38"/>
  <c r="V186" i="38"/>
  <c r="V187" i="38"/>
  <c r="V188" i="38"/>
  <c r="V189" i="38"/>
  <c r="W189" i="38" s="1"/>
  <c r="V190" i="38"/>
  <c r="V191" i="38"/>
  <c r="V192" i="38"/>
  <c r="V193" i="38"/>
  <c r="V194" i="38"/>
  <c r="V195" i="38"/>
  <c r="V196" i="38"/>
  <c r="V197" i="38"/>
  <c r="V198" i="38"/>
  <c r="W198" i="38" s="1"/>
  <c r="V199" i="38"/>
  <c r="W199" i="38" s="1"/>
  <c r="V200" i="38"/>
  <c r="V201" i="38"/>
  <c r="V202" i="38"/>
  <c r="V203" i="38"/>
  <c r="V204" i="38"/>
  <c r="V205" i="38"/>
  <c r="V206" i="38"/>
  <c r="W206" i="38" s="1"/>
  <c r="V207" i="38"/>
  <c r="V208" i="38"/>
  <c r="V209" i="38"/>
  <c r="V210" i="38"/>
  <c r="V211" i="38"/>
  <c r="V212" i="38"/>
  <c r="V213" i="38"/>
  <c r="W213" i="38" s="1"/>
  <c r="V214" i="38"/>
  <c r="V215" i="38"/>
  <c r="V216" i="38"/>
  <c r="V217" i="38"/>
  <c r="V218" i="38"/>
  <c r="V219" i="38"/>
  <c r="V220" i="38"/>
  <c r="V221" i="38"/>
  <c r="W221" i="38" s="1"/>
  <c r="V222" i="38"/>
  <c r="V223" i="38"/>
  <c r="V224" i="38"/>
  <c r="V225" i="38"/>
  <c r="V226" i="38"/>
  <c r="V227" i="38"/>
  <c r="V228" i="38"/>
  <c r="V229" i="38"/>
  <c r="V230" i="38"/>
  <c r="V231" i="38"/>
  <c r="W231" i="38" s="1"/>
  <c r="V232" i="38"/>
  <c r="V233" i="38"/>
  <c r="V234" i="38"/>
  <c r="V235" i="38"/>
  <c r="V236" i="38"/>
  <c r="V237" i="38"/>
  <c r="V238" i="38"/>
  <c r="V239" i="38"/>
  <c r="W239" i="38" s="1"/>
  <c r="V240" i="38"/>
  <c r="V241" i="38"/>
  <c r="V242" i="38"/>
  <c r="V243" i="38"/>
  <c r="V244" i="38"/>
  <c r="V245" i="38"/>
  <c r="W245" i="38" s="1"/>
  <c r="V246" i="38"/>
  <c r="V247" i="38"/>
  <c r="V248" i="38"/>
  <c r="V249" i="38"/>
  <c r="V250" i="38"/>
  <c r="V251" i="38"/>
  <c r="V252" i="38"/>
  <c r="V253" i="38"/>
  <c r="W253" i="38" s="1"/>
  <c r="V254" i="38"/>
  <c r="V255" i="38"/>
  <c r="V256" i="38"/>
  <c r="V257" i="38"/>
  <c r="V258" i="38"/>
  <c r="V259" i="38"/>
  <c r="V260" i="38"/>
  <c r="V261" i="38"/>
  <c r="V262" i="38"/>
  <c r="V263" i="38"/>
  <c r="V264" i="38"/>
  <c r="W264" i="38" s="1"/>
  <c r="V265" i="38"/>
  <c r="V266" i="38"/>
  <c r="W266" i="38" s="1"/>
  <c r="V267" i="38"/>
  <c r="V268" i="38"/>
  <c r="V269" i="38"/>
  <c r="V270" i="38"/>
  <c r="V271" i="38"/>
  <c r="V272" i="38"/>
  <c r="V273" i="38"/>
  <c r="V274" i="38"/>
  <c r="V275" i="38"/>
  <c r="V276" i="38"/>
  <c r="V277" i="38"/>
  <c r="W277" i="38" s="1"/>
  <c r="V278" i="38"/>
  <c r="V279" i="38"/>
  <c r="V280" i="38"/>
  <c r="V281" i="38"/>
  <c r="V282" i="38"/>
  <c r="W282" i="38" s="1"/>
  <c r="V283" i="38"/>
  <c r="V284" i="38"/>
  <c r="V285" i="38"/>
  <c r="V286" i="38"/>
  <c r="V287" i="38"/>
  <c r="V288" i="38"/>
  <c r="V289" i="38"/>
  <c r="V290" i="38"/>
  <c r="V291" i="38"/>
  <c r="V292" i="38"/>
  <c r="V293" i="38"/>
  <c r="W293" i="38" s="1"/>
  <c r="V294" i="38"/>
  <c r="V295" i="38"/>
  <c r="V296" i="38"/>
  <c r="V297" i="38"/>
  <c r="V298" i="38"/>
  <c r="V299" i="38"/>
  <c r="V300" i="38"/>
  <c r="V301" i="38"/>
  <c r="V302" i="38"/>
  <c r="W302" i="38" s="1"/>
  <c r="V303" i="38"/>
  <c r="V304" i="38"/>
  <c r="V305" i="38"/>
  <c r="V306" i="38"/>
  <c r="V307" i="38"/>
  <c r="V308" i="38"/>
  <c r="V309" i="38"/>
  <c r="V310" i="38"/>
  <c r="V311" i="38"/>
  <c r="W311" i="38" s="1"/>
  <c r="V312" i="38"/>
  <c r="V313" i="38"/>
  <c r="V314" i="38"/>
  <c r="V315" i="38"/>
  <c r="V316" i="38"/>
  <c r="V317" i="38"/>
  <c r="V318" i="38"/>
  <c r="V319" i="38"/>
  <c r="V320" i="38"/>
  <c r="V321" i="38"/>
  <c r="V322" i="38"/>
  <c r="V323" i="38"/>
  <c r="V324" i="38"/>
  <c r="V325" i="38"/>
  <c r="V326" i="38"/>
  <c r="V327" i="38"/>
  <c r="V328" i="38"/>
  <c r="V329" i="38"/>
  <c r="V330" i="38"/>
  <c r="V331" i="38"/>
  <c r="V332" i="38"/>
  <c r="V333" i="38"/>
  <c r="V334" i="38"/>
  <c r="V335" i="38"/>
  <c r="V336" i="38"/>
  <c r="V337" i="38"/>
  <c r="W337" i="38" s="1"/>
  <c r="V338" i="38"/>
  <c r="V339" i="38"/>
  <c r="V340" i="38"/>
  <c r="V341" i="38"/>
  <c r="V342" i="38"/>
  <c r="V343" i="38"/>
  <c r="W343" i="38" s="1"/>
  <c r="V344" i="38"/>
  <c r="V345" i="38"/>
  <c r="V346" i="38"/>
  <c r="V347" i="38"/>
  <c r="V348" i="38"/>
  <c r="V349" i="38"/>
  <c r="V350" i="38"/>
  <c r="V351" i="38"/>
  <c r="V352" i="38"/>
  <c r="V353" i="38"/>
  <c r="W353" i="38" s="1"/>
  <c r="V354" i="38"/>
  <c r="V355" i="38"/>
  <c r="V356" i="38"/>
  <c r="W356" i="38" s="1"/>
  <c r="V357" i="38"/>
  <c r="V358" i="38"/>
  <c r="V359" i="38"/>
  <c r="V360" i="38"/>
  <c r="V361" i="38"/>
  <c r="V362" i="38"/>
  <c r="V363" i="38"/>
  <c r="V364" i="38"/>
  <c r="V365" i="38"/>
  <c r="W365" i="38" s="1"/>
  <c r="V366" i="38"/>
  <c r="V367" i="38"/>
  <c r="W367" i="38" s="1"/>
  <c r="V368" i="38"/>
  <c r="V369" i="38"/>
  <c r="V370" i="38"/>
  <c r="V371" i="38"/>
  <c r="V372" i="38"/>
  <c r="V373" i="38"/>
  <c r="V374" i="38"/>
  <c r="V375" i="38"/>
  <c r="V376" i="38"/>
  <c r="V377" i="38"/>
  <c r="W377" i="38" s="1"/>
  <c r="V378" i="38"/>
  <c r="V379" i="38"/>
  <c r="V380" i="38"/>
  <c r="V381" i="38"/>
  <c r="V382" i="38"/>
  <c r="V383" i="38"/>
  <c r="V384" i="38"/>
  <c r="V385" i="38"/>
  <c r="W385" i="38" s="1"/>
  <c r="V386" i="38"/>
  <c r="V387" i="38"/>
  <c r="W387" i="38" s="1"/>
  <c r="V388" i="38"/>
  <c r="V389" i="38"/>
  <c r="V390" i="38"/>
  <c r="V391" i="38"/>
  <c r="V392" i="38"/>
  <c r="V393" i="38"/>
  <c r="V394" i="38"/>
  <c r="W394" i="38" s="1"/>
  <c r="V395" i="38"/>
  <c r="V396" i="38"/>
  <c r="V397" i="38"/>
  <c r="V398" i="38"/>
  <c r="V399" i="38"/>
  <c r="V400" i="38"/>
  <c r="V401" i="38"/>
  <c r="V402" i="38"/>
  <c r="V403" i="38"/>
  <c r="V404" i="38"/>
  <c r="W404" i="38" s="1"/>
  <c r="V405" i="38"/>
  <c r="V406" i="38"/>
  <c r="V407" i="38"/>
  <c r="V408" i="38"/>
  <c r="V409" i="38"/>
  <c r="V410" i="38"/>
  <c r="V411" i="38"/>
  <c r="V412" i="38"/>
  <c r="V413" i="38"/>
  <c r="W413" i="38" s="1"/>
  <c r="V414" i="38"/>
  <c r="V415" i="38"/>
  <c r="V416" i="38"/>
  <c r="W416" i="38" s="1"/>
  <c r="V417" i="38"/>
  <c r="V418" i="38"/>
  <c r="V419" i="38"/>
  <c r="V420" i="38"/>
  <c r="V421" i="38"/>
  <c r="V422" i="38"/>
  <c r="V423" i="38"/>
  <c r="V424" i="38"/>
  <c r="V425" i="38"/>
  <c r="V426" i="38"/>
  <c r="V427" i="38"/>
  <c r="W427" i="38" s="1"/>
  <c r="V428" i="38"/>
  <c r="V429" i="38"/>
  <c r="W429" i="38" s="1"/>
  <c r="V430" i="38"/>
  <c r="V431" i="38"/>
  <c r="V432" i="38"/>
  <c r="V433" i="38"/>
  <c r="V434" i="38"/>
  <c r="W434" i="38" s="1"/>
  <c r="V435" i="38"/>
  <c r="V436" i="38"/>
  <c r="V437" i="38"/>
  <c r="V438" i="38"/>
  <c r="V439" i="38"/>
  <c r="V440" i="38"/>
  <c r="V441" i="38"/>
  <c r="V442" i="38"/>
  <c r="V443" i="38"/>
  <c r="V444" i="38"/>
  <c r="V445" i="38"/>
  <c r="W445" i="38" s="1"/>
  <c r="V446" i="38"/>
  <c r="V447" i="38"/>
  <c r="W447" i="38" s="1"/>
  <c r="V448" i="38"/>
  <c r="V449" i="38"/>
  <c r="V450" i="38"/>
  <c r="V451" i="38"/>
  <c r="V452" i="38"/>
  <c r="V453" i="38"/>
  <c r="V454" i="38"/>
  <c r="V455" i="38"/>
  <c r="V456" i="38"/>
  <c r="V457" i="38"/>
  <c r="V458" i="38"/>
  <c r="W458" i="38" s="1"/>
  <c r="V459" i="38"/>
  <c r="V460" i="38"/>
  <c r="W460" i="38" s="1"/>
  <c r="V461" i="38"/>
  <c r="V462" i="38"/>
  <c r="V463" i="38"/>
  <c r="V464" i="38"/>
  <c r="V465" i="38"/>
  <c r="V466" i="38"/>
  <c r="V467" i="38"/>
  <c r="W467" i="38" s="1"/>
  <c r="V468" i="38"/>
  <c r="V469" i="38"/>
  <c r="V470" i="38"/>
  <c r="V471" i="38"/>
  <c r="V472" i="38"/>
  <c r="V473" i="38"/>
  <c r="V474" i="38"/>
  <c r="V475" i="38"/>
  <c r="W475" i="38" s="1"/>
  <c r="V476" i="38"/>
  <c r="V477" i="38"/>
  <c r="V478" i="38"/>
  <c r="V479" i="38"/>
  <c r="V480" i="38"/>
  <c r="V481" i="38"/>
  <c r="V482" i="38"/>
  <c r="V483" i="38"/>
  <c r="W483" i="38" s="1"/>
  <c r="V484" i="38"/>
  <c r="V485" i="38"/>
  <c r="V486" i="38"/>
  <c r="V487" i="38"/>
  <c r="V488" i="38"/>
  <c r="V489" i="38"/>
  <c r="V490" i="38"/>
  <c r="W490" i="38" s="1"/>
  <c r="V491" i="38"/>
  <c r="V492" i="38"/>
  <c r="V493" i="38"/>
  <c r="V494" i="38"/>
  <c r="V495" i="38"/>
  <c r="V496" i="38"/>
  <c r="V497" i="38"/>
  <c r="V498" i="38"/>
  <c r="V499" i="38"/>
  <c r="W499" i="38" s="1"/>
  <c r="V500" i="38"/>
  <c r="V501" i="38"/>
  <c r="W501" i="38" s="1"/>
  <c r="V502" i="38"/>
  <c r="V503" i="38"/>
  <c r="V504" i="38"/>
  <c r="V505" i="38"/>
  <c r="V506" i="38"/>
  <c r="V507" i="38"/>
  <c r="V508" i="38"/>
  <c r="W508" i="38" s="1"/>
  <c r="V509" i="38"/>
  <c r="V510" i="38"/>
  <c r="V511" i="38"/>
  <c r="V512" i="38"/>
  <c r="V513" i="38"/>
  <c r="V514" i="38"/>
  <c r="V515" i="38"/>
  <c r="V516" i="38"/>
  <c r="V517" i="38"/>
  <c r="V518" i="38"/>
  <c r="V519" i="38"/>
  <c r="V520" i="38"/>
  <c r="V521" i="38"/>
  <c r="V522" i="38"/>
  <c r="V523" i="38"/>
  <c r="W523" i="38" s="1"/>
  <c r="V524" i="38"/>
  <c r="V525" i="38"/>
  <c r="V526" i="38"/>
  <c r="V527" i="38"/>
  <c r="V528" i="38"/>
  <c r="V529" i="38"/>
  <c r="V530" i="38"/>
  <c r="V531" i="38"/>
  <c r="V532" i="38"/>
  <c r="W532" i="38" s="1"/>
  <c r="V533" i="38"/>
  <c r="V534" i="38"/>
  <c r="V535" i="38"/>
  <c r="V536" i="38"/>
  <c r="V537" i="38"/>
  <c r="V538" i="38"/>
  <c r="V539" i="38"/>
  <c r="V540" i="38"/>
  <c r="V541" i="38"/>
  <c r="V542" i="38"/>
  <c r="V543" i="38"/>
  <c r="W543" i="38" s="1"/>
  <c r="V544" i="38"/>
  <c r="V545" i="38"/>
  <c r="W545" i="38" s="1"/>
  <c r="V546" i="38"/>
  <c r="V547" i="38"/>
  <c r="V548" i="38"/>
  <c r="V549" i="38"/>
  <c r="V550" i="38"/>
  <c r="V551" i="38"/>
  <c r="V552" i="38"/>
  <c r="V553" i="38"/>
  <c r="V554" i="38"/>
  <c r="V555" i="38"/>
  <c r="V556" i="38"/>
  <c r="V557" i="38"/>
  <c r="V558" i="38"/>
  <c r="V559" i="38"/>
  <c r="W559" i="38" s="1"/>
  <c r="V560" i="38"/>
  <c r="V561" i="38"/>
  <c r="V562" i="38"/>
  <c r="W562" i="38" s="1"/>
  <c r="V563" i="38"/>
  <c r="V564" i="38"/>
  <c r="V565" i="38"/>
  <c r="V566" i="38"/>
  <c r="V567" i="38"/>
  <c r="V568" i="38"/>
  <c r="V569" i="38"/>
  <c r="V570" i="38"/>
  <c r="V571" i="38"/>
  <c r="V572" i="38"/>
  <c r="W572" i="38" s="1"/>
  <c r="V573" i="38"/>
  <c r="V574" i="38"/>
  <c r="W574" i="38" s="1"/>
  <c r="V575" i="38"/>
  <c r="V576" i="38"/>
  <c r="V577" i="38"/>
  <c r="V578" i="38"/>
  <c r="V579" i="38"/>
  <c r="V580" i="38"/>
  <c r="V581" i="38"/>
  <c r="V582" i="38"/>
  <c r="W582" i="38" s="1"/>
  <c r="V583" i="38"/>
  <c r="V584" i="38"/>
  <c r="V585" i="38"/>
  <c r="V586" i="38"/>
  <c r="V587" i="38"/>
  <c r="V588" i="38"/>
  <c r="V589" i="38"/>
  <c r="V590" i="38"/>
  <c r="V591" i="38"/>
  <c r="V592" i="38"/>
  <c r="V593" i="38"/>
  <c r="V594" i="38"/>
  <c r="W594" i="38" s="1"/>
  <c r="V595" i="38"/>
  <c r="V596" i="38"/>
  <c r="W596" i="38" s="1"/>
  <c r="V597" i="38"/>
  <c r="V598" i="38"/>
  <c r="V599" i="38"/>
  <c r="V600" i="38"/>
  <c r="V601" i="38"/>
  <c r="V602" i="38"/>
  <c r="V603" i="38"/>
  <c r="W603" i="38" s="1"/>
  <c r="V604" i="38"/>
  <c r="V605" i="38"/>
  <c r="V606" i="38"/>
  <c r="V607" i="38"/>
  <c r="V608" i="38"/>
  <c r="V609" i="38"/>
  <c r="V610" i="38"/>
  <c r="V611" i="38"/>
  <c r="V612" i="38"/>
  <c r="V613" i="38"/>
  <c r="V614" i="38"/>
  <c r="V615" i="38"/>
  <c r="W615" i="38" s="1"/>
  <c r="V616" i="38"/>
  <c r="V617" i="38"/>
  <c r="V618" i="38"/>
  <c r="W618" i="38" s="1"/>
  <c r="V619" i="38"/>
  <c r="V620" i="38"/>
  <c r="V621" i="38"/>
  <c r="V622" i="38"/>
  <c r="V623" i="38"/>
  <c r="V624" i="38"/>
  <c r="V625" i="38"/>
  <c r="V626" i="38"/>
  <c r="W626" i="38" s="1"/>
  <c r="V627" i="38"/>
  <c r="V628" i="38"/>
  <c r="V629" i="38"/>
  <c r="V630" i="38"/>
  <c r="V631" i="38"/>
  <c r="W631" i="38" s="1"/>
  <c r="V632" i="38"/>
  <c r="V633" i="38"/>
  <c r="V634" i="38"/>
  <c r="V635" i="38"/>
  <c r="V636" i="38"/>
  <c r="V637" i="38"/>
  <c r="V638" i="38"/>
  <c r="V639" i="38"/>
  <c r="V640" i="38"/>
  <c r="V641" i="38"/>
  <c r="V642" i="38"/>
  <c r="V643" i="38"/>
  <c r="W643" i="38" s="1"/>
  <c r="V644" i="38"/>
  <c r="V645" i="38"/>
  <c r="V646" i="38"/>
  <c r="V647" i="38"/>
  <c r="V648" i="38"/>
  <c r="V649" i="38"/>
  <c r="V650" i="38"/>
  <c r="V651" i="38"/>
  <c r="V652" i="38"/>
  <c r="V653" i="38"/>
  <c r="V654" i="38"/>
  <c r="W654" i="38" s="1"/>
  <c r="V655" i="38"/>
  <c r="V656" i="38"/>
  <c r="V657" i="38"/>
  <c r="W657" i="38" s="1"/>
  <c r="V658" i="38"/>
  <c r="V659" i="38"/>
  <c r="V660" i="38"/>
  <c r="V661" i="38"/>
  <c r="V662" i="38"/>
  <c r="V663" i="38"/>
  <c r="V664" i="38"/>
  <c r="V665" i="38"/>
  <c r="V666" i="38"/>
  <c r="V667" i="38"/>
  <c r="V668" i="38"/>
  <c r="V669" i="38"/>
  <c r="V670" i="38"/>
  <c r="W670" i="38" s="1"/>
  <c r="V671" i="38"/>
  <c r="V672" i="38"/>
  <c r="V673" i="38"/>
  <c r="V674" i="38"/>
  <c r="V675" i="38"/>
  <c r="V676" i="38"/>
  <c r="V677" i="38"/>
  <c r="V678" i="38"/>
  <c r="V679" i="38"/>
  <c r="V680" i="38"/>
  <c r="V681" i="38"/>
  <c r="V682" i="38"/>
  <c r="V683" i="38"/>
  <c r="W683" i="38" s="1"/>
  <c r="V684" i="38"/>
  <c r="V685" i="38"/>
  <c r="W685" i="38" s="1"/>
  <c r="V686" i="38"/>
  <c r="V687" i="38"/>
  <c r="V688" i="38"/>
  <c r="V689" i="38"/>
  <c r="V690" i="38"/>
  <c r="V691" i="38"/>
  <c r="V692" i="38"/>
  <c r="V693" i="38"/>
  <c r="V694" i="38"/>
  <c r="V695" i="38"/>
  <c r="V696" i="38"/>
  <c r="W696" i="38" s="1"/>
  <c r="V697" i="38"/>
  <c r="V698" i="38"/>
  <c r="V699" i="38"/>
  <c r="W699" i="38" s="1"/>
  <c r="V700" i="38"/>
  <c r="V701" i="38"/>
  <c r="V702" i="38"/>
  <c r="V703" i="38"/>
  <c r="V704" i="38"/>
  <c r="V705" i="38"/>
  <c r="W705" i="38" s="1"/>
  <c r="V706" i="38"/>
  <c r="V707" i="38"/>
  <c r="V708" i="38"/>
  <c r="V709" i="38"/>
  <c r="V710" i="38"/>
  <c r="V711" i="38"/>
  <c r="V712" i="38"/>
  <c r="V713" i="38"/>
  <c r="V714" i="38"/>
  <c r="V715" i="38"/>
  <c r="V716" i="38"/>
  <c r="V717" i="38"/>
  <c r="V718" i="38"/>
  <c r="W718" i="38" s="1"/>
  <c r="V719" i="38"/>
  <c r="V720" i="38"/>
  <c r="W720" i="38" s="1"/>
  <c r="V721" i="38"/>
  <c r="V722" i="38"/>
  <c r="V723" i="38"/>
  <c r="V724" i="38"/>
  <c r="V725" i="38"/>
  <c r="V726" i="38"/>
  <c r="V727" i="38"/>
  <c r="V728" i="38"/>
  <c r="W728" i="38" s="1"/>
  <c r="V729" i="38"/>
  <c r="V730" i="38"/>
  <c r="V731" i="38"/>
  <c r="V732" i="38"/>
  <c r="V733" i="38"/>
  <c r="V734" i="38"/>
  <c r="V735" i="38"/>
  <c r="V736" i="38"/>
  <c r="V737" i="38"/>
  <c r="W737" i="38" s="1"/>
  <c r="V738" i="38"/>
  <c r="V739" i="38"/>
  <c r="V740" i="38"/>
  <c r="V741" i="38"/>
  <c r="V742" i="38"/>
  <c r="V743" i="38"/>
  <c r="V744" i="38"/>
  <c r="V745" i="38"/>
  <c r="V746" i="38"/>
  <c r="W746" i="38" s="1"/>
  <c r="V747" i="38"/>
  <c r="W747" i="38" s="1"/>
  <c r="V748" i="38"/>
  <c r="V749" i="38"/>
  <c r="V750" i="38"/>
  <c r="V751" i="38"/>
  <c r="V752" i="38"/>
  <c r="V753" i="38"/>
  <c r="V754" i="38"/>
  <c r="V755" i="38"/>
  <c r="V756" i="38"/>
  <c r="V757" i="38"/>
  <c r="V758" i="38"/>
  <c r="W758" i="38" s="1"/>
  <c r="V759" i="38"/>
  <c r="V760" i="38"/>
  <c r="W760" i="38" s="1"/>
  <c r="V761" i="38"/>
  <c r="V762" i="38"/>
  <c r="V763" i="38"/>
  <c r="V764" i="38"/>
  <c r="V765" i="38"/>
  <c r="V766" i="38"/>
  <c r="V767" i="38"/>
  <c r="V768" i="38"/>
  <c r="V769" i="38"/>
  <c r="W769" i="38" s="1"/>
  <c r="V770" i="38"/>
  <c r="V771" i="38"/>
  <c r="W771" i="38" s="1"/>
  <c r="V772" i="38"/>
  <c r="V773" i="38"/>
  <c r="V774" i="38"/>
  <c r="V775" i="38"/>
  <c r="V776" i="38"/>
  <c r="V777" i="38"/>
  <c r="V778" i="38"/>
  <c r="V779" i="38"/>
  <c r="W779" i="38" s="1"/>
  <c r="V780" i="38"/>
  <c r="V781" i="38"/>
  <c r="V782" i="38"/>
  <c r="V783" i="38"/>
  <c r="V784" i="38"/>
  <c r="V785" i="38"/>
  <c r="W785" i="38" s="1"/>
  <c r="V786" i="38"/>
  <c r="V787" i="38"/>
  <c r="V788" i="38"/>
  <c r="V789" i="38"/>
  <c r="V790" i="38"/>
  <c r="V791" i="38"/>
  <c r="V792" i="38"/>
  <c r="V793" i="38"/>
  <c r="V794" i="38"/>
  <c r="V795" i="38"/>
  <c r="V796" i="38"/>
  <c r="V797" i="38"/>
  <c r="W797" i="38" s="1"/>
  <c r="V798" i="38"/>
  <c r="V799" i="38"/>
  <c r="W799" i="38" s="1"/>
  <c r="V800" i="38"/>
  <c r="V801" i="38"/>
  <c r="V802" i="38"/>
  <c r="V803" i="38"/>
  <c r="V804" i="38"/>
  <c r="V805" i="38"/>
  <c r="V806" i="38"/>
  <c r="V807" i="38"/>
  <c r="V808" i="38"/>
  <c r="V809" i="38"/>
  <c r="V810" i="38"/>
  <c r="V811" i="38"/>
  <c r="W811" i="38" s="1"/>
  <c r="V812" i="38"/>
  <c r="W812" i="38" s="1"/>
  <c r="V813" i="38"/>
  <c r="V814" i="38"/>
  <c r="V815" i="38"/>
  <c r="V816" i="38"/>
  <c r="V817" i="38"/>
  <c r="W817" i="38" s="1"/>
  <c r="V818" i="38"/>
  <c r="V819" i="38"/>
  <c r="V820" i="38"/>
  <c r="V821" i="38"/>
  <c r="V822" i="38"/>
  <c r="V823" i="38"/>
  <c r="V824" i="38"/>
  <c r="V825" i="38"/>
  <c r="V826" i="38"/>
  <c r="V827" i="38"/>
  <c r="V828" i="38"/>
  <c r="V829" i="38"/>
  <c r="V830" i="38"/>
  <c r="W830" i="38" s="1"/>
  <c r="V831" i="38"/>
  <c r="W831" i="38" s="1"/>
  <c r="V832" i="38"/>
  <c r="V833" i="38"/>
  <c r="V834" i="38"/>
  <c r="V835" i="38"/>
  <c r="V836" i="38"/>
  <c r="V837" i="38"/>
  <c r="V838" i="38"/>
  <c r="V839" i="38"/>
  <c r="V840" i="38"/>
  <c r="V841" i="38"/>
  <c r="W841" i="38" s="1"/>
  <c r="V842" i="38"/>
  <c r="W842" i="38" s="1"/>
  <c r="V843" i="38"/>
  <c r="V844" i="38"/>
  <c r="V845" i="38"/>
  <c r="V846" i="38"/>
  <c r="V847" i="38"/>
  <c r="V848" i="38"/>
  <c r="V849" i="38"/>
  <c r="V850" i="38"/>
  <c r="V851" i="38"/>
  <c r="V852" i="38"/>
  <c r="W852" i="38" s="1"/>
  <c r="V853" i="38"/>
  <c r="V854" i="38"/>
  <c r="V855" i="38"/>
  <c r="V856" i="38"/>
  <c r="V857" i="38"/>
  <c r="V858" i="38"/>
  <c r="V859" i="38"/>
  <c r="V860" i="38"/>
  <c r="V861" i="38"/>
  <c r="W861" i="38" s="1"/>
  <c r="V862" i="38"/>
  <c r="V863" i="38"/>
  <c r="V864" i="38"/>
  <c r="V865" i="38"/>
  <c r="V866" i="38"/>
  <c r="V867" i="38"/>
  <c r="V868" i="38"/>
  <c r="V869" i="38"/>
  <c r="V870" i="38"/>
  <c r="V871" i="38"/>
  <c r="V872" i="38"/>
  <c r="W872" i="38" s="1"/>
  <c r="V873" i="38"/>
  <c r="V874" i="38"/>
  <c r="V875" i="38"/>
  <c r="V876" i="38"/>
  <c r="V877" i="38"/>
  <c r="V878" i="38"/>
  <c r="V879" i="38"/>
  <c r="V880" i="38"/>
  <c r="V881" i="38"/>
  <c r="V882" i="38"/>
  <c r="V883" i="38"/>
  <c r="W883" i="38" s="1"/>
  <c r="V884" i="38"/>
  <c r="V885" i="38"/>
  <c r="W885" i="38" s="1"/>
  <c r="V886" i="38"/>
  <c r="V887" i="38"/>
  <c r="V888" i="38"/>
  <c r="V889" i="38"/>
  <c r="V890" i="38"/>
  <c r="V891" i="38"/>
  <c r="V892" i="38"/>
  <c r="W892" i="38" s="1"/>
  <c r="V893" i="38"/>
  <c r="V894" i="38"/>
  <c r="V895" i="38"/>
  <c r="V896" i="38"/>
  <c r="V897" i="38"/>
  <c r="V898" i="38"/>
  <c r="V899" i="38"/>
  <c r="V900" i="38"/>
  <c r="V901" i="38"/>
  <c r="V902" i="38"/>
  <c r="V903" i="38"/>
  <c r="V904" i="38"/>
  <c r="W904" i="38" s="1"/>
  <c r="V905" i="38"/>
  <c r="V906" i="38"/>
  <c r="W906" i="38" s="1"/>
  <c r="V907" i="38"/>
  <c r="V908" i="38"/>
  <c r="V909" i="38"/>
  <c r="V910" i="38"/>
  <c r="V911" i="38"/>
  <c r="V912" i="38"/>
  <c r="V913" i="38"/>
  <c r="V914" i="38"/>
  <c r="W914" i="38" s="1"/>
  <c r="V915" i="38"/>
  <c r="V916" i="38"/>
  <c r="V917" i="38"/>
  <c r="V918" i="38"/>
  <c r="V919" i="38"/>
  <c r="V920" i="38"/>
  <c r="V921" i="38"/>
  <c r="V922" i="38"/>
  <c r="V923" i="38"/>
  <c r="V924" i="38"/>
  <c r="V925" i="38"/>
  <c r="V926" i="38"/>
  <c r="V927" i="38"/>
  <c r="W927" i="38" s="1"/>
  <c r="V928" i="38"/>
  <c r="V929" i="38"/>
  <c r="W929" i="38" s="1"/>
  <c r="V930" i="38"/>
  <c r="V931" i="38"/>
  <c r="V932" i="38"/>
  <c r="V933" i="38"/>
  <c r="V934" i="38"/>
  <c r="W934" i="38" s="1"/>
  <c r="V935" i="38"/>
  <c r="V936" i="38"/>
  <c r="V937" i="38"/>
  <c r="V938" i="38"/>
  <c r="V939" i="38"/>
  <c r="W939" i="38" s="1"/>
  <c r="V940" i="38"/>
  <c r="V941" i="38"/>
  <c r="W941" i="38" s="1"/>
  <c r="V942" i="38"/>
  <c r="V943" i="38"/>
  <c r="V944" i="38"/>
  <c r="V945" i="38"/>
  <c r="V946" i="38"/>
  <c r="V947" i="38"/>
  <c r="V948" i="38"/>
  <c r="V949" i="38"/>
  <c r="V950" i="38"/>
  <c r="W950" i="38" s="1"/>
  <c r="V951" i="38"/>
  <c r="V952" i="38"/>
  <c r="V953" i="38"/>
  <c r="V954" i="38"/>
  <c r="V955" i="38"/>
  <c r="V956" i="38"/>
  <c r="V957" i="38"/>
  <c r="V958" i="38"/>
  <c r="V959" i="38"/>
  <c r="V960" i="38"/>
  <c r="V961" i="38"/>
  <c r="V962" i="38"/>
  <c r="V963" i="38"/>
  <c r="W963" i="38" s="1"/>
  <c r="V964" i="38"/>
  <c r="V965" i="38"/>
  <c r="W965" i="38" s="1"/>
  <c r="V966" i="38"/>
  <c r="V967" i="38"/>
  <c r="V968" i="38"/>
  <c r="V969" i="38"/>
  <c r="V970" i="38"/>
  <c r="V971" i="38"/>
  <c r="V972" i="38"/>
  <c r="V973" i="38"/>
  <c r="V974" i="38"/>
  <c r="V975" i="38"/>
  <c r="V976" i="38"/>
  <c r="V977" i="38"/>
  <c r="W977" i="38" s="1"/>
  <c r="V978" i="38"/>
  <c r="V979" i="38"/>
  <c r="V980" i="38"/>
  <c r="V981" i="38"/>
  <c r="V982" i="38"/>
  <c r="V983" i="38"/>
  <c r="V984" i="38"/>
  <c r="V985" i="38"/>
  <c r="V986" i="38"/>
  <c r="V987" i="38"/>
  <c r="W987" i="38" s="1"/>
  <c r="V988" i="38"/>
  <c r="V989" i="38"/>
  <c r="V990" i="38"/>
  <c r="V991" i="38"/>
  <c r="W991" i="38" s="1"/>
  <c r="V992" i="38"/>
  <c r="V993" i="38"/>
  <c r="V994" i="38"/>
  <c r="V995" i="38"/>
  <c r="V996" i="38"/>
  <c r="V997" i="38"/>
  <c r="V998" i="38"/>
  <c r="V999" i="38"/>
  <c r="V1000" i="38"/>
  <c r="V1001" i="38"/>
  <c r="V1002" i="38"/>
  <c r="V1003" i="38"/>
  <c r="W1003" i="38" s="1"/>
  <c r="V1004" i="38"/>
  <c r="V1005" i="38"/>
  <c r="V1006" i="38"/>
  <c r="V1007" i="38"/>
  <c r="V1008" i="38"/>
  <c r="V1009" i="38"/>
  <c r="V1010" i="38"/>
  <c r="V1011" i="38"/>
  <c r="W1011" i="38" s="1"/>
  <c r="V1012" i="38"/>
  <c r="V1013" i="38"/>
  <c r="V1014" i="38"/>
  <c r="V1015" i="38"/>
  <c r="V1016" i="38"/>
  <c r="V1017" i="38"/>
  <c r="V1018" i="38"/>
  <c r="V1019" i="38"/>
  <c r="W1019" i="38" s="1"/>
  <c r="V1020" i="38"/>
  <c r="V1021" i="38"/>
  <c r="V1022" i="38"/>
  <c r="V1023" i="38"/>
  <c r="V1024" i="38"/>
  <c r="V1025" i="38"/>
  <c r="V1026" i="38"/>
  <c r="V1027" i="38"/>
  <c r="V1028" i="38"/>
  <c r="W1028" i="38" s="1"/>
  <c r="V1029" i="38"/>
  <c r="V1030" i="38"/>
  <c r="V1031" i="38"/>
  <c r="V1032" i="38"/>
  <c r="V1033" i="38"/>
  <c r="V1034" i="38"/>
  <c r="V1035" i="38"/>
  <c r="W1035" i="38" s="1"/>
  <c r="V1036" i="38"/>
  <c r="V1037" i="38"/>
  <c r="V1038" i="38"/>
  <c r="V1039" i="38"/>
  <c r="V1040" i="38"/>
  <c r="V1041" i="38"/>
  <c r="V1042" i="38"/>
  <c r="V1043" i="38"/>
  <c r="V1044" i="38"/>
  <c r="V1045" i="38"/>
  <c r="V1046" i="38"/>
  <c r="W1046" i="38" s="1"/>
  <c r="V1047" i="38"/>
  <c r="V1048" i="38"/>
  <c r="V1049" i="38"/>
  <c r="W1049" i="38" s="1"/>
  <c r="V10" i="38"/>
  <c r="S11" i="38"/>
  <c r="S12" i="38"/>
  <c r="S13" i="38"/>
  <c r="S14" i="38"/>
  <c r="S15" i="38"/>
  <c r="S16" i="38"/>
  <c r="S17" i="38"/>
  <c r="S18" i="38"/>
  <c r="S19" i="38"/>
  <c r="S20" i="38"/>
  <c r="S21" i="38"/>
  <c r="S22" i="38"/>
  <c r="S23" i="38"/>
  <c r="S24" i="38"/>
  <c r="T24" i="38" s="1"/>
  <c r="S25" i="38"/>
  <c r="S26" i="38"/>
  <c r="S27" i="38"/>
  <c r="S28" i="38"/>
  <c r="S29" i="38"/>
  <c r="S30" i="38"/>
  <c r="S31" i="38"/>
  <c r="S32" i="38"/>
  <c r="S33" i="38"/>
  <c r="S34" i="38"/>
  <c r="S35" i="38"/>
  <c r="S36" i="38"/>
  <c r="S37" i="38"/>
  <c r="S38" i="38"/>
  <c r="S39" i="38"/>
  <c r="S40" i="38"/>
  <c r="S41" i="38"/>
  <c r="S42" i="38"/>
  <c r="S43" i="38"/>
  <c r="S44" i="38"/>
  <c r="S45" i="38"/>
  <c r="S46" i="38"/>
  <c r="T46" i="38" s="1"/>
  <c r="S47" i="38"/>
  <c r="S48" i="38"/>
  <c r="S49" i="38"/>
  <c r="S50" i="38"/>
  <c r="S51" i="38"/>
  <c r="S52" i="38"/>
  <c r="S53" i="38"/>
  <c r="S54" i="38"/>
  <c r="S55" i="38"/>
  <c r="S56" i="38"/>
  <c r="S57" i="38"/>
  <c r="S58" i="38"/>
  <c r="S59" i="38"/>
  <c r="S60" i="38"/>
  <c r="S61" i="38"/>
  <c r="S62" i="38"/>
  <c r="S63" i="38"/>
  <c r="S64" i="38"/>
  <c r="S65" i="38"/>
  <c r="S66" i="38"/>
  <c r="S67" i="38"/>
  <c r="S68" i="38"/>
  <c r="T68" i="38" s="1"/>
  <c r="S69" i="38"/>
  <c r="S70" i="38"/>
  <c r="S71" i="38"/>
  <c r="S72" i="38"/>
  <c r="S73" i="38"/>
  <c r="S74" i="38"/>
  <c r="S75" i="38"/>
  <c r="S76" i="38"/>
  <c r="S77" i="38"/>
  <c r="S78" i="38"/>
  <c r="S79" i="38"/>
  <c r="S80" i="38"/>
  <c r="S81" i="38"/>
  <c r="S82" i="38"/>
  <c r="S83" i="38"/>
  <c r="S84" i="38"/>
  <c r="S85" i="38"/>
  <c r="S86" i="38"/>
  <c r="S87" i="38"/>
  <c r="S88" i="38"/>
  <c r="S89" i="38"/>
  <c r="S90" i="38"/>
  <c r="S91" i="38"/>
  <c r="S92" i="38"/>
  <c r="S93" i="38"/>
  <c r="S94" i="38"/>
  <c r="T94" i="38" s="1"/>
  <c r="S95" i="38"/>
  <c r="S96" i="38"/>
  <c r="S97" i="38"/>
  <c r="S98" i="38"/>
  <c r="S99" i="38"/>
  <c r="S100" i="38"/>
  <c r="S101" i="38"/>
  <c r="S102" i="38"/>
  <c r="S103" i="38"/>
  <c r="S104" i="38"/>
  <c r="S105" i="38"/>
  <c r="S106" i="38"/>
  <c r="S107" i="38"/>
  <c r="S108" i="38"/>
  <c r="S109" i="38"/>
  <c r="S110" i="38"/>
  <c r="S111" i="38"/>
  <c r="S112" i="38"/>
  <c r="S113" i="38"/>
  <c r="S114" i="38"/>
  <c r="S115" i="38"/>
  <c r="S116" i="38"/>
  <c r="S117" i="38"/>
  <c r="S118" i="38"/>
  <c r="S119" i="38"/>
  <c r="S120" i="38"/>
  <c r="S121" i="38"/>
  <c r="S122" i="38"/>
  <c r="S123" i="38"/>
  <c r="S124" i="38"/>
  <c r="S125" i="38"/>
  <c r="S126" i="38"/>
  <c r="S127" i="38"/>
  <c r="S128" i="38"/>
  <c r="S129" i="38"/>
  <c r="S130" i="38"/>
  <c r="S131" i="38"/>
  <c r="T131" i="38" s="1"/>
  <c r="S132" i="38"/>
  <c r="S133" i="38"/>
  <c r="S134" i="38"/>
  <c r="S135" i="38"/>
  <c r="S136" i="38"/>
  <c r="S137" i="38"/>
  <c r="S138" i="38"/>
  <c r="S139" i="38"/>
  <c r="S140" i="38"/>
  <c r="S141" i="38"/>
  <c r="S142" i="38"/>
  <c r="T142" i="38" s="1"/>
  <c r="S143" i="38"/>
  <c r="S144" i="38"/>
  <c r="S145" i="38"/>
  <c r="S146" i="38"/>
  <c r="S147" i="38"/>
  <c r="S148" i="38"/>
  <c r="S149" i="38"/>
  <c r="S150" i="38"/>
  <c r="S151" i="38"/>
  <c r="S152" i="38"/>
  <c r="S153" i="38"/>
  <c r="S154" i="38"/>
  <c r="S155" i="38"/>
  <c r="S156" i="38"/>
  <c r="S157" i="38"/>
  <c r="S158" i="38"/>
  <c r="S159" i="38"/>
  <c r="S160" i="38"/>
  <c r="S161" i="38"/>
  <c r="S162" i="38"/>
  <c r="S163" i="38"/>
  <c r="S164" i="38"/>
  <c r="S165" i="38"/>
  <c r="S166" i="38"/>
  <c r="S167" i="38"/>
  <c r="S168" i="38"/>
  <c r="S169" i="38"/>
  <c r="S170" i="38"/>
  <c r="S171" i="38"/>
  <c r="S172" i="38"/>
  <c r="S173" i="38"/>
  <c r="S174" i="38"/>
  <c r="S175" i="38"/>
  <c r="S176" i="38"/>
  <c r="S177" i="38"/>
  <c r="S178" i="38"/>
  <c r="S179" i="38"/>
  <c r="S180" i="38"/>
  <c r="S181" i="38"/>
  <c r="S182" i="38"/>
  <c r="S183" i="38"/>
  <c r="S184" i="38"/>
  <c r="T184" i="38" s="1"/>
  <c r="S185" i="38"/>
  <c r="S186" i="38"/>
  <c r="S187" i="38"/>
  <c r="S188" i="38"/>
  <c r="S189" i="38"/>
  <c r="S190" i="38"/>
  <c r="S191" i="38"/>
  <c r="S192" i="38"/>
  <c r="S193" i="38"/>
  <c r="S194" i="38"/>
  <c r="S195" i="38"/>
  <c r="S196" i="38"/>
  <c r="S197" i="38"/>
  <c r="S198" i="38"/>
  <c r="S199" i="38"/>
  <c r="S200" i="38"/>
  <c r="S201" i="38"/>
  <c r="S202" i="38"/>
  <c r="S203" i="38"/>
  <c r="S204" i="38"/>
  <c r="S205" i="38"/>
  <c r="S206" i="38"/>
  <c r="S207" i="38"/>
  <c r="S208" i="38"/>
  <c r="S209" i="38"/>
  <c r="S210" i="38"/>
  <c r="S211" i="38"/>
  <c r="S212" i="38"/>
  <c r="S213" i="38"/>
  <c r="S214" i="38"/>
  <c r="S215" i="38"/>
  <c r="S216" i="38"/>
  <c r="S217" i="38"/>
  <c r="S218" i="38"/>
  <c r="S219" i="38"/>
  <c r="S220" i="38"/>
  <c r="S221" i="38"/>
  <c r="S222" i="38"/>
  <c r="S223" i="38"/>
  <c r="T223" i="38" s="1"/>
  <c r="S224" i="38"/>
  <c r="S225" i="38"/>
  <c r="S226" i="38"/>
  <c r="S227" i="38"/>
  <c r="S228" i="38"/>
  <c r="S229" i="38"/>
  <c r="S230" i="38"/>
  <c r="S231" i="38"/>
  <c r="S232" i="38"/>
  <c r="S233" i="38"/>
  <c r="S234" i="38"/>
  <c r="S235" i="38"/>
  <c r="S236" i="38"/>
  <c r="S237" i="38"/>
  <c r="S238" i="38"/>
  <c r="S239" i="38"/>
  <c r="S240" i="38"/>
  <c r="S241" i="38"/>
  <c r="S242" i="38"/>
  <c r="S243" i="38"/>
  <c r="S244" i="38"/>
  <c r="S245" i="38"/>
  <c r="S246" i="38"/>
  <c r="S247" i="38"/>
  <c r="S248" i="38"/>
  <c r="S249" i="38"/>
  <c r="S250" i="38"/>
  <c r="S251" i="38"/>
  <c r="S252" i="38"/>
  <c r="S253" i="38"/>
  <c r="S254" i="38"/>
  <c r="S255" i="38"/>
  <c r="S256" i="38"/>
  <c r="T256" i="38" s="1"/>
  <c r="S257" i="38"/>
  <c r="S258" i="38"/>
  <c r="S259" i="38"/>
  <c r="S260" i="38"/>
  <c r="S261" i="38"/>
  <c r="S262" i="38"/>
  <c r="S263" i="38"/>
  <c r="S264" i="38"/>
  <c r="S265" i="38"/>
  <c r="S266" i="38"/>
  <c r="S267" i="38"/>
  <c r="S268" i="38"/>
  <c r="S269" i="38"/>
  <c r="S270" i="38"/>
  <c r="T270" i="38" s="1"/>
  <c r="S271" i="38"/>
  <c r="S272" i="38"/>
  <c r="T272" i="38" s="1"/>
  <c r="S273" i="38"/>
  <c r="S274" i="38"/>
  <c r="S275" i="38"/>
  <c r="S276" i="38"/>
  <c r="S277" i="38"/>
  <c r="S278" i="38"/>
  <c r="S279" i="38"/>
  <c r="S280" i="38"/>
  <c r="S281" i="38"/>
  <c r="S282" i="38"/>
  <c r="S283" i="38"/>
  <c r="S284" i="38"/>
  <c r="S285" i="38"/>
  <c r="S286" i="38"/>
  <c r="S287" i="38"/>
  <c r="S288" i="38"/>
  <c r="S289" i="38"/>
  <c r="S290" i="38"/>
  <c r="S291" i="38"/>
  <c r="S292" i="38"/>
  <c r="S293" i="38"/>
  <c r="S294" i="38"/>
  <c r="S295" i="38"/>
  <c r="S296" i="38"/>
  <c r="T296" i="38" s="1"/>
  <c r="S297" i="38"/>
  <c r="S298" i="38"/>
  <c r="S299" i="38"/>
  <c r="S300" i="38"/>
  <c r="S301" i="38"/>
  <c r="S302" i="38"/>
  <c r="S303" i="38"/>
  <c r="S304" i="38"/>
  <c r="S305" i="38"/>
  <c r="S306" i="38"/>
  <c r="S307" i="38"/>
  <c r="S308" i="38"/>
  <c r="S309" i="38"/>
  <c r="S310" i="38"/>
  <c r="S311" i="38"/>
  <c r="S312" i="38"/>
  <c r="S313" i="38"/>
  <c r="S314" i="38"/>
  <c r="S315" i="38"/>
  <c r="S316" i="38"/>
  <c r="S317" i="38"/>
  <c r="S318" i="38"/>
  <c r="T318" i="38" s="1"/>
  <c r="S319" i="38"/>
  <c r="S320" i="38"/>
  <c r="S321" i="38"/>
  <c r="S322" i="38"/>
  <c r="S323" i="38"/>
  <c r="S324" i="38"/>
  <c r="S325" i="38"/>
  <c r="S326" i="38"/>
  <c r="S327" i="38"/>
  <c r="S328" i="38"/>
  <c r="S329" i="38"/>
  <c r="S330" i="38"/>
  <c r="S331" i="38"/>
  <c r="S332" i="38"/>
  <c r="S333" i="38"/>
  <c r="S334" i="38"/>
  <c r="S335" i="38"/>
  <c r="S336" i="38"/>
  <c r="S337" i="38"/>
  <c r="S338" i="38"/>
  <c r="S339" i="38"/>
  <c r="S340" i="38"/>
  <c r="S341" i="38"/>
  <c r="S342" i="38"/>
  <c r="S343" i="38"/>
  <c r="S344" i="38"/>
  <c r="S345" i="38"/>
  <c r="S346" i="38"/>
  <c r="S347" i="38"/>
  <c r="S348" i="38"/>
  <c r="S349" i="38"/>
  <c r="S350" i="38"/>
  <c r="S351" i="38"/>
  <c r="S352" i="38"/>
  <c r="S353" i="38"/>
  <c r="S354" i="38"/>
  <c r="S355" i="38"/>
  <c r="S356" i="38"/>
  <c r="S357" i="38"/>
  <c r="S358" i="38"/>
  <c r="T358" i="38" s="1"/>
  <c r="S359" i="38"/>
  <c r="S360" i="38"/>
  <c r="S361" i="38"/>
  <c r="S362" i="38"/>
  <c r="S363" i="38"/>
  <c r="S364" i="38"/>
  <c r="S365" i="38"/>
  <c r="S366" i="38"/>
  <c r="S367" i="38"/>
  <c r="S368" i="38"/>
  <c r="S369" i="38"/>
  <c r="S370" i="38"/>
  <c r="T370" i="38" s="1"/>
  <c r="S371" i="38"/>
  <c r="S372" i="38"/>
  <c r="S373" i="38"/>
  <c r="S374" i="38"/>
  <c r="S375" i="38"/>
  <c r="S376" i="38"/>
  <c r="S377" i="38"/>
  <c r="S378" i="38"/>
  <c r="S379" i="38"/>
  <c r="S380" i="38"/>
  <c r="S381" i="38"/>
  <c r="S382" i="38"/>
  <c r="S383" i="38"/>
  <c r="S384" i="38"/>
  <c r="S385" i="38"/>
  <c r="S386" i="38"/>
  <c r="S387" i="38"/>
  <c r="S388" i="38"/>
  <c r="S389" i="38"/>
  <c r="S390" i="38"/>
  <c r="S391" i="38"/>
  <c r="S392" i="38"/>
  <c r="S393" i="38"/>
  <c r="S394" i="38"/>
  <c r="S395" i="38"/>
  <c r="S396" i="38"/>
  <c r="S397" i="38"/>
  <c r="S398" i="38"/>
  <c r="S399" i="38"/>
  <c r="S400" i="38"/>
  <c r="S401" i="38"/>
  <c r="S402" i="38"/>
  <c r="S403" i="38"/>
  <c r="S404" i="38"/>
  <c r="S405" i="38"/>
  <c r="S406" i="38"/>
  <c r="S407" i="38"/>
  <c r="S408" i="38"/>
  <c r="S409" i="38"/>
  <c r="S410" i="38"/>
  <c r="S411" i="38"/>
  <c r="S412" i="38"/>
  <c r="S413" i="38"/>
  <c r="S414" i="38"/>
  <c r="S415" i="38"/>
  <c r="S416" i="38"/>
  <c r="S417" i="38"/>
  <c r="S418" i="38"/>
  <c r="S419" i="38"/>
  <c r="S420" i="38"/>
  <c r="T420" i="38" s="1"/>
  <c r="S421" i="38"/>
  <c r="S422" i="38"/>
  <c r="S423" i="38"/>
  <c r="S424" i="38"/>
  <c r="S425" i="38"/>
  <c r="S426" i="38"/>
  <c r="S427" i="38"/>
  <c r="S428" i="38"/>
  <c r="S429" i="38"/>
  <c r="S430" i="38"/>
  <c r="S431" i="38"/>
  <c r="S432" i="38"/>
  <c r="S433" i="38"/>
  <c r="S434" i="38"/>
  <c r="S435" i="38"/>
  <c r="S436" i="38"/>
  <c r="S437" i="38"/>
  <c r="S438" i="38"/>
  <c r="S439" i="38"/>
  <c r="S440" i="38"/>
  <c r="S441" i="38"/>
  <c r="S442" i="38"/>
  <c r="S443" i="38"/>
  <c r="S444" i="38"/>
  <c r="S445" i="38"/>
  <c r="S446" i="38"/>
  <c r="S447" i="38"/>
  <c r="S448" i="38"/>
  <c r="S449" i="38"/>
  <c r="S450" i="38"/>
  <c r="S451" i="38"/>
  <c r="S452" i="38"/>
  <c r="S453" i="38"/>
  <c r="S454" i="38"/>
  <c r="S455" i="38"/>
  <c r="S456" i="38"/>
  <c r="S457" i="38"/>
  <c r="S458" i="38"/>
  <c r="S459" i="38"/>
  <c r="S460" i="38"/>
  <c r="S461" i="38"/>
  <c r="S462" i="38"/>
  <c r="T462" i="38" s="1"/>
  <c r="S463" i="38"/>
  <c r="S464" i="38"/>
  <c r="S465" i="38"/>
  <c r="S466" i="38"/>
  <c r="S467" i="38"/>
  <c r="S468" i="38"/>
  <c r="S469" i="38"/>
  <c r="S470" i="38"/>
  <c r="S471" i="38"/>
  <c r="S472" i="38"/>
  <c r="S473" i="38"/>
  <c r="S474" i="38"/>
  <c r="S475" i="38"/>
  <c r="S476" i="38"/>
  <c r="S477" i="38"/>
  <c r="S478" i="38"/>
  <c r="T478" i="38" s="1"/>
  <c r="S479" i="38"/>
  <c r="S480" i="38"/>
  <c r="S481" i="38"/>
  <c r="S482" i="38"/>
  <c r="S483" i="38"/>
  <c r="S484" i="38"/>
  <c r="S485" i="38"/>
  <c r="S486" i="38"/>
  <c r="S487" i="38"/>
  <c r="S488" i="38"/>
  <c r="S489" i="38"/>
  <c r="S490" i="38"/>
  <c r="S491" i="38"/>
  <c r="S492" i="38"/>
  <c r="S493" i="38"/>
  <c r="S494" i="38"/>
  <c r="S495" i="38"/>
  <c r="S496" i="38"/>
  <c r="S497" i="38"/>
  <c r="S498" i="38"/>
  <c r="S499" i="38"/>
  <c r="S500" i="38"/>
  <c r="S501" i="38"/>
  <c r="S502" i="38"/>
  <c r="S503" i="38"/>
  <c r="S504" i="38"/>
  <c r="S505" i="38"/>
  <c r="S506" i="38"/>
  <c r="S507" i="38"/>
  <c r="S508" i="38"/>
  <c r="S509" i="38"/>
  <c r="S510" i="38"/>
  <c r="S511" i="38"/>
  <c r="S512" i="38"/>
  <c r="S513" i="38"/>
  <c r="S514" i="38"/>
  <c r="S515" i="38"/>
  <c r="S516" i="38"/>
  <c r="S517" i="38"/>
  <c r="S518" i="38"/>
  <c r="T518" i="38" s="1"/>
  <c r="S519" i="38"/>
  <c r="S520" i="38"/>
  <c r="S521" i="38"/>
  <c r="S522" i="38"/>
  <c r="S523" i="38"/>
  <c r="S524" i="38"/>
  <c r="S525" i="38"/>
  <c r="S526" i="38"/>
  <c r="T526" i="38" s="1"/>
  <c r="S527" i="38"/>
  <c r="S528" i="38"/>
  <c r="S529" i="38"/>
  <c r="S530" i="38"/>
  <c r="S531" i="38"/>
  <c r="S532" i="38"/>
  <c r="S533" i="38"/>
  <c r="S534" i="38"/>
  <c r="S535" i="38"/>
  <c r="T535" i="38" s="1"/>
  <c r="S536" i="38"/>
  <c r="S537" i="38"/>
  <c r="S538" i="38"/>
  <c r="S539" i="38"/>
  <c r="S540" i="38"/>
  <c r="S541" i="38"/>
  <c r="S542" i="38"/>
  <c r="S543" i="38"/>
  <c r="S544" i="38"/>
  <c r="S545" i="38"/>
  <c r="S546" i="38"/>
  <c r="S547" i="38"/>
  <c r="S548" i="38"/>
  <c r="S549" i="38"/>
  <c r="S550" i="38"/>
  <c r="S551" i="38"/>
  <c r="S552" i="38"/>
  <c r="T552" i="38" s="1"/>
  <c r="S553" i="38"/>
  <c r="S554" i="38"/>
  <c r="S555" i="38"/>
  <c r="S556" i="38"/>
  <c r="S557" i="38"/>
  <c r="S558" i="38"/>
  <c r="S559" i="38"/>
  <c r="S560" i="38"/>
  <c r="S561" i="38"/>
  <c r="S562" i="38"/>
  <c r="S563" i="38"/>
  <c r="S564" i="38"/>
  <c r="S565" i="38"/>
  <c r="T565" i="38" s="1"/>
  <c r="S566" i="38"/>
  <c r="S567" i="38"/>
  <c r="S568" i="38"/>
  <c r="S569" i="38"/>
  <c r="S570" i="38"/>
  <c r="S571" i="38"/>
  <c r="S572" i="38"/>
  <c r="S573" i="38"/>
  <c r="S574" i="38"/>
  <c r="S575" i="38"/>
  <c r="S576" i="38"/>
  <c r="T576" i="38" s="1"/>
  <c r="S577" i="38"/>
  <c r="S578" i="38"/>
  <c r="S579" i="38"/>
  <c r="S580" i="38"/>
  <c r="S581" i="38"/>
  <c r="S582" i="38"/>
  <c r="S583" i="38"/>
  <c r="S584" i="38"/>
  <c r="S585" i="38"/>
  <c r="S586" i="38"/>
  <c r="T586" i="38" s="1"/>
  <c r="S587" i="38"/>
  <c r="S588" i="38"/>
  <c r="S589" i="38"/>
  <c r="S590" i="38"/>
  <c r="S591" i="38"/>
  <c r="S592" i="38"/>
  <c r="S593" i="38"/>
  <c r="S594" i="38"/>
  <c r="S595" i="38"/>
  <c r="S596" i="38"/>
  <c r="S597" i="38"/>
  <c r="S598" i="38"/>
  <c r="T598" i="38" s="1"/>
  <c r="S599" i="38"/>
  <c r="S600" i="38"/>
  <c r="S601" i="38"/>
  <c r="S602" i="38"/>
  <c r="S603" i="38"/>
  <c r="S604" i="38"/>
  <c r="S605" i="38"/>
  <c r="S606" i="38"/>
  <c r="T606" i="38" s="1"/>
  <c r="S607" i="38"/>
  <c r="T607" i="38" s="1"/>
  <c r="S608" i="38"/>
  <c r="T608" i="38" s="1"/>
  <c r="S609" i="38"/>
  <c r="S610" i="38"/>
  <c r="S611" i="38"/>
  <c r="S612" i="38"/>
  <c r="S613" i="38"/>
  <c r="S614" i="38"/>
  <c r="S615" i="38"/>
  <c r="S616" i="38"/>
  <c r="S617" i="38"/>
  <c r="S618" i="38"/>
  <c r="S619" i="38"/>
  <c r="S620" i="38"/>
  <c r="S621" i="38"/>
  <c r="S622" i="38"/>
  <c r="S623" i="38"/>
  <c r="S624" i="38"/>
  <c r="S625" i="38"/>
  <c r="S626" i="38"/>
  <c r="S627" i="38"/>
  <c r="S628" i="38"/>
  <c r="S629" i="38"/>
  <c r="S630" i="38"/>
  <c r="S631" i="38"/>
  <c r="S632" i="38"/>
  <c r="S633" i="38"/>
  <c r="S634" i="38"/>
  <c r="T634" i="38" s="1"/>
  <c r="S635" i="38"/>
  <c r="S636" i="38"/>
  <c r="S637" i="38"/>
  <c r="S638" i="38"/>
  <c r="S639" i="38"/>
  <c r="S640" i="38"/>
  <c r="S641" i="38"/>
  <c r="S642" i="38"/>
  <c r="S643" i="38"/>
  <c r="S644" i="38"/>
  <c r="S645" i="38"/>
  <c r="S646" i="38"/>
  <c r="S647" i="38"/>
  <c r="S648" i="38"/>
  <c r="T648" i="38" s="1"/>
  <c r="S649" i="38"/>
  <c r="S650" i="38"/>
  <c r="S651" i="38"/>
  <c r="S652" i="38"/>
  <c r="S653" i="38"/>
  <c r="S654" i="38"/>
  <c r="S655" i="38"/>
  <c r="S656" i="38"/>
  <c r="S657" i="38"/>
  <c r="S658" i="38"/>
  <c r="S659" i="38"/>
  <c r="S660" i="38"/>
  <c r="S661" i="38"/>
  <c r="S662" i="38"/>
  <c r="S663" i="38"/>
  <c r="S664" i="38"/>
  <c r="T664" i="38" s="1"/>
  <c r="S665" i="38"/>
  <c r="S666" i="38"/>
  <c r="S667" i="38"/>
  <c r="S668" i="38"/>
  <c r="S669" i="38"/>
  <c r="S670" i="38"/>
  <c r="S671" i="38"/>
  <c r="S672" i="38"/>
  <c r="S673" i="38"/>
  <c r="S674" i="38"/>
  <c r="S675" i="38"/>
  <c r="S676" i="38"/>
  <c r="S677" i="38"/>
  <c r="S678" i="38"/>
  <c r="S679" i="38"/>
  <c r="S680" i="38"/>
  <c r="S681" i="38"/>
  <c r="S682" i="38"/>
  <c r="S683" i="38"/>
  <c r="S684" i="38"/>
  <c r="S685" i="38"/>
  <c r="S686" i="38"/>
  <c r="S687" i="38"/>
  <c r="S688" i="38"/>
  <c r="T688" i="38" s="1"/>
  <c r="S689" i="38"/>
  <c r="S690" i="38"/>
  <c r="S691" i="38"/>
  <c r="T691" i="38" s="1"/>
  <c r="S692" i="38"/>
  <c r="S693" i="38"/>
  <c r="S694" i="38"/>
  <c r="S695" i="38"/>
  <c r="S696" i="38"/>
  <c r="S697" i="38"/>
  <c r="S698" i="38"/>
  <c r="S699" i="38"/>
  <c r="S700" i="38"/>
  <c r="S701" i="38"/>
  <c r="T701" i="38" s="1"/>
  <c r="S702" i="38"/>
  <c r="S703" i="38"/>
  <c r="S704" i="38"/>
  <c r="S705" i="38"/>
  <c r="S706" i="38"/>
  <c r="S707" i="38"/>
  <c r="T707" i="38" s="1"/>
  <c r="S708" i="38"/>
  <c r="S709" i="38"/>
  <c r="S710" i="38"/>
  <c r="S711" i="38"/>
  <c r="S712" i="38"/>
  <c r="T712" i="38" s="1"/>
  <c r="S713" i="38"/>
  <c r="S714" i="38"/>
  <c r="S715" i="38"/>
  <c r="S716" i="38"/>
  <c r="S717" i="38"/>
  <c r="S718" i="38"/>
  <c r="S719" i="38"/>
  <c r="S720" i="38"/>
  <c r="S721" i="38"/>
  <c r="S722" i="38"/>
  <c r="S723" i="38"/>
  <c r="S724" i="38"/>
  <c r="S725" i="38"/>
  <c r="S726" i="38"/>
  <c r="S727" i="38"/>
  <c r="S728" i="38"/>
  <c r="S729" i="38"/>
  <c r="S730" i="38"/>
  <c r="T730" i="38" s="1"/>
  <c r="S731" i="38"/>
  <c r="S732" i="38"/>
  <c r="S733" i="38"/>
  <c r="S734" i="38"/>
  <c r="S735" i="38"/>
  <c r="S736" i="38"/>
  <c r="S737" i="38"/>
  <c r="S738" i="38"/>
  <c r="S739" i="38"/>
  <c r="S740" i="38"/>
  <c r="S741" i="38"/>
  <c r="S742" i="38"/>
  <c r="S743" i="38"/>
  <c r="S744" i="38"/>
  <c r="S745" i="38"/>
  <c r="S746" i="38"/>
  <c r="S747" i="38"/>
  <c r="S748" i="38"/>
  <c r="S749" i="38"/>
  <c r="S750" i="38"/>
  <c r="T750" i="38" s="1"/>
  <c r="S751" i="38"/>
  <c r="T751" i="38" s="1"/>
  <c r="S752" i="38"/>
  <c r="T752" i="38" s="1"/>
  <c r="S753" i="38"/>
  <c r="S754" i="38"/>
  <c r="S755" i="38"/>
  <c r="S756" i="38"/>
  <c r="S757" i="38"/>
  <c r="S758" i="38"/>
  <c r="S759" i="38"/>
  <c r="S760" i="38"/>
  <c r="S761" i="38"/>
  <c r="S762" i="38"/>
  <c r="S763" i="38"/>
  <c r="S764" i="38"/>
  <c r="S765" i="38"/>
  <c r="S766" i="38"/>
  <c r="S767" i="38"/>
  <c r="S768" i="38"/>
  <c r="S769" i="38"/>
  <c r="S770" i="38"/>
  <c r="S771" i="38"/>
  <c r="S772" i="38"/>
  <c r="S773" i="38"/>
  <c r="T773" i="38" s="1"/>
  <c r="S774" i="38"/>
  <c r="S775" i="38"/>
  <c r="S776" i="38"/>
  <c r="S777" i="38"/>
  <c r="S778" i="38"/>
  <c r="S779" i="38"/>
  <c r="S780" i="38"/>
  <c r="S781" i="38"/>
  <c r="S782" i="38"/>
  <c r="S783" i="38"/>
  <c r="S784" i="38"/>
  <c r="S785" i="38"/>
  <c r="S786" i="38"/>
  <c r="S787" i="38"/>
  <c r="T787" i="38" s="1"/>
  <c r="S788" i="38"/>
  <c r="S789" i="38"/>
  <c r="S790" i="38"/>
  <c r="S791" i="38"/>
  <c r="S792" i="38"/>
  <c r="S793" i="38"/>
  <c r="S794" i="38"/>
  <c r="S795" i="38"/>
  <c r="S796" i="38"/>
  <c r="S797" i="38"/>
  <c r="S798" i="38"/>
  <c r="S799" i="38"/>
  <c r="S800" i="38"/>
  <c r="S801" i="38"/>
  <c r="S802" i="38"/>
  <c r="T802" i="38" s="1"/>
  <c r="S803" i="38"/>
  <c r="S804" i="38"/>
  <c r="S805" i="38"/>
  <c r="S806" i="38"/>
  <c r="S807" i="38"/>
  <c r="S808" i="38"/>
  <c r="S809" i="38"/>
  <c r="S810" i="38"/>
  <c r="S811" i="38"/>
  <c r="S812" i="38"/>
  <c r="S813" i="38"/>
  <c r="S814" i="38"/>
  <c r="S815" i="38"/>
  <c r="S816" i="38"/>
  <c r="S817" i="38"/>
  <c r="S818" i="38"/>
  <c r="S819" i="38"/>
  <c r="S820" i="38"/>
  <c r="S821" i="38"/>
  <c r="S822" i="38"/>
  <c r="T822" i="38" s="1"/>
  <c r="S823" i="38"/>
  <c r="S824" i="38"/>
  <c r="T824" i="38" s="1"/>
  <c r="S825" i="38"/>
  <c r="S826" i="38"/>
  <c r="S827" i="38"/>
  <c r="S828" i="38"/>
  <c r="S829" i="38"/>
  <c r="S830" i="38"/>
  <c r="S831" i="38"/>
  <c r="S832" i="38"/>
  <c r="S833" i="38"/>
  <c r="S834" i="38"/>
  <c r="S835" i="38"/>
  <c r="S836" i="38"/>
  <c r="S837" i="38"/>
  <c r="S838" i="38"/>
  <c r="S839" i="38"/>
  <c r="S840" i="38"/>
  <c r="S841" i="38"/>
  <c r="S842" i="38"/>
  <c r="S843" i="38"/>
  <c r="S844" i="38"/>
  <c r="S845" i="38"/>
  <c r="S846" i="38"/>
  <c r="T846" i="38" s="1"/>
  <c r="S847" i="38"/>
  <c r="S848" i="38"/>
  <c r="S849" i="38"/>
  <c r="S850" i="38"/>
  <c r="S851" i="38"/>
  <c r="S852" i="38"/>
  <c r="S853" i="38"/>
  <c r="S854" i="38"/>
  <c r="T854" i="38" s="1"/>
  <c r="S855" i="38"/>
  <c r="T855" i="38" s="1"/>
  <c r="S856" i="38"/>
  <c r="S857" i="38"/>
  <c r="S858" i="38"/>
  <c r="S859" i="38"/>
  <c r="S860" i="38"/>
  <c r="S861" i="38"/>
  <c r="S862" i="38"/>
  <c r="S863" i="38"/>
  <c r="S864" i="38"/>
  <c r="T864" i="38" s="1"/>
  <c r="S865" i="38"/>
  <c r="S866" i="38"/>
  <c r="S867" i="38"/>
  <c r="S868" i="38"/>
  <c r="S869" i="38"/>
  <c r="S870" i="38"/>
  <c r="S871" i="38"/>
  <c r="S872" i="38"/>
  <c r="S873" i="38"/>
  <c r="S874" i="38"/>
  <c r="S875" i="38"/>
  <c r="T875" i="38" s="1"/>
  <c r="S876" i="38"/>
  <c r="S877" i="38"/>
  <c r="S878" i="38"/>
  <c r="S879" i="38"/>
  <c r="S880" i="38"/>
  <c r="S881" i="38"/>
  <c r="S882" i="38"/>
  <c r="S883" i="38"/>
  <c r="S884" i="38"/>
  <c r="S885" i="38"/>
  <c r="S886" i="38"/>
  <c r="S887" i="38"/>
  <c r="T887" i="38" s="1"/>
  <c r="S888" i="38"/>
  <c r="S889" i="38"/>
  <c r="S890" i="38"/>
  <c r="S891" i="38"/>
  <c r="S892" i="38"/>
  <c r="S893" i="38"/>
  <c r="S894" i="38"/>
  <c r="S895" i="38"/>
  <c r="S896" i="38"/>
  <c r="T896" i="38" s="1"/>
  <c r="S897" i="38"/>
  <c r="S898" i="38"/>
  <c r="T898" i="38" s="1"/>
  <c r="S899" i="38"/>
  <c r="S900" i="38"/>
  <c r="S901" i="38"/>
  <c r="S902" i="38"/>
  <c r="S903" i="38"/>
  <c r="S904" i="38"/>
  <c r="S905" i="38"/>
  <c r="S906" i="38"/>
  <c r="S907" i="38"/>
  <c r="S908" i="38"/>
  <c r="S909" i="38"/>
  <c r="S910" i="38"/>
  <c r="S911" i="38"/>
  <c r="S912" i="38"/>
  <c r="S913" i="38"/>
  <c r="S914" i="38"/>
  <c r="S915" i="38"/>
  <c r="S916" i="38"/>
  <c r="S917" i="38"/>
  <c r="S918" i="38"/>
  <c r="T918" i="38" s="1"/>
  <c r="S919" i="38"/>
  <c r="S920" i="38"/>
  <c r="S921" i="38"/>
  <c r="S922" i="38"/>
  <c r="S923" i="38"/>
  <c r="S924" i="38"/>
  <c r="S925" i="38"/>
  <c r="S926" i="38"/>
  <c r="S927" i="38"/>
  <c r="S928" i="38"/>
  <c r="S929" i="38"/>
  <c r="S930" i="38"/>
  <c r="S931" i="38"/>
  <c r="S932" i="38"/>
  <c r="S933" i="38"/>
  <c r="S934" i="38"/>
  <c r="S935" i="38"/>
  <c r="S936" i="38"/>
  <c r="S937" i="38"/>
  <c r="S938" i="38"/>
  <c r="S939" i="38"/>
  <c r="S940" i="38"/>
  <c r="S941" i="38"/>
  <c r="S942" i="38"/>
  <c r="S943" i="38"/>
  <c r="T943" i="38" s="1"/>
  <c r="S944" i="38"/>
  <c r="S945" i="38"/>
  <c r="S946" i="38"/>
  <c r="S947" i="38"/>
  <c r="S948" i="38"/>
  <c r="S949" i="38"/>
  <c r="S950" i="38"/>
  <c r="S951" i="38"/>
  <c r="S952" i="38"/>
  <c r="S953" i="38"/>
  <c r="S954" i="38"/>
  <c r="S955" i="38"/>
  <c r="S956" i="38"/>
  <c r="S957" i="38"/>
  <c r="S958" i="38"/>
  <c r="S959" i="38"/>
  <c r="S960" i="38"/>
  <c r="S961" i="38"/>
  <c r="S962" i="38"/>
  <c r="S963" i="38"/>
  <c r="S964" i="38"/>
  <c r="S965" i="38"/>
  <c r="S966" i="38"/>
  <c r="S967" i="38"/>
  <c r="S968" i="38"/>
  <c r="S969" i="38"/>
  <c r="S970" i="38"/>
  <c r="S971" i="38"/>
  <c r="T971" i="38" s="1"/>
  <c r="S972" i="38"/>
  <c r="S973" i="38"/>
  <c r="S974" i="38"/>
  <c r="S975" i="38"/>
  <c r="S976" i="38"/>
  <c r="S977" i="38"/>
  <c r="S978" i="38"/>
  <c r="S979" i="38"/>
  <c r="T979" i="38" s="1"/>
  <c r="S980" i="38"/>
  <c r="S981" i="38"/>
  <c r="T981" i="38" s="1"/>
  <c r="S982" i="38"/>
  <c r="S983" i="38"/>
  <c r="S984" i="38"/>
  <c r="S985" i="38"/>
  <c r="S986" i="38"/>
  <c r="S987" i="38"/>
  <c r="S988" i="38"/>
  <c r="S989" i="38"/>
  <c r="S990" i="38"/>
  <c r="S991" i="38"/>
  <c r="S992" i="38"/>
  <c r="S993" i="38"/>
  <c r="S994" i="38"/>
  <c r="S995" i="38"/>
  <c r="S996" i="38"/>
  <c r="S997" i="38"/>
  <c r="S998" i="38"/>
  <c r="T998" i="38" s="1"/>
  <c r="S999" i="38"/>
  <c r="S1000" i="38"/>
  <c r="S1001" i="38"/>
  <c r="S1002" i="38"/>
  <c r="S1003" i="38"/>
  <c r="S1004" i="38"/>
  <c r="S1005" i="38"/>
  <c r="T1005" i="38" s="1"/>
  <c r="S1006" i="38"/>
  <c r="S1007" i="38"/>
  <c r="S1008" i="38"/>
  <c r="S1009" i="38"/>
  <c r="S1010" i="38"/>
  <c r="S1011" i="38"/>
  <c r="S1012" i="38"/>
  <c r="S1013" i="38"/>
  <c r="T1013" i="38" s="1"/>
  <c r="S1014" i="38"/>
  <c r="S1015" i="38"/>
  <c r="S1016" i="38"/>
  <c r="S1017" i="38"/>
  <c r="S1018" i="38"/>
  <c r="S1019" i="38"/>
  <c r="S1020" i="38"/>
  <c r="S1021" i="38"/>
  <c r="S1022" i="38"/>
  <c r="S1023" i="38"/>
  <c r="S1024" i="38"/>
  <c r="S1025" i="38"/>
  <c r="S1026" i="38"/>
  <c r="S1027" i="38"/>
  <c r="S1028" i="38"/>
  <c r="S1029" i="38"/>
  <c r="S1030" i="38"/>
  <c r="S1031" i="38"/>
  <c r="S1032" i="38"/>
  <c r="S1033" i="38"/>
  <c r="S1034" i="38"/>
  <c r="S1035" i="38"/>
  <c r="S1036" i="38"/>
  <c r="S1037" i="38"/>
  <c r="S1038" i="38"/>
  <c r="T1038" i="38" s="1"/>
  <c r="S1039" i="38"/>
  <c r="T1039" i="38" s="1"/>
  <c r="S1040" i="38"/>
  <c r="T1040" i="38" s="1"/>
  <c r="S1041" i="38"/>
  <c r="S1042" i="38"/>
  <c r="S1043" i="38"/>
  <c r="S1044" i="38"/>
  <c r="S1045" i="38"/>
  <c r="S1046" i="38"/>
  <c r="S1047" i="38"/>
  <c r="S1048" i="38"/>
  <c r="S1049" i="38"/>
  <c r="S10" i="38"/>
  <c r="W11" i="38"/>
  <c r="W12" i="38"/>
  <c r="W13" i="38"/>
  <c r="W14" i="38"/>
  <c r="W15" i="38"/>
  <c r="W16" i="38"/>
  <c r="W17" i="38"/>
  <c r="W18" i="38"/>
  <c r="W20" i="38"/>
  <c r="W21" i="38"/>
  <c r="W22" i="38"/>
  <c r="W23" i="38"/>
  <c r="W24" i="38"/>
  <c r="W25" i="38"/>
  <c r="W26" i="38"/>
  <c r="W27" i="38"/>
  <c r="W28" i="38"/>
  <c r="W29" i="38"/>
  <c r="W30" i="38"/>
  <c r="W31" i="38"/>
  <c r="W32" i="38"/>
  <c r="W33" i="38"/>
  <c r="W35" i="38"/>
  <c r="W36" i="38"/>
  <c r="W38" i="38"/>
  <c r="W39" i="38"/>
  <c r="W40" i="38"/>
  <c r="W41" i="38"/>
  <c r="W42" i="38"/>
  <c r="W44" i="38"/>
  <c r="W45" i="38"/>
  <c r="W46" i="38"/>
  <c r="W47" i="38"/>
  <c r="W48" i="38"/>
  <c r="W49" i="38"/>
  <c r="W51" i="38"/>
  <c r="W52" i="38"/>
  <c r="W53" i="38"/>
  <c r="W54" i="38"/>
  <c r="W55" i="38"/>
  <c r="W56" i="38"/>
  <c r="W57" i="38"/>
  <c r="W59" i="38"/>
  <c r="W60" i="38"/>
  <c r="W61" i="38"/>
  <c r="W62" i="38"/>
  <c r="W63" i="38"/>
  <c r="W65" i="38"/>
  <c r="W66" i="38"/>
  <c r="W67" i="38"/>
  <c r="W68" i="38"/>
  <c r="W69" i="38"/>
  <c r="W70" i="38"/>
  <c r="W71" i="38"/>
  <c r="W72" i="38"/>
  <c r="W74" i="38"/>
  <c r="W75" i="38"/>
  <c r="W76" i="38"/>
  <c r="W77" i="38"/>
  <c r="W78" i="38"/>
  <c r="W79" i="38"/>
  <c r="W80" i="38"/>
  <c r="W81" i="38"/>
  <c r="W83" i="38"/>
  <c r="W84" i="38"/>
  <c r="W85" i="38"/>
  <c r="W86" i="38"/>
  <c r="W88" i="38"/>
  <c r="W89" i="38"/>
  <c r="W90" i="38"/>
  <c r="W91" i="38"/>
  <c r="W92" i="38"/>
  <c r="W93" i="38"/>
  <c r="W94" i="38"/>
  <c r="W95" i="38"/>
  <c r="W96" i="38"/>
  <c r="W97" i="38"/>
  <c r="W98" i="38"/>
  <c r="W99" i="38"/>
  <c r="W100" i="38"/>
  <c r="W101" i="38"/>
  <c r="W102" i="38"/>
  <c r="W104" i="38"/>
  <c r="W105" i="38"/>
  <c r="W106" i="38"/>
  <c r="W107" i="38"/>
  <c r="W108" i="38"/>
  <c r="W109" i="38"/>
  <c r="W110" i="38"/>
  <c r="W111" i="38"/>
  <c r="W112" i="38"/>
  <c r="W113" i="38"/>
  <c r="W114" i="38"/>
  <c r="W115" i="38"/>
  <c r="W117" i="38"/>
  <c r="W118" i="38"/>
  <c r="W119" i="38"/>
  <c r="W120" i="38"/>
  <c r="W122" i="38"/>
  <c r="W123" i="38"/>
  <c r="W124" i="38"/>
  <c r="W125" i="38"/>
  <c r="W126" i="38"/>
  <c r="W128" i="38"/>
  <c r="W129" i="38"/>
  <c r="W130" i="38"/>
  <c r="W131" i="38"/>
  <c r="W132" i="38"/>
  <c r="W133" i="38"/>
  <c r="W134" i="38"/>
  <c r="W135" i="38"/>
  <c r="W136" i="38"/>
  <c r="W137" i="38"/>
  <c r="W139" i="38"/>
  <c r="W140" i="38"/>
  <c r="W141" i="38"/>
  <c r="W142" i="38"/>
  <c r="W143" i="38"/>
  <c r="W144" i="38"/>
  <c r="W145" i="38"/>
  <c r="W146" i="38"/>
  <c r="W147" i="38"/>
  <c r="W148" i="38"/>
  <c r="W149" i="38"/>
  <c r="W150" i="38"/>
  <c r="W151" i="38"/>
  <c r="W152" i="38"/>
  <c r="W154" i="38"/>
  <c r="W155" i="38"/>
  <c r="W156" i="38"/>
  <c r="W157" i="38"/>
  <c r="W158" i="38"/>
  <c r="W159" i="38"/>
  <c r="W160" i="38"/>
  <c r="W161" i="38"/>
  <c r="W163" i="38"/>
  <c r="W164" i="38"/>
  <c r="W165" i="38"/>
  <c r="W166" i="38"/>
  <c r="W167" i="38"/>
  <c r="W168" i="38"/>
  <c r="W169" i="38"/>
  <c r="W170" i="38"/>
  <c r="W171" i="38"/>
  <c r="W172" i="38"/>
  <c r="W174" i="38"/>
  <c r="W176" i="38"/>
  <c r="W177" i="38"/>
  <c r="W178" i="38"/>
  <c r="W179" i="38"/>
  <c r="W180" i="38"/>
  <c r="W181" i="38"/>
  <c r="W183" i="38"/>
  <c r="W184" i="38"/>
  <c r="W185" i="38"/>
  <c r="W186" i="38"/>
  <c r="W187" i="38"/>
  <c r="W188" i="38"/>
  <c r="W190" i="38"/>
  <c r="W191" i="38"/>
  <c r="W192" i="38"/>
  <c r="W193" i="38"/>
  <c r="W194" i="38"/>
  <c r="W195" i="38"/>
  <c r="W196" i="38"/>
  <c r="W197" i="38"/>
  <c r="W200" i="38"/>
  <c r="W201" i="38"/>
  <c r="W202" i="38"/>
  <c r="W203" i="38"/>
  <c r="W204" i="38"/>
  <c r="W205" i="38"/>
  <c r="W207" i="38"/>
  <c r="W208" i="38"/>
  <c r="W209" i="38"/>
  <c r="W210" i="38"/>
  <c r="W211" i="38"/>
  <c r="W212" i="38"/>
  <c r="W214" i="38"/>
  <c r="W215" i="38"/>
  <c r="W216" i="38"/>
  <c r="W217" i="38"/>
  <c r="W218" i="38"/>
  <c r="W219" i="38"/>
  <c r="W220" i="38"/>
  <c r="W222" i="38"/>
  <c r="W223" i="38"/>
  <c r="W224" i="38"/>
  <c r="W225" i="38"/>
  <c r="W226" i="38"/>
  <c r="W227" i="38"/>
  <c r="W228" i="38"/>
  <c r="W229" i="38"/>
  <c r="W230" i="38"/>
  <c r="W232" i="38"/>
  <c r="W233" i="38"/>
  <c r="W234" i="38"/>
  <c r="W235" i="38"/>
  <c r="W236" i="38"/>
  <c r="W237" i="38"/>
  <c r="W238" i="38"/>
  <c r="W240" i="38"/>
  <c r="W241" i="38"/>
  <c r="W242" i="38"/>
  <c r="W243" i="38"/>
  <c r="W244" i="38"/>
  <c r="W246" i="38"/>
  <c r="W247" i="38"/>
  <c r="W248" i="38"/>
  <c r="W249" i="38"/>
  <c r="W250" i="38"/>
  <c r="W251" i="38"/>
  <c r="W252" i="38"/>
  <c r="W254" i="38"/>
  <c r="W255" i="38"/>
  <c r="W256" i="38"/>
  <c r="W257" i="38"/>
  <c r="W258" i="38"/>
  <c r="W259" i="38"/>
  <c r="W260" i="38"/>
  <c r="W261" i="38"/>
  <c r="W262" i="38"/>
  <c r="W263" i="38"/>
  <c r="W265" i="38"/>
  <c r="W267" i="38"/>
  <c r="W268" i="38"/>
  <c r="W269" i="38"/>
  <c r="W270" i="38"/>
  <c r="W271" i="38"/>
  <c r="W272" i="38"/>
  <c r="W273" i="38"/>
  <c r="W274" i="38"/>
  <c r="W275" i="38"/>
  <c r="W276" i="38"/>
  <c r="W278" i="38"/>
  <c r="W279" i="38"/>
  <c r="W280" i="38"/>
  <c r="W281" i="38"/>
  <c r="W283" i="38"/>
  <c r="W284" i="38"/>
  <c r="W285" i="38"/>
  <c r="W286" i="38"/>
  <c r="W287" i="38"/>
  <c r="W288" i="38"/>
  <c r="W289" i="38"/>
  <c r="W290" i="38"/>
  <c r="W291" i="38"/>
  <c r="W292" i="38"/>
  <c r="W294" i="38"/>
  <c r="W295" i="38"/>
  <c r="W296" i="38"/>
  <c r="W297" i="38"/>
  <c r="W298" i="38"/>
  <c r="W299" i="38"/>
  <c r="W300" i="38"/>
  <c r="W301" i="38"/>
  <c r="W303" i="38"/>
  <c r="W304" i="38"/>
  <c r="W305" i="38"/>
  <c r="W306" i="38"/>
  <c r="W307" i="38"/>
  <c r="W308" i="38"/>
  <c r="W309" i="38"/>
  <c r="W310" i="38"/>
  <c r="W312" i="38"/>
  <c r="W313" i="38"/>
  <c r="W314" i="38"/>
  <c r="W315" i="38"/>
  <c r="W316" i="38"/>
  <c r="W317" i="38"/>
  <c r="W318" i="38"/>
  <c r="W319" i="38"/>
  <c r="W320" i="38"/>
  <c r="W321" i="38"/>
  <c r="W322" i="38"/>
  <c r="W323" i="38"/>
  <c r="W324" i="38"/>
  <c r="W325" i="38"/>
  <c r="W326" i="38"/>
  <c r="W327" i="38"/>
  <c r="W328" i="38"/>
  <c r="W329" i="38"/>
  <c r="W330" i="38"/>
  <c r="W331" i="38"/>
  <c r="W332" i="38"/>
  <c r="W333" i="38"/>
  <c r="W334" i="38"/>
  <c r="W335" i="38"/>
  <c r="W336" i="38"/>
  <c r="W338" i="38"/>
  <c r="W339" i="38"/>
  <c r="W340" i="38"/>
  <c r="W341" i="38"/>
  <c r="W342" i="38"/>
  <c r="W344" i="38"/>
  <c r="W345" i="38"/>
  <c r="W346" i="38"/>
  <c r="W347" i="38"/>
  <c r="W348" i="38"/>
  <c r="W349" i="38"/>
  <c r="W350" i="38"/>
  <c r="W351" i="38"/>
  <c r="W352" i="38"/>
  <c r="W354" i="38"/>
  <c r="W355" i="38"/>
  <c r="W357" i="38"/>
  <c r="W358" i="38"/>
  <c r="W359" i="38"/>
  <c r="W360" i="38"/>
  <c r="W361" i="38"/>
  <c r="W362" i="38"/>
  <c r="W363" i="38"/>
  <c r="W364" i="38"/>
  <c r="W366" i="38"/>
  <c r="W368" i="38"/>
  <c r="W369" i="38"/>
  <c r="W370" i="38"/>
  <c r="W371" i="38"/>
  <c r="W372" i="38"/>
  <c r="W373" i="38"/>
  <c r="W374" i="38"/>
  <c r="W375" i="38"/>
  <c r="W376" i="38"/>
  <c r="W378" i="38"/>
  <c r="W379" i="38"/>
  <c r="W380" i="38"/>
  <c r="W381" i="38"/>
  <c r="W382" i="38"/>
  <c r="W383" i="38"/>
  <c r="W384" i="38"/>
  <c r="W386" i="38"/>
  <c r="W388" i="38"/>
  <c r="W389" i="38"/>
  <c r="W390" i="38"/>
  <c r="W391" i="38"/>
  <c r="W392" i="38"/>
  <c r="W393" i="38"/>
  <c r="W395" i="38"/>
  <c r="W396" i="38"/>
  <c r="W397" i="38"/>
  <c r="W398" i="38"/>
  <c r="W399" i="38"/>
  <c r="W400" i="38"/>
  <c r="W401" i="38"/>
  <c r="W402" i="38"/>
  <c r="W403" i="38"/>
  <c r="W405" i="38"/>
  <c r="W406" i="38"/>
  <c r="W407" i="38"/>
  <c r="W408" i="38"/>
  <c r="W409" i="38"/>
  <c r="W410" i="38"/>
  <c r="W411" i="38"/>
  <c r="W412" i="38"/>
  <c r="W414" i="38"/>
  <c r="W415" i="38"/>
  <c r="W417" i="38"/>
  <c r="W418" i="38"/>
  <c r="W419" i="38"/>
  <c r="W420" i="38"/>
  <c r="W421" i="38"/>
  <c r="W422" i="38"/>
  <c r="W423" i="38"/>
  <c r="W424" i="38"/>
  <c r="W425" i="38"/>
  <c r="W426" i="38"/>
  <c r="W428" i="38"/>
  <c r="W430" i="38"/>
  <c r="W431" i="38"/>
  <c r="W432" i="38"/>
  <c r="W433" i="38"/>
  <c r="W435" i="38"/>
  <c r="W436" i="38"/>
  <c r="W437" i="38"/>
  <c r="W438" i="38"/>
  <c r="W439" i="38"/>
  <c r="W440" i="38"/>
  <c r="W441" i="38"/>
  <c r="W442" i="38"/>
  <c r="W443" i="38"/>
  <c r="W444" i="38"/>
  <c r="W446" i="38"/>
  <c r="W448" i="38"/>
  <c r="W449" i="38"/>
  <c r="W450" i="38"/>
  <c r="W451" i="38"/>
  <c r="W452" i="38"/>
  <c r="W453" i="38"/>
  <c r="W454" i="38"/>
  <c r="W455" i="38"/>
  <c r="W456" i="38"/>
  <c r="W457" i="38"/>
  <c r="W459" i="38"/>
  <c r="W461" i="38"/>
  <c r="W462" i="38"/>
  <c r="W463" i="38"/>
  <c r="W464" i="38"/>
  <c r="W465" i="38"/>
  <c r="W466" i="38"/>
  <c r="W468" i="38"/>
  <c r="W469" i="38"/>
  <c r="W470" i="38"/>
  <c r="W471" i="38"/>
  <c r="W472" i="38"/>
  <c r="W473" i="38"/>
  <c r="W474" i="38"/>
  <c r="W476" i="38"/>
  <c r="W477" i="38"/>
  <c r="W478" i="38"/>
  <c r="W479" i="38"/>
  <c r="W480" i="38"/>
  <c r="W481" i="38"/>
  <c r="W482" i="38"/>
  <c r="W484" i="38"/>
  <c r="W485" i="38"/>
  <c r="W486" i="38"/>
  <c r="W487" i="38"/>
  <c r="W488" i="38"/>
  <c r="W489" i="38"/>
  <c r="W491" i="38"/>
  <c r="W492" i="38"/>
  <c r="W493" i="38"/>
  <c r="W494" i="38"/>
  <c r="W495" i="38"/>
  <c r="W496" i="38"/>
  <c r="W497" i="38"/>
  <c r="W498" i="38"/>
  <c r="W500" i="38"/>
  <c r="W502" i="38"/>
  <c r="W503" i="38"/>
  <c r="W504" i="38"/>
  <c r="W505" i="38"/>
  <c r="W506" i="38"/>
  <c r="W507" i="38"/>
  <c r="W509" i="38"/>
  <c r="W510" i="38"/>
  <c r="W511" i="38"/>
  <c r="W512" i="38"/>
  <c r="W513" i="38"/>
  <c r="W514" i="38"/>
  <c r="W515" i="38"/>
  <c r="W516" i="38"/>
  <c r="W517" i="38"/>
  <c r="W518" i="38"/>
  <c r="W519" i="38"/>
  <c r="W520" i="38"/>
  <c r="W521" i="38"/>
  <c r="W522" i="38"/>
  <c r="W524" i="38"/>
  <c r="W525" i="38"/>
  <c r="W526" i="38"/>
  <c r="W527" i="38"/>
  <c r="W528" i="38"/>
  <c r="W529" i="38"/>
  <c r="W530" i="38"/>
  <c r="W531" i="38"/>
  <c r="W533" i="38"/>
  <c r="W534" i="38"/>
  <c r="W535" i="38"/>
  <c r="W536" i="38"/>
  <c r="W537" i="38"/>
  <c r="W538" i="38"/>
  <c r="W539" i="38"/>
  <c r="W540" i="38"/>
  <c r="W541" i="38"/>
  <c r="W542" i="38"/>
  <c r="W544" i="38"/>
  <c r="W546" i="38"/>
  <c r="W547" i="38"/>
  <c r="W548" i="38"/>
  <c r="W549" i="38"/>
  <c r="W550" i="38"/>
  <c r="W551" i="38"/>
  <c r="W552" i="38"/>
  <c r="W553" i="38"/>
  <c r="W554" i="38"/>
  <c r="W555" i="38"/>
  <c r="W556" i="38"/>
  <c r="W557" i="38"/>
  <c r="W558" i="38"/>
  <c r="W560" i="38"/>
  <c r="W561" i="38"/>
  <c r="W563" i="38"/>
  <c r="W564" i="38"/>
  <c r="W565" i="38"/>
  <c r="W566" i="38"/>
  <c r="W567" i="38"/>
  <c r="W568" i="38"/>
  <c r="W569" i="38"/>
  <c r="W570" i="38"/>
  <c r="W571" i="38"/>
  <c r="W573" i="38"/>
  <c r="W575" i="38"/>
  <c r="W576" i="38"/>
  <c r="W577" i="38"/>
  <c r="W578" i="38"/>
  <c r="W579" i="38"/>
  <c r="W580" i="38"/>
  <c r="W581" i="38"/>
  <c r="W583" i="38"/>
  <c r="W584" i="38"/>
  <c r="W585" i="38"/>
  <c r="W586" i="38"/>
  <c r="W587" i="38"/>
  <c r="W588" i="38"/>
  <c r="W589" i="38"/>
  <c r="W590" i="38"/>
  <c r="W591" i="38"/>
  <c r="W592" i="38"/>
  <c r="W593" i="38"/>
  <c r="W595" i="38"/>
  <c r="W597" i="38"/>
  <c r="W598" i="38"/>
  <c r="W599" i="38"/>
  <c r="W600" i="38"/>
  <c r="W601" i="38"/>
  <c r="W602" i="38"/>
  <c r="W604" i="38"/>
  <c r="W605" i="38"/>
  <c r="W606" i="38"/>
  <c r="W607" i="38"/>
  <c r="W608" i="38"/>
  <c r="W609" i="38"/>
  <c r="W610" i="38"/>
  <c r="W611" i="38"/>
  <c r="W612" i="38"/>
  <c r="W613" i="38"/>
  <c r="W614" i="38"/>
  <c r="W616" i="38"/>
  <c r="W617" i="38"/>
  <c r="W619" i="38"/>
  <c r="W620" i="38"/>
  <c r="W621" i="38"/>
  <c r="W622" i="38"/>
  <c r="W623" i="38"/>
  <c r="W624" i="38"/>
  <c r="W625" i="38"/>
  <c r="W627" i="38"/>
  <c r="W628" i="38"/>
  <c r="W629" i="38"/>
  <c r="W630" i="38"/>
  <c r="W632" i="38"/>
  <c r="W633" i="38"/>
  <c r="W634" i="38"/>
  <c r="W635" i="38"/>
  <c r="W636" i="38"/>
  <c r="W637" i="38"/>
  <c r="W638" i="38"/>
  <c r="W639" i="38"/>
  <c r="W640" i="38"/>
  <c r="W641" i="38"/>
  <c r="W642" i="38"/>
  <c r="W644" i="38"/>
  <c r="W645" i="38"/>
  <c r="W646" i="38"/>
  <c r="W647" i="38"/>
  <c r="W648" i="38"/>
  <c r="W649" i="38"/>
  <c r="W650" i="38"/>
  <c r="W651" i="38"/>
  <c r="W652" i="38"/>
  <c r="W653" i="38"/>
  <c r="W655" i="38"/>
  <c r="W656" i="38"/>
  <c r="W658" i="38"/>
  <c r="W659" i="38"/>
  <c r="W660" i="38"/>
  <c r="W661" i="38"/>
  <c r="W662" i="38"/>
  <c r="W663" i="38"/>
  <c r="W664" i="38"/>
  <c r="W665" i="38"/>
  <c r="W666" i="38"/>
  <c r="W667" i="38"/>
  <c r="W668" i="38"/>
  <c r="W669" i="38"/>
  <c r="W671" i="38"/>
  <c r="W672" i="38"/>
  <c r="W673" i="38"/>
  <c r="W674" i="38"/>
  <c r="W675" i="38"/>
  <c r="W676" i="38"/>
  <c r="W677" i="38"/>
  <c r="W678" i="38"/>
  <c r="W679" i="38"/>
  <c r="W680" i="38"/>
  <c r="W681" i="38"/>
  <c r="W682" i="38"/>
  <c r="W684" i="38"/>
  <c r="W686" i="38"/>
  <c r="W687" i="38"/>
  <c r="W688" i="38"/>
  <c r="W689" i="38"/>
  <c r="W690" i="38"/>
  <c r="W691" i="38"/>
  <c r="W692" i="38"/>
  <c r="W693" i="38"/>
  <c r="W694" i="38"/>
  <c r="W695" i="38"/>
  <c r="W697" i="38"/>
  <c r="W698" i="38"/>
  <c r="W700" i="38"/>
  <c r="W701" i="38"/>
  <c r="W702" i="38"/>
  <c r="W703" i="38"/>
  <c r="W704" i="38"/>
  <c r="W706" i="38"/>
  <c r="W707" i="38"/>
  <c r="W708" i="38"/>
  <c r="W709" i="38"/>
  <c r="W710" i="38"/>
  <c r="W711" i="38"/>
  <c r="W712" i="38"/>
  <c r="W713" i="38"/>
  <c r="W714" i="38"/>
  <c r="W715" i="38"/>
  <c r="W716" i="38"/>
  <c r="W717" i="38"/>
  <c r="W719" i="38"/>
  <c r="W721" i="38"/>
  <c r="W722" i="38"/>
  <c r="W723" i="38"/>
  <c r="W724" i="38"/>
  <c r="W725" i="38"/>
  <c r="W726" i="38"/>
  <c r="W727" i="38"/>
  <c r="W729" i="38"/>
  <c r="W730" i="38"/>
  <c r="W731" i="38"/>
  <c r="W732" i="38"/>
  <c r="W733" i="38"/>
  <c r="W734" i="38"/>
  <c r="W735" i="38"/>
  <c r="W736" i="38"/>
  <c r="W738" i="38"/>
  <c r="W739" i="38"/>
  <c r="W740" i="38"/>
  <c r="W741" i="38"/>
  <c r="W742" i="38"/>
  <c r="W743" i="38"/>
  <c r="W744" i="38"/>
  <c r="W745" i="38"/>
  <c r="W748" i="38"/>
  <c r="W749" i="38"/>
  <c r="W750" i="38"/>
  <c r="W751" i="38"/>
  <c r="W752" i="38"/>
  <c r="W753" i="38"/>
  <c r="W754" i="38"/>
  <c r="W755" i="38"/>
  <c r="W756" i="38"/>
  <c r="W757" i="38"/>
  <c r="W759" i="38"/>
  <c r="W761" i="38"/>
  <c r="W762" i="38"/>
  <c r="W763" i="38"/>
  <c r="W764" i="38"/>
  <c r="W765" i="38"/>
  <c r="W766" i="38"/>
  <c r="W767" i="38"/>
  <c r="W768" i="38"/>
  <c r="W770" i="38"/>
  <c r="W772" i="38"/>
  <c r="W773" i="38"/>
  <c r="W774" i="38"/>
  <c r="W775" i="38"/>
  <c r="W776" i="38"/>
  <c r="W777" i="38"/>
  <c r="W778" i="38"/>
  <c r="W780" i="38"/>
  <c r="W781" i="38"/>
  <c r="W782" i="38"/>
  <c r="W783" i="38"/>
  <c r="W784" i="38"/>
  <c r="W786" i="38"/>
  <c r="W787" i="38"/>
  <c r="W788" i="38"/>
  <c r="W789" i="38"/>
  <c r="W790" i="38"/>
  <c r="W791" i="38"/>
  <c r="W792" i="38"/>
  <c r="W793" i="38"/>
  <c r="W794" i="38"/>
  <c r="W795" i="38"/>
  <c r="W796" i="38"/>
  <c r="W798" i="38"/>
  <c r="W800" i="38"/>
  <c r="W801" i="38"/>
  <c r="W802" i="38"/>
  <c r="W803" i="38"/>
  <c r="W804" i="38"/>
  <c r="W805" i="38"/>
  <c r="W806" i="38"/>
  <c r="W807" i="38"/>
  <c r="W808" i="38"/>
  <c r="W809" i="38"/>
  <c r="W810" i="38"/>
  <c r="W813" i="38"/>
  <c r="W814" i="38"/>
  <c r="W815" i="38"/>
  <c r="W816" i="38"/>
  <c r="W818" i="38"/>
  <c r="W819" i="38"/>
  <c r="W820" i="38"/>
  <c r="W821" i="38"/>
  <c r="W822" i="38"/>
  <c r="W823" i="38"/>
  <c r="W824" i="38"/>
  <c r="W825" i="38"/>
  <c r="W826" i="38"/>
  <c r="W827" i="38"/>
  <c r="W828" i="38"/>
  <c r="W829" i="38"/>
  <c r="W832" i="38"/>
  <c r="W833" i="38"/>
  <c r="W834" i="38"/>
  <c r="W835" i="38"/>
  <c r="W836" i="38"/>
  <c r="W837" i="38"/>
  <c r="W838" i="38"/>
  <c r="W839" i="38"/>
  <c r="W840" i="38"/>
  <c r="W843" i="38"/>
  <c r="W844" i="38"/>
  <c r="W845" i="38"/>
  <c r="W846" i="38"/>
  <c r="W847" i="38"/>
  <c r="W848" i="38"/>
  <c r="W849" i="38"/>
  <c r="W850" i="38"/>
  <c r="W851" i="38"/>
  <c r="W853" i="38"/>
  <c r="W854" i="38"/>
  <c r="W855" i="38"/>
  <c r="W856" i="38"/>
  <c r="W857" i="38"/>
  <c r="W858" i="38"/>
  <c r="W859" i="38"/>
  <c r="W860" i="38"/>
  <c r="W862" i="38"/>
  <c r="W863" i="38"/>
  <c r="W864" i="38"/>
  <c r="W865" i="38"/>
  <c r="W866" i="38"/>
  <c r="W867" i="38"/>
  <c r="W868" i="38"/>
  <c r="W869" i="38"/>
  <c r="W870" i="38"/>
  <c r="W871" i="38"/>
  <c r="W873" i="38"/>
  <c r="W874" i="38"/>
  <c r="W875" i="38"/>
  <c r="W876" i="38"/>
  <c r="W877" i="38"/>
  <c r="W878" i="38"/>
  <c r="W879" i="38"/>
  <c r="W880" i="38"/>
  <c r="W881" i="38"/>
  <c r="W882" i="38"/>
  <c r="W884" i="38"/>
  <c r="W886" i="38"/>
  <c r="W887" i="38"/>
  <c r="W888" i="38"/>
  <c r="W889" i="38"/>
  <c r="W890" i="38"/>
  <c r="W891" i="38"/>
  <c r="W893" i="38"/>
  <c r="W894" i="38"/>
  <c r="W895" i="38"/>
  <c r="W896" i="38"/>
  <c r="W897" i="38"/>
  <c r="W898" i="38"/>
  <c r="W899" i="38"/>
  <c r="W900" i="38"/>
  <c r="W901" i="38"/>
  <c r="W902" i="38"/>
  <c r="W903" i="38"/>
  <c r="W905" i="38"/>
  <c r="W907" i="38"/>
  <c r="W908" i="38"/>
  <c r="W909" i="38"/>
  <c r="W910" i="38"/>
  <c r="W911" i="38"/>
  <c r="W912" i="38"/>
  <c r="W913" i="38"/>
  <c r="W915" i="38"/>
  <c r="W916" i="38"/>
  <c r="W917" i="38"/>
  <c r="W918" i="38"/>
  <c r="W919" i="38"/>
  <c r="W920" i="38"/>
  <c r="W921" i="38"/>
  <c r="W922" i="38"/>
  <c r="W923" i="38"/>
  <c r="W924" i="38"/>
  <c r="W925" i="38"/>
  <c r="W926" i="38"/>
  <c r="W928" i="38"/>
  <c r="W930" i="38"/>
  <c r="W931" i="38"/>
  <c r="W932" i="38"/>
  <c r="W933" i="38"/>
  <c r="W935" i="38"/>
  <c r="W936" i="38"/>
  <c r="W937" i="38"/>
  <c r="W938" i="38"/>
  <c r="W940" i="38"/>
  <c r="W942" i="38"/>
  <c r="W943" i="38"/>
  <c r="W944" i="38"/>
  <c r="W945" i="38"/>
  <c r="W946" i="38"/>
  <c r="W947" i="38"/>
  <c r="W948" i="38"/>
  <c r="W949" i="38"/>
  <c r="W951" i="38"/>
  <c r="W952" i="38"/>
  <c r="W953" i="38"/>
  <c r="W954" i="38"/>
  <c r="W955" i="38"/>
  <c r="W956" i="38"/>
  <c r="W957" i="38"/>
  <c r="W958" i="38"/>
  <c r="W959" i="38"/>
  <c r="W960" i="38"/>
  <c r="W961" i="38"/>
  <c r="W962" i="38"/>
  <c r="W964" i="38"/>
  <c r="W966" i="38"/>
  <c r="W967" i="38"/>
  <c r="W968" i="38"/>
  <c r="W969" i="38"/>
  <c r="W970" i="38"/>
  <c r="W971" i="38"/>
  <c r="W972" i="38"/>
  <c r="W973" i="38"/>
  <c r="W974" i="38"/>
  <c r="W975" i="38"/>
  <c r="W976" i="38"/>
  <c r="W978" i="38"/>
  <c r="W979" i="38"/>
  <c r="W980" i="38"/>
  <c r="W981" i="38"/>
  <c r="W982" i="38"/>
  <c r="W983" i="38"/>
  <c r="W984" i="38"/>
  <c r="W985" i="38"/>
  <c r="W986" i="38"/>
  <c r="W988" i="38"/>
  <c r="W989" i="38"/>
  <c r="W990" i="38"/>
  <c r="W992" i="38"/>
  <c r="W993" i="38"/>
  <c r="W994" i="38"/>
  <c r="W995" i="38"/>
  <c r="W996" i="38"/>
  <c r="W997" i="38"/>
  <c r="W998" i="38"/>
  <c r="W999" i="38"/>
  <c r="W1000" i="38"/>
  <c r="W1001" i="38"/>
  <c r="W1002" i="38"/>
  <c r="W1004" i="38"/>
  <c r="W1005" i="38"/>
  <c r="W1006" i="38"/>
  <c r="W1007" i="38"/>
  <c r="W1008" i="38"/>
  <c r="W1009" i="38"/>
  <c r="W1010" i="38"/>
  <c r="W1012" i="38"/>
  <c r="W1013" i="38"/>
  <c r="W1014" i="38"/>
  <c r="W1015" i="38"/>
  <c r="W1016" i="38"/>
  <c r="W1017" i="38"/>
  <c r="W1018" i="38"/>
  <c r="W1020" i="38"/>
  <c r="W1021" i="38"/>
  <c r="W1022" i="38"/>
  <c r="W1023" i="38"/>
  <c r="W1024" i="38"/>
  <c r="W1025" i="38"/>
  <c r="W1026" i="38"/>
  <c r="W1027" i="38"/>
  <c r="W1029" i="38"/>
  <c r="W1030" i="38"/>
  <c r="W1031" i="38"/>
  <c r="W1032" i="38"/>
  <c r="W1033" i="38"/>
  <c r="W1034" i="38"/>
  <c r="W1036" i="38"/>
  <c r="W1037" i="38"/>
  <c r="W1038" i="38"/>
  <c r="W1039" i="38"/>
  <c r="W1040" i="38"/>
  <c r="W1041" i="38"/>
  <c r="W1042" i="38"/>
  <c r="W1043" i="38"/>
  <c r="W1044" i="38"/>
  <c r="W1045" i="38"/>
  <c r="W1047" i="38"/>
  <c r="W1048" i="38"/>
  <c r="W10" i="38"/>
  <c r="H1055" i="38"/>
  <c r="O152" i="43"/>
  <c r="N152" i="43"/>
  <c r="G1055" i="38"/>
  <c r="K10" i="38"/>
  <c r="N10" i="38" s="1"/>
  <c r="J10" i="38"/>
  <c r="P30" i="2"/>
  <c r="P34" i="2" s="1"/>
  <c r="P33" i="2"/>
  <c r="N70" i="3"/>
  <c r="L68" i="3"/>
  <c r="L70" i="3" s="1"/>
  <c r="L31" i="3"/>
  <c r="A76" i="3"/>
  <c r="A77" i="3"/>
  <c r="D77" i="3"/>
  <c r="D76" i="3"/>
  <c r="F79" i="3"/>
  <c r="F77" i="3"/>
  <c r="F76" i="3"/>
  <c r="F15" i="6"/>
  <c r="L15" i="6" s="1"/>
  <c r="N35" i="9"/>
  <c r="L35" i="9"/>
  <c r="O53" i="1" s="1"/>
  <c r="F17" i="24" s="1"/>
  <c r="J35" i="9"/>
  <c r="G53" i="1" s="1"/>
  <c r="H35" i="9"/>
  <c r="W18" i="1" s="1"/>
  <c r="F35" i="9"/>
  <c r="O18" i="1" s="1"/>
  <c r="D35" i="9"/>
  <c r="G18" i="1" s="1"/>
  <c r="V37" i="6" s="1"/>
  <c r="F37" i="10"/>
  <c r="O17" i="1" s="1"/>
  <c r="H37" i="10"/>
  <c r="W17" i="1" s="1"/>
  <c r="J37" i="10"/>
  <c r="G52" i="1" s="1"/>
  <c r="L37" i="10"/>
  <c r="O52" i="1" s="1"/>
  <c r="F16" i="24" s="1"/>
  <c r="N37" i="10"/>
  <c r="D37" i="10"/>
  <c r="G17" i="1" s="1"/>
  <c r="Q1102" i="38" l="1"/>
  <c r="S1102" i="38" s="1"/>
  <c r="Q1101" i="38"/>
  <c r="S1101" i="38" s="1"/>
  <c r="W1057" i="38"/>
  <c r="G49" i="7" s="1"/>
  <c r="W19" i="38"/>
  <c r="W1051" i="38" s="1"/>
  <c r="V1051" i="38"/>
  <c r="T553" i="38"/>
  <c r="T247" i="38"/>
  <c r="T345" i="38"/>
  <c r="T969" i="38"/>
  <c r="T711" i="38"/>
  <c r="T201" i="38"/>
  <c r="T953" i="38"/>
  <c r="T833" i="38"/>
  <c r="T689" i="38"/>
  <c r="T313" i="38"/>
  <c r="T191" i="38"/>
  <c r="T39" i="38"/>
  <c r="T25" i="38"/>
  <c r="T801" i="38"/>
  <c r="T687" i="38"/>
  <c r="T143" i="38"/>
  <c r="T993" i="38"/>
  <c r="T919" i="38"/>
  <c r="T585" i="38"/>
  <c r="T23" i="38"/>
  <c r="T897" i="38"/>
  <c r="T449" i="38"/>
  <c r="T257" i="38"/>
  <c r="T1021" i="38"/>
  <c r="T285" i="38"/>
  <c r="T389" i="38"/>
  <c r="T493" i="38"/>
  <c r="T485" i="38"/>
  <c r="T740" i="38"/>
  <c r="T660" i="38"/>
  <c r="T396" i="38"/>
  <c r="T284" i="38"/>
  <c r="T60" i="38"/>
  <c r="T874" i="38"/>
  <c r="T492" i="38"/>
  <c r="T820" i="38"/>
  <c r="T636" i="38"/>
  <c r="T564" i="38"/>
  <c r="T268" i="38"/>
  <c r="T164" i="38"/>
  <c r="T788" i="38"/>
  <c r="T12" i="38"/>
  <c r="T980" i="38"/>
  <c r="T676" i="38"/>
  <c r="T436" i="38"/>
  <c r="T339" i="38"/>
  <c r="T269" i="38"/>
  <c r="T450" i="38"/>
  <c r="T547" i="38"/>
  <c r="T11" i="38"/>
  <c r="T821" i="38"/>
  <c r="T731" i="38"/>
  <c r="T437" i="38"/>
  <c r="T325" i="38"/>
  <c r="T165" i="38"/>
  <c r="T419" i="38"/>
  <c r="T258" i="38"/>
  <c r="T75" i="38"/>
  <c r="T53" i="38"/>
  <c r="T346" i="38"/>
  <c r="T45" i="38"/>
  <c r="T952" i="38"/>
  <c r="T647" i="38"/>
  <c r="T551" i="38"/>
  <c r="T511" i="38"/>
  <c r="T503" i="38"/>
  <c r="T407" i="38"/>
  <c r="G1058" i="38"/>
  <c r="L10" i="38"/>
  <c r="O10" i="38" s="1"/>
  <c r="Q10" i="38" s="1"/>
  <c r="L22" i="24"/>
  <c r="K534" i="38"/>
  <c r="P1055" i="38" l="1"/>
  <c r="R1055" i="38"/>
  <c r="S1055" i="38"/>
  <c r="E29" i="7" s="1"/>
  <c r="G32" i="7" s="1"/>
  <c r="U1055" i="38"/>
  <c r="V1055" i="38"/>
  <c r="H1054" i="38"/>
  <c r="F916" i="38"/>
  <c r="F662" i="38"/>
  <c r="F658" i="38"/>
  <c r="F321" i="38"/>
  <c r="F240" i="38"/>
  <c r="F216" i="38"/>
  <c r="F215" i="38"/>
  <c r="F108" i="38"/>
  <c r="F91" i="38"/>
  <c r="F89" i="38"/>
  <c r="F65" i="38"/>
  <c r="F818" i="38"/>
  <c r="F674" i="38"/>
  <c r="F322" i="38"/>
  <c r="F1029" i="38"/>
  <c r="F935" i="38"/>
  <c r="F930" i="38"/>
  <c r="F907" i="38"/>
  <c r="F843" i="38"/>
  <c r="F813" i="38"/>
  <c r="F782" i="38"/>
  <c r="F770" i="38"/>
  <c r="F761" i="38"/>
  <c r="F627" i="38"/>
  <c r="F517" i="38"/>
  <c r="F502" i="38"/>
  <c r="F484" i="38"/>
  <c r="F468" i="38"/>
  <c r="F405" i="38"/>
  <c r="F366" i="38"/>
  <c r="F329" i="38"/>
  <c r="F324" i="38"/>
  <c r="F305" i="38"/>
  <c r="F242" i="38"/>
  <c r="F232" i="38"/>
  <c r="F217" i="38"/>
  <c r="F208" i="38"/>
  <c r="F178" i="38"/>
  <c r="F156" i="38"/>
  <c r="F117" i="38"/>
  <c r="F110" i="38"/>
  <c r="F105" i="38"/>
  <c r="F90" i="38"/>
  <c r="F84" i="38"/>
  <c r="F59" i="38"/>
  <c r="F1020" i="38"/>
  <c r="F1012" i="38"/>
  <c r="F1004" i="38"/>
  <c r="F997" i="38"/>
  <c r="F992" i="38"/>
  <c r="F970" i="38"/>
  <c r="F942" i="38"/>
  <c r="F886" i="38"/>
  <c r="F853" i="38"/>
  <c r="F845" i="38"/>
  <c r="F772" i="38"/>
  <c r="F739" i="38"/>
  <c r="F721" i="38"/>
  <c r="F706" i="38"/>
  <c r="F700" i="38"/>
  <c r="F675" i="38"/>
  <c r="F663" i="38"/>
  <c r="F659" i="38"/>
  <c r="F635" i="38"/>
  <c r="F597" i="38"/>
  <c r="F575" i="38"/>
  <c r="F546" i="38"/>
  <c r="F534" i="38"/>
  <c r="F525" i="38"/>
  <c r="F510" i="38"/>
  <c r="F477" i="38"/>
  <c r="F461" i="38"/>
  <c r="F430" i="38"/>
  <c r="F406" i="38"/>
  <c r="F395" i="38"/>
  <c r="F388" i="38"/>
  <c r="F368" i="38"/>
  <c r="F357" i="38"/>
  <c r="F338" i="38"/>
  <c r="F317" i="38"/>
  <c r="F312" i="38"/>
  <c r="F295" i="38"/>
  <c r="F246" i="38"/>
  <c r="F222" i="38"/>
  <c r="F200" i="38"/>
  <c r="F183" i="38"/>
  <c r="F122" i="38"/>
  <c r="F92" i="38"/>
  <c r="F67" i="38"/>
  <c r="F52" i="38"/>
  <c r="F38" i="38"/>
  <c r="F968" i="38"/>
  <c r="F967" i="38"/>
  <c r="F966" i="38"/>
  <c r="F915" i="38"/>
  <c r="F780" i="38"/>
  <c r="F633" i="38"/>
  <c r="F632" i="38"/>
  <c r="F524" i="38"/>
  <c r="F509" i="38"/>
  <c r="F241" i="38"/>
  <c r="F176" i="38"/>
  <c r="F104" i="38"/>
  <c r="F1036" i="38"/>
  <c r="F978" i="38"/>
  <c r="F951" i="38"/>
  <c r="F917" i="38"/>
  <c r="F894" i="38"/>
  <c r="F873" i="38"/>
  <c r="F863" i="38"/>
  <c r="F832" i="38"/>
  <c r="F819" i="38"/>
  <c r="F800" i="38"/>
  <c r="F786" i="38"/>
  <c r="F748" i="38"/>
  <c r="F729" i="38"/>
  <c r="F710" i="38"/>
  <c r="F686" i="38"/>
  <c r="F645" i="38"/>
  <c r="F619" i="38"/>
  <c r="F604" i="38"/>
  <c r="F583" i="38"/>
  <c r="F563" i="38"/>
  <c r="F549" i="38"/>
  <c r="F491" i="38"/>
  <c r="F448" i="38"/>
  <c r="F435" i="38"/>
  <c r="F417" i="38"/>
  <c r="F378" i="38"/>
  <c r="F344" i="38"/>
  <c r="F283" i="38"/>
  <c r="F267" i="38"/>
  <c r="F255" i="38"/>
  <c r="F190" i="38"/>
  <c r="F163" i="38"/>
  <c r="F141" i="38"/>
  <c r="F130" i="38"/>
  <c r="F74" i="38"/>
  <c r="F44" i="38"/>
  <c r="J491" i="38"/>
  <c r="K916" i="38"/>
  <c r="K662" i="38"/>
  <c r="K658" i="38"/>
  <c r="K321" i="38"/>
  <c r="K240" i="38"/>
  <c r="K216" i="38"/>
  <c r="K215" i="38"/>
  <c r="K108" i="38"/>
  <c r="K91" i="38"/>
  <c r="K89" i="38"/>
  <c r="K65" i="38"/>
  <c r="K818" i="38"/>
  <c r="K674" i="38"/>
  <c r="K322" i="38"/>
  <c r="K1029" i="38"/>
  <c r="K935" i="38"/>
  <c r="K930" i="38"/>
  <c r="K907" i="38"/>
  <c r="K843" i="38"/>
  <c r="K813" i="38"/>
  <c r="K782" i="38"/>
  <c r="K770" i="38"/>
  <c r="K761" i="38"/>
  <c r="K627" i="38"/>
  <c r="K517" i="38"/>
  <c r="K502" i="38"/>
  <c r="K484" i="38"/>
  <c r="K468" i="38"/>
  <c r="K405" i="38"/>
  <c r="K366" i="38"/>
  <c r="K329" i="38"/>
  <c r="K324" i="38"/>
  <c r="K305" i="38"/>
  <c r="K242" i="38"/>
  <c r="K232" i="38"/>
  <c r="K217" i="38"/>
  <c r="K208" i="38"/>
  <c r="K178" i="38"/>
  <c r="K156" i="38"/>
  <c r="K117" i="38"/>
  <c r="K110" i="38"/>
  <c r="K105" i="38"/>
  <c r="K90" i="38"/>
  <c r="K84" i="38"/>
  <c r="K59" i="38"/>
  <c r="K1020" i="38"/>
  <c r="K1012" i="38"/>
  <c r="K1004" i="38"/>
  <c r="K997" i="38"/>
  <c r="K992" i="38"/>
  <c r="K970" i="38"/>
  <c r="K942" i="38"/>
  <c r="K886" i="38"/>
  <c r="K853" i="38"/>
  <c r="K845" i="38"/>
  <c r="K772" i="38"/>
  <c r="K739" i="38"/>
  <c r="K721" i="38"/>
  <c r="K706" i="38"/>
  <c r="K700" i="38"/>
  <c r="K675" i="38"/>
  <c r="K663" i="38"/>
  <c r="K659" i="38"/>
  <c r="K635" i="38"/>
  <c r="K597" i="38"/>
  <c r="K575" i="38"/>
  <c r="K546" i="38"/>
  <c r="K525" i="38"/>
  <c r="K510" i="38"/>
  <c r="K477" i="38"/>
  <c r="K461" i="38"/>
  <c r="K430" i="38"/>
  <c r="K406" i="38"/>
  <c r="K395" i="38"/>
  <c r="K388" i="38"/>
  <c r="K368" i="38"/>
  <c r="K357" i="38"/>
  <c r="K338" i="38"/>
  <c r="K317" i="38"/>
  <c r="K312" i="38"/>
  <c r="K295" i="38"/>
  <c r="K246" i="38"/>
  <c r="K222" i="38"/>
  <c r="K200" i="38"/>
  <c r="K183" i="38"/>
  <c r="K122" i="38"/>
  <c r="K92" i="38"/>
  <c r="K67" i="38"/>
  <c r="K52" i="38"/>
  <c r="K38" i="38"/>
  <c r="K968" i="38"/>
  <c r="K967" i="38"/>
  <c r="K966" i="38"/>
  <c r="K915" i="38"/>
  <c r="K780" i="38"/>
  <c r="K633" i="38"/>
  <c r="K632" i="38"/>
  <c r="K524" i="38"/>
  <c r="K509" i="38"/>
  <c r="K241" i="38"/>
  <c r="K176" i="38"/>
  <c r="K104" i="38"/>
  <c r="K1036" i="38"/>
  <c r="K978" i="38"/>
  <c r="K951" i="38"/>
  <c r="K917" i="38"/>
  <c r="K894" i="38"/>
  <c r="K873" i="38"/>
  <c r="K863" i="38"/>
  <c r="K832" i="38"/>
  <c r="K819" i="38"/>
  <c r="K800" i="38"/>
  <c r="K786" i="38"/>
  <c r="K748" i="38"/>
  <c r="K729" i="38"/>
  <c r="K710" i="38"/>
  <c r="K686" i="38"/>
  <c r="K645" i="38"/>
  <c r="K619" i="38"/>
  <c r="K604" i="38"/>
  <c r="K583" i="38"/>
  <c r="K563" i="38"/>
  <c r="K549" i="38"/>
  <c r="K491" i="38"/>
  <c r="K448" i="38"/>
  <c r="K435" i="38"/>
  <c r="K417" i="38"/>
  <c r="K378" i="38"/>
  <c r="K344" i="38"/>
  <c r="K283" i="38"/>
  <c r="K267" i="38"/>
  <c r="K255" i="38"/>
  <c r="K190" i="38"/>
  <c r="K163" i="38"/>
  <c r="K141" i="38"/>
  <c r="K130" i="38"/>
  <c r="K74" i="38"/>
  <c r="K44" i="38"/>
  <c r="K21" i="38"/>
  <c r="A115" i="7"/>
  <c r="A114" i="7"/>
  <c r="A81" i="7"/>
  <c r="A80" i="7"/>
  <c r="A40" i="7"/>
  <c r="A39" i="7"/>
  <c r="K1055" i="38" l="1"/>
  <c r="N21" i="38"/>
  <c r="J967" i="38" l="1"/>
  <c r="J966" i="38"/>
  <c r="J916" i="38"/>
  <c r="J662" i="38"/>
  <c r="J658" i="38"/>
  <c r="J321" i="38"/>
  <c r="J240" i="38"/>
  <c r="J216" i="38"/>
  <c r="J215" i="38"/>
  <c r="J108" i="38"/>
  <c r="J91" i="38"/>
  <c r="J89" i="38"/>
  <c r="J65" i="38"/>
  <c r="J818" i="38"/>
  <c r="J674" i="38"/>
  <c r="J322" i="38"/>
  <c r="J1029" i="38"/>
  <c r="J935" i="38"/>
  <c r="J930" i="38"/>
  <c r="J907" i="38"/>
  <c r="J843" i="38"/>
  <c r="J813" i="38"/>
  <c r="J782" i="38"/>
  <c r="J770" i="38"/>
  <c r="J761" i="38"/>
  <c r="J627" i="38"/>
  <c r="J517" i="38"/>
  <c r="J502" i="38"/>
  <c r="J484" i="38"/>
  <c r="J468" i="38"/>
  <c r="J405" i="38"/>
  <c r="J366" i="38"/>
  <c r="J329" i="38"/>
  <c r="J324" i="38"/>
  <c r="J305" i="38"/>
  <c r="J242" i="38"/>
  <c r="J232" i="38"/>
  <c r="J217" i="38"/>
  <c r="J208" i="38"/>
  <c r="J178" i="38"/>
  <c r="J156" i="38"/>
  <c r="J117" i="38"/>
  <c r="J110" i="38"/>
  <c r="J105" i="38"/>
  <c r="J90" i="38"/>
  <c r="J84" i="38"/>
  <c r="J59" i="38"/>
  <c r="J1020" i="38"/>
  <c r="J1012" i="38"/>
  <c r="J1004" i="38"/>
  <c r="J997" i="38"/>
  <c r="J992" i="38"/>
  <c r="J970" i="38"/>
  <c r="J942" i="38"/>
  <c r="J886" i="38"/>
  <c r="J853" i="38"/>
  <c r="J845" i="38"/>
  <c r="J772" i="38"/>
  <c r="J739" i="38"/>
  <c r="J721" i="38"/>
  <c r="J706" i="38"/>
  <c r="J700" i="38"/>
  <c r="J675" i="38"/>
  <c r="J663" i="38"/>
  <c r="J659" i="38"/>
  <c r="J635" i="38"/>
  <c r="J597" i="38"/>
  <c r="J575" i="38"/>
  <c r="J546" i="38"/>
  <c r="J534" i="38"/>
  <c r="J525" i="38"/>
  <c r="J510" i="38"/>
  <c r="J477" i="38"/>
  <c r="J461" i="38"/>
  <c r="J430" i="38"/>
  <c r="J406" i="38"/>
  <c r="J395" i="38"/>
  <c r="J388" i="38"/>
  <c r="J368" i="38"/>
  <c r="J357" i="38"/>
  <c r="J338" i="38"/>
  <c r="J317" i="38"/>
  <c r="J312" i="38"/>
  <c r="J295" i="38"/>
  <c r="J246" i="38"/>
  <c r="J222" i="38"/>
  <c r="J200" i="38"/>
  <c r="J183" i="38"/>
  <c r="J122" i="38"/>
  <c r="J92" i="38"/>
  <c r="J67" i="38"/>
  <c r="J52" i="38"/>
  <c r="J38" i="38"/>
  <c r="J968" i="38"/>
  <c r="J915" i="38"/>
  <c r="J780" i="38"/>
  <c r="J633" i="38"/>
  <c r="J632" i="38"/>
  <c r="J524" i="38"/>
  <c r="J509" i="38"/>
  <c r="J241" i="38"/>
  <c r="J176" i="38"/>
  <c r="J104" i="38"/>
  <c r="J1036" i="38"/>
  <c r="J978" i="38"/>
  <c r="J951" i="38"/>
  <c r="J917" i="38"/>
  <c r="J894" i="38"/>
  <c r="J873" i="38"/>
  <c r="J863" i="38"/>
  <c r="J832" i="38"/>
  <c r="J819" i="38"/>
  <c r="J800" i="38"/>
  <c r="J786" i="38"/>
  <c r="J748" i="38"/>
  <c r="J729" i="38"/>
  <c r="J710" i="38"/>
  <c r="J686" i="38"/>
  <c r="J645" i="38"/>
  <c r="J619" i="38"/>
  <c r="J604" i="38"/>
  <c r="J583" i="38"/>
  <c r="J563" i="38"/>
  <c r="J549" i="38"/>
  <c r="J448" i="38"/>
  <c r="J435" i="38"/>
  <c r="J417" i="38"/>
  <c r="J378" i="38"/>
  <c r="J344" i="38"/>
  <c r="J283" i="38"/>
  <c r="J267" i="38"/>
  <c r="J255" i="38"/>
  <c r="J190" i="38"/>
  <c r="J163" i="38"/>
  <c r="J141" i="38"/>
  <c r="J130" i="38"/>
  <c r="J74" i="38"/>
  <c r="J44" i="38"/>
  <c r="J21" i="38"/>
  <c r="J1055" i="38" l="1"/>
  <c r="P32" i="25"/>
  <c r="G1059" i="38" l="1"/>
  <c r="G14" i="7"/>
  <c r="O29" i="31"/>
  <c r="G90" i="7" s="1"/>
  <c r="O41" i="31" l="1"/>
  <c r="C80" i="40"/>
  <c r="C82" i="40" s="1"/>
  <c r="H1063" i="38" s="1"/>
  <c r="B80" i="40"/>
  <c r="V1063" i="38" s="1"/>
  <c r="C59" i="40"/>
  <c r="B59" i="40"/>
  <c r="S1063" i="38" s="1"/>
  <c r="C52" i="40"/>
  <c r="N1063" i="38" s="1"/>
  <c r="B52" i="40"/>
  <c r="O1063" i="38" s="1"/>
  <c r="I1065" i="38"/>
  <c r="M1055" i="38"/>
  <c r="P1065" i="38"/>
  <c r="R1065" i="38"/>
  <c r="U1065" i="38"/>
  <c r="J1054" i="38"/>
  <c r="K1054" i="38"/>
  <c r="N1054" i="38"/>
  <c r="O1054" i="38"/>
  <c r="Q1054" i="38"/>
  <c r="S1054" i="38"/>
  <c r="T1054" i="38"/>
  <c r="V1054" i="38"/>
  <c r="W1054" i="38"/>
  <c r="G1054" i="38"/>
  <c r="L21" i="38"/>
  <c r="C1084" i="38" s="1"/>
  <c r="L916" i="38"/>
  <c r="L662" i="38"/>
  <c r="L658" i="38"/>
  <c r="L321" i="38"/>
  <c r="L240" i="38"/>
  <c r="L216" i="38"/>
  <c r="L215" i="38"/>
  <c r="L108" i="38"/>
  <c r="L91" i="38"/>
  <c r="L89" i="38"/>
  <c r="L65" i="38"/>
  <c r="L818" i="38"/>
  <c r="L674" i="38"/>
  <c r="L322" i="38"/>
  <c r="L1029" i="38"/>
  <c r="L935" i="38"/>
  <c r="L930" i="38"/>
  <c r="L907" i="38"/>
  <c r="L843" i="38"/>
  <c r="L813" i="38"/>
  <c r="L782" i="38"/>
  <c r="L770" i="38"/>
  <c r="L761" i="38"/>
  <c r="L627" i="38"/>
  <c r="L517" i="38"/>
  <c r="L502" i="38"/>
  <c r="L484" i="38"/>
  <c r="L468" i="38"/>
  <c r="L405" i="38"/>
  <c r="L366" i="38"/>
  <c r="N329" i="38"/>
  <c r="L324" i="38"/>
  <c r="L305" i="38"/>
  <c r="L242" i="38"/>
  <c r="L232" i="38"/>
  <c r="L217" i="38"/>
  <c r="L208" i="38"/>
  <c r="L178" i="38"/>
  <c r="L156" i="38"/>
  <c r="L117" i="38"/>
  <c r="L110" i="38"/>
  <c r="L105" i="38"/>
  <c r="L90" i="38"/>
  <c r="L84" i="38"/>
  <c r="L59" i="38"/>
  <c r="L1020" i="38"/>
  <c r="N1012" i="38"/>
  <c r="N1004" i="38"/>
  <c r="L997" i="38"/>
  <c r="L992" i="38"/>
  <c r="L970" i="38"/>
  <c r="L942" i="38"/>
  <c r="L886" i="38"/>
  <c r="L853" i="38"/>
  <c r="N845" i="38"/>
  <c r="N772" i="38"/>
  <c r="L739" i="38"/>
  <c r="L721" i="38"/>
  <c r="L706" i="38"/>
  <c r="L700" i="38"/>
  <c r="L675" i="38"/>
  <c r="C1116" i="38" s="1"/>
  <c r="L663" i="38"/>
  <c r="L659" i="38"/>
  <c r="N635" i="38"/>
  <c r="L597" i="38"/>
  <c r="L575" i="38"/>
  <c r="L546" i="38"/>
  <c r="L534" i="38"/>
  <c r="C1115" i="38" s="1"/>
  <c r="L525" i="38"/>
  <c r="L510" i="38"/>
  <c r="L477" i="38"/>
  <c r="N461" i="38"/>
  <c r="L430" i="38"/>
  <c r="L406" i="38"/>
  <c r="L395" i="38"/>
  <c r="L388" i="38"/>
  <c r="L368" i="38"/>
  <c r="L357" i="38"/>
  <c r="L338" i="38"/>
  <c r="L317" i="38"/>
  <c r="L312" i="38"/>
  <c r="L295" i="38"/>
  <c r="L246" i="38"/>
  <c r="L222" i="38"/>
  <c r="L200" i="38"/>
  <c r="L183" i="38"/>
  <c r="L122" i="38"/>
  <c r="N92" i="38"/>
  <c r="L67" i="38"/>
  <c r="L52" i="38"/>
  <c r="L38" i="38"/>
  <c r="L968" i="38"/>
  <c r="L967" i="38"/>
  <c r="L966" i="38"/>
  <c r="L915" i="38"/>
  <c r="N780" i="38"/>
  <c r="L633" i="38"/>
  <c r="L632" i="38"/>
  <c r="L524" i="38"/>
  <c r="L509" i="38"/>
  <c r="L241" i="38"/>
  <c r="L176" i="38"/>
  <c r="N104" i="38"/>
  <c r="N1036" i="38"/>
  <c r="L978" i="38"/>
  <c r="C1104" i="38" s="1"/>
  <c r="L951" i="38"/>
  <c r="C1088" i="38" s="1"/>
  <c r="L917" i="38"/>
  <c r="C1091" i="38" s="1"/>
  <c r="L894" i="38"/>
  <c r="C1081" i="38" s="1"/>
  <c r="L873" i="38"/>
  <c r="C1103" i="38" s="1"/>
  <c r="L863" i="38"/>
  <c r="N832" i="38"/>
  <c r="N819" i="38"/>
  <c r="L800" i="38"/>
  <c r="C1095" i="38" s="1"/>
  <c r="L786" i="38"/>
  <c r="C1105" i="38" s="1"/>
  <c r="L748" i="38"/>
  <c r="C1093" i="38" s="1"/>
  <c r="L729" i="38"/>
  <c r="L710" i="38"/>
  <c r="C1101" i="38" s="1"/>
  <c r="L686" i="38"/>
  <c r="C1100" i="38" s="1"/>
  <c r="N645" i="38"/>
  <c r="N619" i="38"/>
  <c r="L604" i="38"/>
  <c r="C1087" i="38" s="1"/>
  <c r="L583" i="38"/>
  <c r="C1096" i="38" s="1"/>
  <c r="L563" i="38"/>
  <c r="C1107" i="38" s="1"/>
  <c r="L549" i="38"/>
  <c r="C1086" i="38" s="1"/>
  <c r="L491" i="38"/>
  <c r="C1094" i="38" s="1"/>
  <c r="L448" i="38"/>
  <c r="C1090" i="38" s="1"/>
  <c r="N435" i="38"/>
  <c r="N417" i="38"/>
  <c r="L378" i="38"/>
  <c r="C1080" i="38" s="1"/>
  <c r="L344" i="38"/>
  <c r="C1097" i="38" s="1"/>
  <c r="L283" i="38"/>
  <c r="L267" i="38"/>
  <c r="C1106" i="38" s="1"/>
  <c r="L255" i="38"/>
  <c r="C1085" i="38" s="1"/>
  <c r="L190" i="38"/>
  <c r="N163" i="38"/>
  <c r="N141" i="38"/>
  <c r="L130" i="38"/>
  <c r="L74" i="38"/>
  <c r="L44" i="38"/>
  <c r="B82" i="40" l="1"/>
  <c r="G1063" i="38" s="1"/>
  <c r="O1072" i="38"/>
  <c r="T1055" i="38"/>
  <c r="W1055" i="38"/>
  <c r="G1065" i="38"/>
  <c r="H1065" i="38"/>
  <c r="N108" i="38"/>
  <c r="O108" i="38" s="1"/>
  <c r="Q108" i="38" s="1"/>
  <c r="N59" i="38"/>
  <c r="O59" i="38" s="1"/>
  <c r="Q59" i="38" s="1"/>
  <c r="N156" i="38"/>
  <c r="O156" i="38" s="1"/>
  <c r="Q156" i="38" s="1"/>
  <c r="N992" i="38"/>
  <c r="O992" i="38" s="1"/>
  <c r="Q992" i="38" s="1"/>
  <c r="N853" i="38"/>
  <c r="O853" i="38" s="1"/>
  <c r="Q853" i="38" s="1"/>
  <c r="N951" i="38"/>
  <c r="O951" i="38" s="1"/>
  <c r="Q951" i="38" s="1"/>
  <c r="N344" i="38"/>
  <c r="O344" i="38" s="1"/>
  <c r="Q344" i="38" s="1"/>
  <c r="N322" i="38"/>
  <c r="O322" i="38" s="1"/>
  <c r="Q322" i="38" s="1"/>
  <c r="N510" i="38"/>
  <c r="O510" i="38" s="1"/>
  <c r="Q510" i="38" s="1"/>
  <c r="N967" i="38"/>
  <c r="O967" i="38" s="1"/>
  <c r="Q967" i="38" s="1"/>
  <c r="N448" i="38"/>
  <c r="O448" i="38" s="1"/>
  <c r="Q448" i="38" s="1"/>
  <c r="N907" i="38"/>
  <c r="O907" i="38" s="1"/>
  <c r="Q907" i="38" s="1"/>
  <c r="N525" i="38"/>
  <c r="O525" i="38" s="1"/>
  <c r="Q525" i="38" s="1"/>
  <c r="N966" i="38"/>
  <c r="O966" i="38" s="1"/>
  <c r="Q966" i="38" s="1"/>
  <c r="N242" i="38"/>
  <c r="O242" i="38" s="1"/>
  <c r="Q242" i="38" s="1"/>
  <c r="N338" i="38"/>
  <c r="O338" i="38" s="1"/>
  <c r="Q338" i="38" s="1"/>
  <c r="N312" i="38"/>
  <c r="O312" i="38" s="1"/>
  <c r="Q312" i="38" s="1"/>
  <c r="N1029" i="38"/>
  <c r="O1029" i="38" s="1"/>
  <c r="Q1029" i="38" s="1"/>
  <c r="N916" i="38"/>
  <c r="O916" i="38" s="1"/>
  <c r="Q916" i="38" s="1"/>
  <c r="N770" i="38"/>
  <c r="O770" i="38" s="1"/>
  <c r="Q770" i="38" s="1"/>
  <c r="N366" i="38"/>
  <c r="O366" i="38" s="1"/>
  <c r="Q366" i="38" s="1"/>
  <c r="N105" i="38"/>
  <c r="O105" i="38" s="1"/>
  <c r="Q105" i="38" s="1"/>
  <c r="N659" i="38"/>
  <c r="O659" i="38" s="1"/>
  <c r="Q659" i="38" s="1"/>
  <c r="N597" i="38"/>
  <c r="O597" i="38" s="1"/>
  <c r="Q597" i="38" s="1"/>
  <c r="N575" i="38"/>
  <c r="O575" i="38" s="1"/>
  <c r="Q575" i="38" s="1"/>
  <c r="N67" i="38"/>
  <c r="O67" i="38" s="1"/>
  <c r="Q67" i="38" s="1"/>
  <c r="N395" i="38"/>
  <c r="O395" i="38" s="1"/>
  <c r="Q395" i="38" s="1"/>
  <c r="N368" i="38"/>
  <c r="O368" i="38" s="1"/>
  <c r="Q368" i="38" s="1"/>
  <c r="N524" i="38"/>
  <c r="O524" i="38" s="1"/>
  <c r="Q524" i="38" s="1"/>
  <c r="N863" i="38"/>
  <c r="O863" i="38" s="1"/>
  <c r="Q863" i="38" s="1"/>
  <c r="N604" i="38"/>
  <c r="O604" i="38" s="1"/>
  <c r="Q604" i="38" s="1"/>
  <c r="N255" i="38"/>
  <c r="O255" i="38" s="1"/>
  <c r="Q255" i="38" s="1"/>
  <c r="N232" i="38"/>
  <c r="O232" i="38" s="1"/>
  <c r="Q232" i="38" s="1"/>
  <c r="N509" i="38"/>
  <c r="O509" i="38" s="1"/>
  <c r="Q509" i="38" s="1"/>
  <c r="N978" i="38"/>
  <c r="O978" i="38" s="1"/>
  <c r="Q978" i="38" s="1"/>
  <c r="N748" i="38"/>
  <c r="O748" i="38" s="1"/>
  <c r="Q748" i="38" s="1"/>
  <c r="N662" i="38"/>
  <c r="O662" i="38" s="1"/>
  <c r="Q662" i="38" s="1"/>
  <c r="N91" i="38"/>
  <c r="O91" i="38" s="1"/>
  <c r="N761" i="38"/>
  <c r="O761" i="38" s="1"/>
  <c r="Q761" i="38" s="1"/>
  <c r="N178" i="38"/>
  <c r="O178" i="38" s="1"/>
  <c r="Q178" i="38" s="1"/>
  <c r="N942" i="38"/>
  <c r="O942" i="38" s="1"/>
  <c r="Q942" i="38" s="1"/>
  <c r="N886" i="38"/>
  <c r="O886" i="38" s="1"/>
  <c r="Q886" i="38" s="1"/>
  <c r="N675" i="38"/>
  <c r="O675" i="38" s="1"/>
  <c r="Q675" i="38" s="1"/>
  <c r="N357" i="38"/>
  <c r="O357" i="38" s="1"/>
  <c r="Q357" i="38" s="1"/>
  <c r="N915" i="38"/>
  <c r="O915" i="38" s="1"/>
  <c r="Q915" i="38" s="1"/>
  <c r="N241" i="38"/>
  <c r="O241" i="38" s="1"/>
  <c r="Q241" i="38" s="1"/>
  <c r="N894" i="38"/>
  <c r="O894" i="38" s="1"/>
  <c r="Q894" i="38" s="1"/>
  <c r="N563" i="38"/>
  <c r="O563" i="38" s="1"/>
  <c r="Q563" i="38" s="1"/>
  <c r="N130" i="38"/>
  <c r="O130" i="38" s="1"/>
  <c r="Q130" i="38" s="1"/>
  <c r="N658" i="38"/>
  <c r="O658" i="38" s="1"/>
  <c r="Q658" i="38" s="1"/>
  <c r="N89" i="38"/>
  <c r="O89" i="38" s="1"/>
  <c r="Q89" i="38" s="1"/>
  <c r="N813" i="38"/>
  <c r="O813" i="38" s="1"/>
  <c r="Q813" i="38" s="1"/>
  <c r="N430" i="38"/>
  <c r="O430" i="38" s="1"/>
  <c r="Q430" i="38" s="1"/>
  <c r="N295" i="38"/>
  <c r="O295" i="38" s="1"/>
  <c r="Q295" i="38" s="1"/>
  <c r="N729" i="38"/>
  <c r="O729" i="38" s="1"/>
  <c r="Q729" i="38" s="1"/>
  <c r="N491" i="38"/>
  <c r="O491" i="38" s="1"/>
  <c r="Q491" i="38" s="1"/>
  <c r="N190" i="38"/>
  <c r="O190" i="38" s="1"/>
  <c r="Q190" i="38" s="1"/>
  <c r="N90" i="38"/>
  <c r="O90" i="38" s="1"/>
  <c r="Q90" i="38" s="1"/>
  <c r="N321" i="38"/>
  <c r="O321" i="38" s="1"/>
  <c r="Q321" i="38" s="1"/>
  <c r="N930" i="38"/>
  <c r="O930" i="38" s="1"/>
  <c r="Q930" i="38" s="1"/>
  <c r="N484" i="38"/>
  <c r="O484" i="38" s="1"/>
  <c r="Q484" i="38" s="1"/>
  <c r="N997" i="38"/>
  <c r="O997" i="38" s="1"/>
  <c r="Q997" i="38" s="1"/>
  <c r="N546" i="38"/>
  <c r="O546" i="38" s="1"/>
  <c r="Q546" i="38" s="1"/>
  <c r="N317" i="38"/>
  <c r="O317" i="38" s="1"/>
  <c r="Q317" i="38" s="1"/>
  <c r="N246" i="38"/>
  <c r="O246" i="38" s="1"/>
  <c r="Q246" i="38" s="1"/>
  <c r="N176" i="38"/>
  <c r="O176" i="38" s="1"/>
  <c r="Q176" i="38" s="1"/>
  <c r="N786" i="38"/>
  <c r="O786" i="38" s="1"/>
  <c r="Q786" i="38" s="1"/>
  <c r="N686" i="38"/>
  <c r="O686" i="38" s="1"/>
  <c r="Q686" i="38" s="1"/>
  <c r="N378" i="38"/>
  <c r="O378" i="38" s="1"/>
  <c r="Q378" i="38" s="1"/>
  <c r="N74" i="38"/>
  <c r="O74" i="38" s="1"/>
  <c r="Q74" i="38" s="1"/>
  <c r="N44" i="38"/>
  <c r="N534" i="38"/>
  <c r="O534" i="38" s="1"/>
  <c r="Q534" i="38" s="1"/>
  <c r="N970" i="38"/>
  <c r="O970" i="38" s="1"/>
  <c r="Q970" i="38" s="1"/>
  <c r="N706" i="38"/>
  <c r="O706" i="38" s="1"/>
  <c r="Q706" i="38" s="1"/>
  <c r="N240" i="38"/>
  <c r="O240" i="38" s="1"/>
  <c r="Q240" i="38" s="1"/>
  <c r="N65" i="38"/>
  <c r="O65" i="38" s="1"/>
  <c r="Q65" i="38" s="1"/>
  <c r="N502" i="38"/>
  <c r="O502" i="38" s="1"/>
  <c r="Q502" i="38" s="1"/>
  <c r="N468" i="38"/>
  <c r="O468" i="38" s="1"/>
  <c r="Q468" i="38" s="1"/>
  <c r="N305" i="38"/>
  <c r="O305" i="38" s="1"/>
  <c r="Q305" i="38" s="1"/>
  <c r="N208" i="38"/>
  <c r="O208" i="38" s="1"/>
  <c r="Q208" i="38" s="1"/>
  <c r="N110" i="38"/>
  <c r="O110" i="38" s="1"/>
  <c r="Q110" i="38" s="1"/>
  <c r="N1020" i="38"/>
  <c r="O1020" i="38" s="1"/>
  <c r="Q1020" i="38" s="1"/>
  <c r="N739" i="38"/>
  <c r="O739" i="38" s="1"/>
  <c r="Q739" i="38" s="1"/>
  <c r="N721" i="38"/>
  <c r="O721" i="38" s="1"/>
  <c r="Q721" i="38" s="1"/>
  <c r="N663" i="38"/>
  <c r="O663" i="38" s="1"/>
  <c r="Q663" i="38" s="1"/>
  <c r="N183" i="38"/>
  <c r="O183" i="38" s="1"/>
  <c r="Q183" i="38" s="1"/>
  <c r="N122" i="38"/>
  <c r="O122" i="38" s="1"/>
  <c r="Q122" i="38" s="1"/>
  <c r="N38" i="38"/>
  <c r="O38" i="38" s="1"/>
  <c r="Q38" i="38" s="1"/>
  <c r="N917" i="38"/>
  <c r="O917" i="38" s="1"/>
  <c r="Q917" i="38" s="1"/>
  <c r="N283" i="38"/>
  <c r="O283" i="38" s="1"/>
  <c r="Q283" i="38" s="1"/>
  <c r="N267" i="38"/>
  <c r="O267" i="38" s="1"/>
  <c r="Q267" i="38" s="1"/>
  <c r="N216" i="38"/>
  <c r="O216" i="38" s="1"/>
  <c r="Q216" i="38" s="1"/>
  <c r="N818" i="38"/>
  <c r="O818" i="38" s="1"/>
  <c r="Q818" i="38" s="1"/>
  <c r="N843" i="38"/>
  <c r="O843" i="38" s="1"/>
  <c r="Q843" i="38" s="1"/>
  <c r="N517" i="38"/>
  <c r="O517" i="38" s="1"/>
  <c r="Q517" i="38" s="1"/>
  <c r="N405" i="38"/>
  <c r="O405" i="38" s="1"/>
  <c r="Q405" i="38" s="1"/>
  <c r="N324" i="38"/>
  <c r="O324" i="38" s="1"/>
  <c r="Q324" i="38" s="1"/>
  <c r="N217" i="38"/>
  <c r="O217" i="38" s="1"/>
  <c r="Q217" i="38" s="1"/>
  <c r="N117" i="38"/>
  <c r="O117" i="38" s="1"/>
  <c r="Q117" i="38" s="1"/>
  <c r="N84" i="38"/>
  <c r="O84" i="38" s="1"/>
  <c r="Q84" i="38" s="1"/>
  <c r="N406" i="38"/>
  <c r="O406" i="38" s="1"/>
  <c r="Q406" i="38" s="1"/>
  <c r="N222" i="38"/>
  <c r="O222" i="38" s="1"/>
  <c r="Q222" i="38" s="1"/>
  <c r="N200" i="38"/>
  <c r="O200" i="38" s="1"/>
  <c r="Q200" i="38" s="1"/>
  <c r="N633" i="38"/>
  <c r="O633" i="38" s="1"/>
  <c r="Q633" i="38" s="1"/>
  <c r="N800" i="38"/>
  <c r="O800" i="38" s="1"/>
  <c r="Q800" i="38" s="1"/>
  <c r="N710" i="38"/>
  <c r="O710" i="38" s="1"/>
  <c r="Q710" i="38" s="1"/>
  <c r="N583" i="38"/>
  <c r="O583" i="38" s="1"/>
  <c r="Q583" i="38" s="1"/>
  <c r="N549" i="38"/>
  <c r="O549" i="38" s="1"/>
  <c r="Q549" i="38" s="1"/>
  <c r="N215" i="38"/>
  <c r="O215" i="38" s="1"/>
  <c r="Q215" i="38" s="1"/>
  <c r="N674" i="38"/>
  <c r="O674" i="38" s="1"/>
  <c r="Q674" i="38" s="1"/>
  <c r="N935" i="38"/>
  <c r="O935" i="38" s="1"/>
  <c r="Q935" i="38" s="1"/>
  <c r="N782" i="38"/>
  <c r="O782" i="38" s="1"/>
  <c r="Q782" i="38" s="1"/>
  <c r="N627" i="38"/>
  <c r="O627" i="38" s="1"/>
  <c r="Q627" i="38" s="1"/>
  <c r="N700" i="38"/>
  <c r="O700" i="38" s="1"/>
  <c r="Q700" i="38" s="1"/>
  <c r="N477" i="38"/>
  <c r="O477" i="38" s="1"/>
  <c r="Q477" i="38" s="1"/>
  <c r="N388" i="38"/>
  <c r="O388" i="38" s="1"/>
  <c r="Q388" i="38" s="1"/>
  <c r="N52" i="38"/>
  <c r="O52" i="38" s="1"/>
  <c r="Q52" i="38" s="1"/>
  <c r="N968" i="38"/>
  <c r="O968" i="38" s="1"/>
  <c r="Q968" i="38" s="1"/>
  <c r="N632" i="38"/>
  <c r="O632" i="38" s="1"/>
  <c r="Q632" i="38" s="1"/>
  <c r="N873" i="38"/>
  <c r="O873" i="38" s="1"/>
  <c r="Q873" i="38" s="1"/>
  <c r="O21" i="38"/>
  <c r="L635" i="38"/>
  <c r="O635" i="38" s="1"/>
  <c r="Q635" i="38" s="1"/>
  <c r="L329" i="38"/>
  <c r="O329" i="38" s="1"/>
  <c r="Q329" i="38" s="1"/>
  <c r="L417" i="38"/>
  <c r="L435" i="38"/>
  <c r="L780" i="38"/>
  <c r="O780" i="38" s="1"/>
  <c r="Q780" i="38" s="1"/>
  <c r="L619" i="38"/>
  <c r="O619" i="38" s="1"/>
  <c r="Q619" i="38" s="1"/>
  <c r="L92" i="38"/>
  <c r="L772" i="38"/>
  <c r="O772" i="38" s="1"/>
  <c r="Q772" i="38" s="1"/>
  <c r="L645" i="38"/>
  <c r="L845" i="38"/>
  <c r="O845" i="38" s="1"/>
  <c r="Q845" i="38" s="1"/>
  <c r="L819" i="38"/>
  <c r="L1004" i="38"/>
  <c r="O1004" i="38" s="1"/>
  <c r="Q1004" i="38" s="1"/>
  <c r="L832" i="38"/>
  <c r="O832" i="38" s="1"/>
  <c r="Q832" i="38" s="1"/>
  <c r="L1012" i="38"/>
  <c r="O1012" i="38" s="1"/>
  <c r="Q1012" i="38" s="1"/>
  <c r="L141" i="38"/>
  <c r="O141" i="38" s="1"/>
  <c r="Q141" i="38" s="1"/>
  <c r="L1036" i="38"/>
  <c r="L461" i="38"/>
  <c r="O461" i="38" s="1"/>
  <c r="Q461" i="38" s="1"/>
  <c r="L163" i="38"/>
  <c r="L104" i="38"/>
  <c r="O104" i="38" s="1"/>
  <c r="Q104" i="38" s="1"/>
  <c r="Q1087" i="38" l="1"/>
  <c r="W1058" i="38"/>
  <c r="G48" i="7" s="1"/>
  <c r="Q1103" i="38"/>
  <c r="S1103" i="38" s="1"/>
  <c r="Q21" i="38"/>
  <c r="Q1091" i="38" s="1"/>
  <c r="S1091" i="38" s="1"/>
  <c r="K32" i="7"/>
  <c r="Q91" i="38"/>
  <c r="S1065" i="38"/>
  <c r="O92" i="38"/>
  <c r="Q1088" i="38" s="1"/>
  <c r="S1088" i="38" s="1"/>
  <c r="O417" i="38"/>
  <c r="Q417" i="38" s="1"/>
  <c r="O163" i="38"/>
  <c r="Q163" i="38" s="1"/>
  <c r="C1089" i="38"/>
  <c r="O1036" i="38"/>
  <c r="Q1036" i="38" s="1"/>
  <c r="C1082" i="38"/>
  <c r="O645" i="38"/>
  <c r="Q645" i="38" s="1"/>
  <c r="C1108" i="38"/>
  <c r="O435" i="38"/>
  <c r="Q435" i="38" s="1"/>
  <c r="C1092" i="38"/>
  <c r="O819" i="38"/>
  <c r="Q819" i="38" s="1"/>
  <c r="C1102" i="38"/>
  <c r="I51" i="7"/>
  <c r="V1065" i="38"/>
  <c r="N1055" i="38"/>
  <c r="O44" i="38"/>
  <c r="J1074" i="38"/>
  <c r="Q1092" i="38" l="1"/>
  <c r="S1092" i="38" s="1"/>
  <c r="S1087" i="38"/>
  <c r="Q92" i="38"/>
  <c r="L20" i="44" s="1"/>
  <c r="N1058" i="38"/>
  <c r="N1057" i="38"/>
  <c r="O1055" i="38"/>
  <c r="Q1089" i="38" s="1"/>
  <c r="S1089" i="38" s="1"/>
  <c r="J1070" i="38"/>
  <c r="N1065" i="38"/>
  <c r="Q44" i="38"/>
  <c r="G13" i="7" l="1"/>
  <c r="E23" i="7" s="1"/>
  <c r="G26" i="7" s="1"/>
  <c r="I34" i="7" s="1"/>
  <c r="Q1055" i="38"/>
  <c r="Q1093" i="38" s="1"/>
  <c r="S1093" i="38" s="1"/>
  <c r="S1105" i="38" s="1"/>
  <c r="J1072" i="38"/>
  <c r="S98" i="7"/>
  <c r="Q1105" i="38" l="1"/>
  <c r="K26" i="7"/>
  <c r="O1065" i="38"/>
  <c r="O1071" i="38"/>
  <c r="O1073" i="38" s="1"/>
  <c r="J1073" i="38"/>
  <c r="J1075" i="38" s="1"/>
  <c r="H23" i="44"/>
  <c r="L23" i="44" s="1"/>
  <c r="S88" i="7"/>
  <c r="L21" i="44" l="1"/>
  <c r="I16" i="7"/>
  <c r="H19" i="44" s="1"/>
  <c r="M21" i="1"/>
  <c r="M26" i="1" s="1"/>
  <c r="M31" i="1" s="1"/>
  <c r="M33" i="1" s="1"/>
  <c r="E21" i="1"/>
  <c r="E26" i="1" s="1"/>
  <c r="E31" i="1" s="1"/>
  <c r="D17" i="24"/>
  <c r="D18" i="24"/>
  <c r="F13" i="6"/>
  <c r="V139" i="6"/>
  <c r="L19" i="44" l="1"/>
  <c r="I92" i="7" l="1"/>
  <c r="H31" i="6" s="1"/>
  <c r="H29" i="44" s="1"/>
  <c r="L29" i="44" s="1"/>
  <c r="G31" i="11"/>
  <c r="E29" i="11"/>
  <c r="E31" i="11" s="1"/>
  <c r="E19" i="11" s="1"/>
  <c r="E30" i="11"/>
  <c r="I30" i="11" s="1"/>
  <c r="V85" i="6"/>
  <c r="V62" i="6"/>
  <c r="V113" i="6"/>
  <c r="V135" i="6"/>
  <c r="V36" i="6"/>
  <c r="G128" i="7"/>
  <c r="I131" i="7" s="1"/>
  <c r="H66" i="6" s="1"/>
  <c r="L66" i="6" l="1"/>
  <c r="R66" i="6" s="1"/>
  <c r="F89" i="6" s="1"/>
  <c r="L89" i="6" s="1"/>
  <c r="R89" i="6" s="1"/>
  <c r="F117" i="6" s="1"/>
  <c r="H34" i="44"/>
  <c r="I29" i="11"/>
  <c r="G19" i="11"/>
  <c r="I31" i="11"/>
  <c r="V137" i="6"/>
  <c r="I135" i="7"/>
  <c r="H140" i="6" s="1"/>
  <c r="H35" i="44" s="1"/>
  <c r="E21" i="11"/>
  <c r="V114" i="6"/>
  <c r="V86" i="6"/>
  <c r="V63" i="6"/>
  <c r="I19" i="11" l="1"/>
  <c r="G105" i="7"/>
  <c r="R2" i="25"/>
  <c r="A5" i="25"/>
  <c r="A4" i="25"/>
  <c r="R1" i="25"/>
  <c r="G1" i="16"/>
  <c r="G10" i="16"/>
  <c r="E11" i="16"/>
  <c r="J1" i="24" l="1"/>
  <c r="W1" i="1" l="1"/>
  <c r="L1" i="44"/>
  <c r="M56" i="1"/>
  <c r="M61" i="1" s="1"/>
  <c r="M66" i="1" s="1"/>
  <c r="M70" i="1" s="1"/>
  <c r="E56" i="1"/>
  <c r="E61" i="1" s="1"/>
  <c r="U21" i="1"/>
  <c r="U26" i="1" s="1"/>
  <c r="R68" i="25"/>
  <c r="K55" i="25"/>
  <c r="F66" i="3"/>
  <c r="F62" i="3"/>
  <c r="F61" i="3"/>
  <c r="F60" i="3"/>
  <c r="F54" i="3"/>
  <c r="F51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1" i="3"/>
  <c r="F20" i="3"/>
  <c r="F19" i="3"/>
  <c r="F18" i="3"/>
  <c r="F17" i="3"/>
  <c r="F16" i="3"/>
  <c r="F15" i="3"/>
  <c r="F14" i="3"/>
  <c r="F13" i="3"/>
  <c r="B69" i="6"/>
  <c r="B92" i="6" s="1"/>
  <c r="B120" i="6" s="1"/>
  <c r="B143" i="6" s="1"/>
  <c r="H63" i="3"/>
  <c r="J63" i="3"/>
  <c r="L63" i="3"/>
  <c r="N63" i="3"/>
  <c r="H68" i="3"/>
  <c r="J68" i="3"/>
  <c r="N68" i="3"/>
  <c r="F13" i="2"/>
  <c r="J55" i="2"/>
  <c r="L55" i="2"/>
  <c r="N55" i="2"/>
  <c r="P55" i="2"/>
  <c r="H55" i="2"/>
  <c r="F16" i="2" l="1"/>
  <c r="F18" i="2" s="1"/>
  <c r="N29" i="12"/>
  <c r="W36" i="1" l="1"/>
  <c r="K133" i="25"/>
  <c r="R132" i="25"/>
  <c r="R129" i="25"/>
  <c r="K129" i="25"/>
  <c r="P152" i="25"/>
  <c r="R88" i="25"/>
  <c r="R30" i="25"/>
  <c r="H145" i="6" l="1"/>
  <c r="H137" i="6"/>
  <c r="H122" i="6"/>
  <c r="H114" i="6"/>
  <c r="H94" i="6"/>
  <c r="F68" i="3"/>
  <c r="F42" i="6"/>
  <c r="F26" i="6"/>
  <c r="G73" i="7" s="1"/>
  <c r="F39" i="6"/>
  <c r="L39" i="6" s="1"/>
  <c r="F38" i="6"/>
  <c r="F37" i="6"/>
  <c r="F36" i="6"/>
  <c r="G106" i="7" s="1"/>
  <c r="F35" i="6"/>
  <c r="F34" i="6"/>
  <c r="Q31" i="3"/>
  <c r="S31" i="3"/>
  <c r="U31" i="3"/>
  <c r="W31" i="3"/>
  <c r="F29" i="6"/>
  <c r="F28" i="6"/>
  <c r="F27" i="6"/>
  <c r="F20" i="6"/>
  <c r="L20" i="6" s="1"/>
  <c r="E57" i="7" s="1"/>
  <c r="I24" i="25"/>
  <c r="C24" i="25"/>
  <c r="F16" i="6"/>
  <c r="L16" i="6" s="1"/>
  <c r="R16" i="6" s="1"/>
  <c r="F62" i="6" s="1"/>
  <c r="L62" i="6" s="1"/>
  <c r="R62" i="6" s="1"/>
  <c r="K42" i="25"/>
  <c r="K81" i="25"/>
  <c r="K92" i="25"/>
  <c r="I152" i="25"/>
  <c r="R152" i="25" s="1"/>
  <c r="C152" i="25"/>
  <c r="K63" i="25"/>
  <c r="K58" i="25"/>
  <c r="K149" i="25"/>
  <c r="K146" i="25"/>
  <c r="K106" i="25"/>
  <c r="K122" i="25"/>
  <c r="K22" i="25"/>
  <c r="K13" i="25"/>
  <c r="K14" i="25"/>
  <c r="K15" i="25"/>
  <c r="K16" i="25"/>
  <c r="K17" i="25"/>
  <c r="K18" i="25"/>
  <c r="K12" i="25"/>
  <c r="K125" i="25"/>
  <c r="K109" i="25"/>
  <c r="K102" i="25"/>
  <c r="S54" i="1"/>
  <c r="K17" i="1"/>
  <c r="K18" i="1"/>
  <c r="K19" i="1"/>
  <c r="F18" i="24"/>
  <c r="S52" i="1"/>
  <c r="K53" i="1"/>
  <c r="K52" i="1"/>
  <c r="AA18" i="1"/>
  <c r="AA17" i="1"/>
  <c r="S18" i="1"/>
  <c r="S17" i="1"/>
  <c r="A5" i="24"/>
  <c r="A4" i="24"/>
  <c r="H86" i="6"/>
  <c r="H71" i="6"/>
  <c r="H63" i="6"/>
  <c r="E69" i="7" l="1"/>
  <c r="G72" i="7" s="1"/>
  <c r="G60" i="7"/>
  <c r="L37" i="6"/>
  <c r="R37" i="6" s="1"/>
  <c r="L38" i="6"/>
  <c r="L28" i="6"/>
  <c r="R28" i="6" s="1"/>
  <c r="L27" i="6"/>
  <c r="G12" i="11" s="1"/>
  <c r="L29" i="6"/>
  <c r="R29" i="6" s="1"/>
  <c r="L35" i="6"/>
  <c r="R35" i="6" s="1"/>
  <c r="L34" i="6"/>
  <c r="R34" i="6" s="1"/>
  <c r="J17" i="24"/>
  <c r="E17" i="16"/>
  <c r="J18" i="24"/>
  <c r="E18" i="16"/>
  <c r="G23" i="1"/>
  <c r="V41" i="6" s="1"/>
  <c r="F63" i="3"/>
  <c r="F39" i="3"/>
  <c r="F55" i="3" s="1"/>
  <c r="G29" i="1"/>
  <c r="F27" i="24" s="1"/>
  <c r="K24" i="25"/>
  <c r="F25" i="6"/>
  <c r="G61" i="7" s="1"/>
  <c r="F30" i="6"/>
  <c r="S53" i="1"/>
  <c r="H96" i="6"/>
  <c r="H147" i="6"/>
  <c r="H124" i="6"/>
  <c r="F85" i="6"/>
  <c r="L85" i="6" s="1"/>
  <c r="R85" i="6" s="1"/>
  <c r="F113" i="6" s="1"/>
  <c r="L113" i="6" s="1"/>
  <c r="R113" i="6" s="1"/>
  <c r="F136" i="6" s="1"/>
  <c r="L136" i="6" s="1"/>
  <c r="R136" i="6" s="1"/>
  <c r="F22" i="3"/>
  <c r="K152" i="25"/>
  <c r="H73" i="6"/>
  <c r="K56" i="7" l="1"/>
  <c r="I75" i="7"/>
  <c r="H27" i="44" s="1"/>
  <c r="R27" i="6"/>
  <c r="L30" i="6"/>
  <c r="I108" i="7"/>
  <c r="H36" i="6" s="1"/>
  <c r="H33" i="44" s="1"/>
  <c r="L33" i="44" s="1"/>
  <c r="J16" i="24"/>
  <c r="E16" i="16"/>
  <c r="R39" i="6"/>
  <c r="R107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89" i="2"/>
  <c r="L107" i="2"/>
  <c r="T22" i="2"/>
  <c r="T23" i="2"/>
  <c r="T24" i="2"/>
  <c r="T25" i="2"/>
  <c r="T26" i="2"/>
  <c r="H26" i="6" l="1"/>
  <c r="L27" i="44"/>
  <c r="I63" i="7"/>
  <c r="H26" i="44" s="1"/>
  <c r="L36" i="6"/>
  <c r="R30" i="6"/>
  <c r="R104" i="2"/>
  <c r="H89" i="2"/>
  <c r="N89" i="2" s="1"/>
  <c r="H90" i="2"/>
  <c r="N90" i="2" s="1"/>
  <c r="H91" i="2"/>
  <c r="N91" i="2" s="1"/>
  <c r="H92" i="2"/>
  <c r="N92" i="2" s="1"/>
  <c r="H93" i="2"/>
  <c r="N93" i="2" s="1"/>
  <c r="H94" i="2"/>
  <c r="N94" i="2" s="1"/>
  <c r="H95" i="2"/>
  <c r="N95" i="2" s="1"/>
  <c r="H96" i="2"/>
  <c r="N96" i="2" s="1"/>
  <c r="H97" i="2"/>
  <c r="N97" i="2" s="1"/>
  <c r="H98" i="2"/>
  <c r="N98" i="2" s="1"/>
  <c r="H99" i="2"/>
  <c r="N99" i="2" s="1"/>
  <c r="H100" i="2"/>
  <c r="N100" i="2" s="1"/>
  <c r="H101" i="2"/>
  <c r="N101" i="2" s="1"/>
  <c r="H102" i="2"/>
  <c r="N102" i="2" s="1"/>
  <c r="H103" i="2"/>
  <c r="N103" i="2" s="1"/>
  <c r="H88" i="2"/>
  <c r="F104" i="2"/>
  <c r="P104" i="2"/>
  <c r="L104" i="2"/>
  <c r="L109" i="2" s="1"/>
  <c r="J104" i="2"/>
  <c r="H83" i="2"/>
  <c r="J83" i="2"/>
  <c r="L83" i="2"/>
  <c r="N83" i="2"/>
  <c r="F83" i="2"/>
  <c r="N13" i="2"/>
  <c r="N82" i="2" s="1"/>
  <c r="P13" i="2"/>
  <c r="P18" i="2" s="1"/>
  <c r="L13" i="2"/>
  <c r="L82" i="2" s="1"/>
  <c r="J13" i="2"/>
  <c r="H13" i="2"/>
  <c r="H16" i="2" s="1"/>
  <c r="H18" i="2" s="1"/>
  <c r="H36" i="12"/>
  <c r="J80" i="2"/>
  <c r="N80" i="2"/>
  <c r="AB46" i="2"/>
  <c r="X46" i="2"/>
  <c r="Z46" i="2"/>
  <c r="V46" i="2"/>
  <c r="T46" i="2"/>
  <c r="T17" i="2"/>
  <c r="V17" i="2"/>
  <c r="T21" i="2"/>
  <c r="T27" i="2" s="1"/>
  <c r="V21" i="2"/>
  <c r="V27" i="2" s="1"/>
  <c r="T30" i="2"/>
  <c r="V30" i="2"/>
  <c r="T31" i="2"/>
  <c r="V31" i="2"/>
  <c r="T33" i="2"/>
  <c r="V33" i="2"/>
  <c r="T48" i="2"/>
  <c r="V48" i="2"/>
  <c r="T49" i="2"/>
  <c r="V49" i="2"/>
  <c r="V53" i="2"/>
  <c r="V55" i="2" s="1"/>
  <c r="T58" i="2"/>
  <c r="V58" i="2"/>
  <c r="T59" i="2"/>
  <c r="V59" i="2"/>
  <c r="T60" i="2"/>
  <c r="V60" i="2"/>
  <c r="T64" i="2"/>
  <c r="V64" i="2"/>
  <c r="T65" i="2"/>
  <c r="V65" i="2"/>
  <c r="T66" i="2"/>
  <c r="V66" i="2"/>
  <c r="T67" i="2"/>
  <c r="V67" i="2"/>
  <c r="T71" i="2"/>
  <c r="V71" i="2"/>
  <c r="Q66" i="3"/>
  <c r="W49" i="3"/>
  <c r="U49" i="3"/>
  <c r="S49" i="3"/>
  <c r="Q49" i="3"/>
  <c r="Q14" i="3"/>
  <c r="Q15" i="3"/>
  <c r="Q16" i="3"/>
  <c r="Q17" i="3"/>
  <c r="Q18" i="3"/>
  <c r="Q20" i="3"/>
  <c r="Q19" i="3"/>
  <c r="Q21" i="3"/>
  <c r="Q25" i="3"/>
  <c r="Q26" i="3"/>
  <c r="Q28" i="3"/>
  <c r="Q29" i="3"/>
  <c r="Q30" i="3"/>
  <c r="Q32" i="3"/>
  <c r="Q33" i="3"/>
  <c r="Q34" i="3"/>
  <c r="Q35" i="3"/>
  <c r="Q36" i="3"/>
  <c r="Q37" i="3"/>
  <c r="Q51" i="3"/>
  <c r="Q27" i="3"/>
  <c r="Q53" i="3"/>
  <c r="Q54" i="3"/>
  <c r="Q60" i="3"/>
  <c r="Q62" i="3"/>
  <c r="S13" i="3"/>
  <c r="S66" i="3"/>
  <c r="S14" i="3"/>
  <c r="S15" i="3"/>
  <c r="S16" i="3"/>
  <c r="S17" i="3"/>
  <c r="S18" i="3"/>
  <c r="S20" i="3"/>
  <c r="S19" i="3"/>
  <c r="S21" i="3"/>
  <c r="S25" i="3"/>
  <c r="S26" i="3"/>
  <c r="S28" i="3"/>
  <c r="S29" i="3"/>
  <c r="S30" i="3"/>
  <c r="S32" i="3"/>
  <c r="S33" i="3"/>
  <c r="S34" i="3"/>
  <c r="S35" i="3"/>
  <c r="S36" i="3"/>
  <c r="S37" i="3"/>
  <c r="S51" i="3"/>
  <c r="S27" i="3"/>
  <c r="S53" i="3"/>
  <c r="S54" i="3"/>
  <c r="S60" i="3"/>
  <c r="S63" i="3" s="1"/>
  <c r="S62" i="3"/>
  <c r="F53" i="2"/>
  <c r="F55" i="2" s="1"/>
  <c r="L26" i="6" l="1"/>
  <c r="H25" i="6"/>
  <c r="L25" i="6" s="1"/>
  <c r="L26" i="44"/>
  <c r="J82" i="2"/>
  <c r="J84" i="2" s="1"/>
  <c r="J16" i="2"/>
  <c r="J18" i="2" s="1"/>
  <c r="R36" i="6"/>
  <c r="Q63" i="3"/>
  <c r="H104" i="2"/>
  <c r="F82" i="2"/>
  <c r="F107" i="2"/>
  <c r="T30" i="6"/>
  <c r="J107" i="2"/>
  <c r="L84" i="2"/>
  <c r="O23" i="1"/>
  <c r="O24" i="1"/>
  <c r="H68" i="12"/>
  <c r="H60" i="12"/>
  <c r="H42" i="12"/>
  <c r="H67" i="12"/>
  <c r="H41" i="12"/>
  <c r="H65" i="12"/>
  <c r="H39" i="12"/>
  <c r="H33" i="12"/>
  <c r="H64" i="12"/>
  <c r="H32" i="12"/>
  <c r="H63" i="12"/>
  <c r="H45" i="12"/>
  <c r="H38" i="12"/>
  <c r="H31" i="12"/>
  <c r="H62" i="12"/>
  <c r="H44" i="12"/>
  <c r="H37" i="12"/>
  <c r="H30" i="12"/>
  <c r="H66" i="12"/>
  <c r="H40" i="12"/>
  <c r="H29" i="12"/>
  <c r="H61" i="12"/>
  <c r="H43" i="12"/>
  <c r="N84" i="2"/>
  <c r="Q39" i="3"/>
  <c r="F84" i="2"/>
  <c r="H82" i="2"/>
  <c r="H84" i="2" s="1"/>
  <c r="N104" i="2"/>
  <c r="V50" i="2"/>
  <c r="T50" i="2"/>
  <c r="V34" i="2"/>
  <c r="T72" i="2"/>
  <c r="X13" i="2"/>
  <c r="V13" i="2"/>
  <c r="V18" i="2" s="1"/>
  <c r="T13" i="2"/>
  <c r="T18" i="2" s="1"/>
  <c r="V61" i="2"/>
  <c r="T61" i="2"/>
  <c r="T53" i="2"/>
  <c r="T55" i="2" s="1"/>
  <c r="V68" i="2"/>
  <c r="T34" i="2"/>
  <c r="T68" i="2"/>
  <c r="V72" i="2"/>
  <c r="Q55" i="3"/>
  <c r="S22" i="3"/>
  <c r="S55" i="3"/>
  <c r="R25" i="6" l="1"/>
  <c r="G14" i="1"/>
  <c r="F13" i="24" s="1"/>
  <c r="L25" i="44"/>
  <c r="L36" i="44" s="1"/>
  <c r="L38" i="44" s="1"/>
  <c r="H36" i="44"/>
  <c r="G10" i="11"/>
  <c r="I10" i="11" s="1"/>
  <c r="T36" i="2"/>
  <c r="V36" i="2"/>
  <c r="V68" i="6"/>
  <c r="S57" i="3"/>
  <c r="S70" i="3" s="1"/>
  <c r="S24" i="1"/>
  <c r="W24" i="1"/>
  <c r="S23" i="1"/>
  <c r="W23" i="1"/>
  <c r="V74" i="2"/>
  <c r="T74" i="2"/>
  <c r="N61" i="44" l="1"/>
  <c r="H38" i="44"/>
  <c r="V91" i="6"/>
  <c r="I11" i="11"/>
  <c r="V77" i="2"/>
  <c r="AA23" i="1"/>
  <c r="G58" i="1"/>
  <c r="AA24" i="1"/>
  <c r="G59" i="1"/>
  <c r="T77" i="2"/>
  <c r="V119" i="6" l="1"/>
  <c r="G14" i="11"/>
  <c r="I14" i="11" s="1"/>
  <c r="L42" i="6"/>
  <c r="O59" i="1"/>
  <c r="F23" i="24" s="1"/>
  <c r="K59" i="1"/>
  <c r="K58" i="1"/>
  <c r="O58" i="1"/>
  <c r="F41" i="6"/>
  <c r="F43" i="6" s="1"/>
  <c r="V142" i="6" l="1"/>
  <c r="F22" i="24"/>
  <c r="G15" i="1"/>
  <c r="K15" i="1" s="1"/>
  <c r="G18" i="11"/>
  <c r="I18" i="11" s="1"/>
  <c r="R42" i="6"/>
  <c r="F69" i="6" s="1"/>
  <c r="V35" i="6"/>
  <c r="H43" i="6"/>
  <c r="F80" i="2"/>
  <c r="S58" i="1"/>
  <c r="E22" i="16"/>
  <c r="S59" i="1"/>
  <c r="E23" i="16"/>
  <c r="H39" i="3"/>
  <c r="J39" i="3"/>
  <c r="L39" i="3"/>
  <c r="N39" i="3"/>
  <c r="F49" i="3"/>
  <c r="H10" i="3"/>
  <c r="H49" i="3" s="1"/>
  <c r="H22" i="3"/>
  <c r="H50" i="2"/>
  <c r="H72" i="2"/>
  <c r="H68" i="2"/>
  <c r="H61" i="2"/>
  <c r="F72" i="2"/>
  <c r="F68" i="2"/>
  <c r="F61" i="2"/>
  <c r="F50" i="2"/>
  <c r="H34" i="2"/>
  <c r="H27" i="2"/>
  <c r="F34" i="2"/>
  <c r="F27" i="2"/>
  <c r="AB17" i="2"/>
  <c r="Z17" i="2"/>
  <c r="X17" i="2"/>
  <c r="W60" i="3"/>
  <c r="W62" i="3"/>
  <c r="W66" i="3"/>
  <c r="U66" i="3"/>
  <c r="U62" i="3"/>
  <c r="U60" i="3"/>
  <c r="W51" i="3"/>
  <c r="W27" i="3"/>
  <c r="W53" i="3"/>
  <c r="U27" i="3"/>
  <c r="U53" i="3"/>
  <c r="U54" i="3"/>
  <c r="U51" i="3"/>
  <c r="W25" i="3"/>
  <c r="W26" i="3"/>
  <c r="W28" i="3"/>
  <c r="W29" i="3"/>
  <c r="W30" i="3"/>
  <c r="W32" i="3"/>
  <c r="W33" i="3"/>
  <c r="W34" i="3"/>
  <c r="W35" i="3"/>
  <c r="W36" i="3"/>
  <c r="W37" i="3"/>
  <c r="U26" i="3"/>
  <c r="U28" i="3"/>
  <c r="U29" i="3"/>
  <c r="U30" i="3"/>
  <c r="U32" i="3"/>
  <c r="U33" i="3"/>
  <c r="U34" i="3"/>
  <c r="U35" i="3"/>
  <c r="U36" i="3"/>
  <c r="U37" i="3"/>
  <c r="U25" i="3"/>
  <c r="W13" i="3"/>
  <c r="W14" i="3"/>
  <c r="W15" i="3"/>
  <c r="W16" i="3"/>
  <c r="W17" i="3"/>
  <c r="W18" i="3"/>
  <c r="W20" i="3"/>
  <c r="W19" i="3"/>
  <c r="W21" i="3"/>
  <c r="U15" i="3"/>
  <c r="U16" i="3"/>
  <c r="U17" i="3"/>
  <c r="U18" i="3"/>
  <c r="U20" i="3"/>
  <c r="U19" i="3"/>
  <c r="U21" i="3"/>
  <c r="U14" i="3"/>
  <c r="U13" i="3"/>
  <c r="AB71" i="2"/>
  <c r="Z71" i="2"/>
  <c r="AB67" i="2"/>
  <c r="Z67" i="2"/>
  <c r="AB66" i="2"/>
  <c r="Z66" i="2"/>
  <c r="AB65" i="2"/>
  <c r="Z65" i="2"/>
  <c r="AB64" i="2"/>
  <c r="Z64" i="2"/>
  <c r="AB60" i="2"/>
  <c r="Z60" i="2"/>
  <c r="AB59" i="2"/>
  <c r="Z59" i="2"/>
  <c r="AB58" i="2"/>
  <c r="Z58" i="2"/>
  <c r="AB53" i="2"/>
  <c r="AB55" i="2" s="1"/>
  <c r="Z53" i="2"/>
  <c r="Z55" i="2" s="1"/>
  <c r="AB49" i="2"/>
  <c r="Z49" i="2"/>
  <c r="AB48" i="2"/>
  <c r="Z48" i="2"/>
  <c r="X71" i="2"/>
  <c r="X65" i="2"/>
  <c r="X66" i="2"/>
  <c r="X67" i="2"/>
  <c r="X64" i="2"/>
  <c r="X59" i="2"/>
  <c r="X60" i="2"/>
  <c r="X58" i="2"/>
  <c r="X53" i="2"/>
  <c r="X55" i="2" s="1"/>
  <c r="X49" i="2"/>
  <c r="X48" i="2"/>
  <c r="AB33" i="2"/>
  <c r="Z33" i="2"/>
  <c r="AB31" i="2"/>
  <c r="Z31" i="2"/>
  <c r="AB30" i="2"/>
  <c r="Z30" i="2"/>
  <c r="AB21" i="2"/>
  <c r="AB27" i="2" s="1"/>
  <c r="Z21" i="2"/>
  <c r="Z27" i="2" s="1"/>
  <c r="AB13" i="2"/>
  <c r="Z13" i="2"/>
  <c r="X31" i="2"/>
  <c r="X33" i="2"/>
  <c r="X30" i="2"/>
  <c r="X21" i="2"/>
  <c r="X27" i="2" s="1"/>
  <c r="P72" i="2"/>
  <c r="P68" i="2"/>
  <c r="P61" i="2"/>
  <c r="P50" i="2"/>
  <c r="P46" i="2"/>
  <c r="P27" i="2"/>
  <c r="P36" i="2" s="1"/>
  <c r="G21" i="11" l="1"/>
  <c r="H80" i="2"/>
  <c r="W63" i="3"/>
  <c r="U63" i="3"/>
  <c r="H36" i="2"/>
  <c r="F36" i="2"/>
  <c r="J23" i="24"/>
  <c r="J22" i="24"/>
  <c r="X72" i="2"/>
  <c r="W39" i="3"/>
  <c r="Z50" i="2"/>
  <c r="U39" i="3"/>
  <c r="Z61" i="2"/>
  <c r="H55" i="3"/>
  <c r="H57" i="3" s="1"/>
  <c r="H70" i="3" s="1"/>
  <c r="F57" i="3"/>
  <c r="F70" i="3" s="1"/>
  <c r="J10" i="3"/>
  <c r="W55" i="3"/>
  <c r="U55" i="3"/>
  <c r="U22" i="3"/>
  <c r="X50" i="2"/>
  <c r="Z34" i="2"/>
  <c r="Z72" i="2"/>
  <c r="X68" i="2"/>
  <c r="X18" i="2"/>
  <c r="X61" i="2"/>
  <c r="X34" i="2"/>
  <c r="Z18" i="2"/>
  <c r="W22" i="3"/>
  <c r="H74" i="2"/>
  <c r="F74" i="2"/>
  <c r="AB34" i="2"/>
  <c r="AB72" i="2"/>
  <c r="Z68" i="2"/>
  <c r="AB61" i="2"/>
  <c r="AB68" i="2"/>
  <c r="AB50" i="2"/>
  <c r="AB18" i="2"/>
  <c r="P74" i="2"/>
  <c r="G2" i="16"/>
  <c r="G23" i="16"/>
  <c r="G22" i="16"/>
  <c r="C20" i="16"/>
  <c r="C26" i="16" s="1"/>
  <c r="E32" i="16" s="1"/>
  <c r="G18" i="16"/>
  <c r="G17" i="16"/>
  <c r="G16" i="16"/>
  <c r="A5" i="16"/>
  <c r="A4" i="16"/>
  <c r="I21" i="11" l="1"/>
  <c r="AB36" i="2"/>
  <c r="H77" i="2"/>
  <c r="Z36" i="2"/>
  <c r="X36" i="2"/>
  <c r="J27" i="24"/>
  <c r="E29" i="16"/>
  <c r="W57" i="3"/>
  <c r="W70" i="3" s="1"/>
  <c r="H75" i="3"/>
  <c r="H79" i="2"/>
  <c r="F77" i="2"/>
  <c r="X74" i="2"/>
  <c r="U57" i="3"/>
  <c r="U70" i="3" s="1"/>
  <c r="L10" i="3"/>
  <c r="J49" i="3"/>
  <c r="Z74" i="2"/>
  <c r="AB74" i="2"/>
  <c r="P77" i="2"/>
  <c r="N27" i="2"/>
  <c r="L27" i="2"/>
  <c r="J27" i="2"/>
  <c r="N72" i="2"/>
  <c r="L72" i="2"/>
  <c r="J72" i="2"/>
  <c r="N68" i="2"/>
  <c r="L68" i="2"/>
  <c r="J68" i="2"/>
  <c r="A47" i="3"/>
  <c r="A44" i="3"/>
  <c r="A43" i="3"/>
  <c r="J40" i="3"/>
  <c r="Z77" i="2" l="1"/>
  <c r="X77" i="2"/>
  <c r="AB77" i="2"/>
  <c r="N10" i="3"/>
  <c r="N49" i="3" s="1"/>
  <c r="L49" i="3"/>
  <c r="L69" i="6" l="1"/>
  <c r="V60" i="6" s="1"/>
  <c r="R20" i="6"/>
  <c r="R26" i="6"/>
  <c r="I12" i="11"/>
  <c r="R69" i="6" l="1"/>
  <c r="F92" i="6" s="1"/>
  <c r="L92" i="6" s="1"/>
  <c r="O15" i="1"/>
  <c r="E73" i="1"/>
  <c r="A5" i="14"/>
  <c r="A4" i="14"/>
  <c r="H1" i="14"/>
  <c r="A1" i="13"/>
  <c r="A5" i="12"/>
  <c r="A5" i="9"/>
  <c r="A5" i="10"/>
  <c r="A5" i="11"/>
  <c r="A5" i="5"/>
  <c r="A5" i="7"/>
  <c r="A5" i="8"/>
  <c r="A5" i="2"/>
  <c r="A41" i="2" s="1"/>
  <c r="A5" i="3"/>
  <c r="A5" i="6"/>
  <c r="A102" i="6" s="1"/>
  <c r="A5" i="1"/>
  <c r="L1" i="12"/>
  <c r="J1" i="9"/>
  <c r="L1" i="10"/>
  <c r="I1" i="11"/>
  <c r="L1" i="5"/>
  <c r="I1" i="7"/>
  <c r="I111" i="7" s="1"/>
  <c r="I1" i="8"/>
  <c r="J1" i="3"/>
  <c r="A44" i="2"/>
  <c r="N46" i="2"/>
  <c r="L46" i="2"/>
  <c r="J46" i="2"/>
  <c r="A8" i="2"/>
  <c r="A8" i="3"/>
  <c r="A4" i="12"/>
  <c r="A4" i="9"/>
  <c r="A4" i="10"/>
  <c r="A4" i="11"/>
  <c r="A4" i="5"/>
  <c r="A4" i="7"/>
  <c r="A4" i="8"/>
  <c r="A4" i="3"/>
  <c r="H17" i="6"/>
  <c r="A4" i="6"/>
  <c r="A101" i="6" s="1"/>
  <c r="R1" i="6"/>
  <c r="R98" i="6" s="1"/>
  <c r="L22" i="3"/>
  <c r="L55" i="3"/>
  <c r="J22" i="3"/>
  <c r="J55" i="3"/>
  <c r="N22" i="3"/>
  <c r="N55" i="3"/>
  <c r="N61" i="2"/>
  <c r="L61" i="2"/>
  <c r="J61" i="2"/>
  <c r="N50" i="2"/>
  <c r="L50" i="2"/>
  <c r="J50" i="2"/>
  <c r="A40" i="2"/>
  <c r="J37" i="2"/>
  <c r="J1" i="2"/>
  <c r="A4" i="2"/>
  <c r="N34" i="2"/>
  <c r="L34" i="2"/>
  <c r="J34" i="2"/>
  <c r="N18" i="2"/>
  <c r="L18" i="2"/>
  <c r="A4" i="1"/>
  <c r="K24" i="1"/>
  <c r="I36" i="7" l="1"/>
  <c r="I77" i="7"/>
  <c r="R92" i="6"/>
  <c r="F120" i="6" s="1"/>
  <c r="L120" i="6" s="1"/>
  <c r="V111" i="6" s="1"/>
  <c r="V83" i="6"/>
  <c r="A50" i="6"/>
  <c r="A51" i="6"/>
  <c r="R47" i="6"/>
  <c r="N36" i="2"/>
  <c r="J36" i="2"/>
  <c r="L36" i="2"/>
  <c r="S15" i="1"/>
  <c r="W15" i="1"/>
  <c r="AA15" i="1" s="1"/>
  <c r="N74" i="2"/>
  <c r="J74" i="2"/>
  <c r="L74" i="2"/>
  <c r="K23" i="1"/>
  <c r="L57" i="3"/>
  <c r="N57" i="3"/>
  <c r="J57" i="3"/>
  <c r="J70" i="3" s="1"/>
  <c r="K29" i="1"/>
  <c r="G50" i="1" l="1"/>
  <c r="R120" i="6"/>
  <c r="F143" i="6" s="1"/>
  <c r="L143" i="6" s="1"/>
  <c r="V133" i="6" s="1"/>
  <c r="L75" i="3"/>
  <c r="L79" i="2"/>
  <c r="N75" i="3"/>
  <c r="N79" i="2"/>
  <c r="J75" i="3"/>
  <c r="J79" i="2"/>
  <c r="H45" i="6"/>
  <c r="H41" i="44" s="1"/>
  <c r="H42" i="44" s="1"/>
  <c r="L41" i="6"/>
  <c r="N77" i="2"/>
  <c r="L77" i="2"/>
  <c r="J77" i="2"/>
  <c r="O50" i="1" l="1"/>
  <c r="F14" i="24" s="1"/>
  <c r="R143" i="6"/>
  <c r="S51" i="1"/>
  <c r="L43" i="6"/>
  <c r="L80" i="2"/>
  <c r="R41" i="6"/>
  <c r="F68" i="6" s="1"/>
  <c r="K14" i="1"/>
  <c r="E15" i="16" l="1"/>
  <c r="G15" i="16" s="1"/>
  <c r="J15" i="24"/>
  <c r="G21" i="1"/>
  <c r="G26" i="1" s="1"/>
  <c r="V34" i="6"/>
  <c r="K16" i="1"/>
  <c r="L68" i="6"/>
  <c r="V42" i="6" l="1"/>
  <c r="R68" i="6"/>
  <c r="F91" i="6" s="1"/>
  <c r="L91" i="6" s="1"/>
  <c r="K50" i="1"/>
  <c r="S16" i="1" l="1"/>
  <c r="V59" i="6"/>
  <c r="R91" i="6"/>
  <c r="F119" i="6" s="1"/>
  <c r="L119" i="6" s="1"/>
  <c r="AA16" i="1" l="1"/>
  <c r="V82" i="6"/>
  <c r="R119" i="6"/>
  <c r="F142" i="6" s="1"/>
  <c r="L142" i="6" s="1"/>
  <c r="D20" i="24"/>
  <c r="D25" i="24" s="1"/>
  <c r="S50" i="1"/>
  <c r="K21" i="1"/>
  <c r="K26" i="1" s="1"/>
  <c r="D29" i="24" l="1"/>
  <c r="D31" i="24" s="1"/>
  <c r="S19" i="1"/>
  <c r="V69" i="6"/>
  <c r="K54" i="1"/>
  <c r="V116" i="6"/>
  <c r="AA19" i="1"/>
  <c r="V88" i="6"/>
  <c r="V92" i="6" s="1"/>
  <c r="K51" i="1"/>
  <c r="V110" i="6"/>
  <c r="R142" i="6"/>
  <c r="V132" i="6"/>
  <c r="V143" i="6" s="1"/>
  <c r="J14" i="24"/>
  <c r="E14" i="16"/>
  <c r="G14" i="16" s="1"/>
  <c r="C28" i="4"/>
  <c r="Q13" i="3"/>
  <c r="Q22" i="3" s="1"/>
  <c r="Q57" i="3" s="1"/>
  <c r="Q70" i="3" s="1"/>
  <c r="G28" i="1" l="1"/>
  <c r="F17" i="6"/>
  <c r="F45" i="6" s="1"/>
  <c r="F75" i="3"/>
  <c r="G31" i="1" l="1"/>
  <c r="G33" i="1" s="1"/>
  <c r="F26" i="24"/>
  <c r="L17" i="6"/>
  <c r="L45" i="6" s="1"/>
  <c r="N43" i="6"/>
  <c r="F79" i="2"/>
  <c r="K28" i="1"/>
  <c r="K31" i="1" s="1"/>
  <c r="E28" i="16"/>
  <c r="R38" i="6" l="1"/>
  <c r="J26" i="24"/>
  <c r="R43" i="6" l="1"/>
  <c r="F65" i="6"/>
  <c r="F71" i="6" s="1"/>
  <c r="N17" i="6"/>
  <c r="N15" i="6" l="1"/>
  <c r="R15" i="6" s="1"/>
  <c r="F61" i="6" s="1"/>
  <c r="N45" i="6"/>
  <c r="J37" i="12"/>
  <c r="L37" i="12" s="1"/>
  <c r="J67" i="12"/>
  <c r="L67" i="12" s="1"/>
  <c r="J33" i="12"/>
  <c r="L33" i="12" s="1"/>
  <c r="J39" i="12"/>
  <c r="L39" i="12" s="1"/>
  <c r="J45" i="12"/>
  <c r="L45" i="12" s="1"/>
  <c r="J44" i="12"/>
  <c r="L44" i="12" s="1"/>
  <c r="J41" i="12"/>
  <c r="L41" i="12" s="1"/>
  <c r="J64" i="12"/>
  <c r="L64" i="12" s="1"/>
  <c r="J29" i="12"/>
  <c r="L29" i="12" s="1"/>
  <c r="J38" i="12"/>
  <c r="L38" i="12" s="1"/>
  <c r="J40" i="12"/>
  <c r="L40" i="12" s="1"/>
  <c r="J66" i="12"/>
  <c r="L66" i="12" s="1"/>
  <c r="J30" i="12"/>
  <c r="L30" i="12" s="1"/>
  <c r="J42" i="12"/>
  <c r="L42" i="12" s="1"/>
  <c r="J63" i="12"/>
  <c r="L63" i="12" s="1"/>
  <c r="J43" i="12"/>
  <c r="L43" i="12" s="1"/>
  <c r="L57" i="12"/>
  <c r="J65" i="12"/>
  <c r="L65" i="12" s="1"/>
  <c r="L50" i="12"/>
  <c r="J32" i="12"/>
  <c r="L32" i="12" s="1"/>
  <c r="J31" i="12"/>
  <c r="L31" i="12" s="1"/>
  <c r="K33" i="1"/>
  <c r="J36" i="12"/>
  <c r="L36" i="12" s="1"/>
  <c r="L49" i="12"/>
  <c r="J60" i="12"/>
  <c r="L60" i="12" s="1"/>
  <c r="J61" i="12"/>
  <c r="L61" i="12" s="1"/>
  <c r="J62" i="12"/>
  <c r="L62" i="12" s="1"/>
  <c r="J68" i="12"/>
  <c r="L68" i="12" s="1"/>
  <c r="L48" i="12"/>
  <c r="O29" i="1" l="1"/>
  <c r="S29" i="1" s="1"/>
  <c r="W29" i="1"/>
  <c r="AA29" i="1" l="1"/>
  <c r="G64" i="1"/>
  <c r="L65" i="6"/>
  <c r="O14" i="1" l="1"/>
  <c r="L71" i="6"/>
  <c r="O64" i="1"/>
  <c r="K64" i="1"/>
  <c r="R65" i="6"/>
  <c r="F88" i="6" l="1"/>
  <c r="F94" i="6" s="1"/>
  <c r="R71" i="6"/>
  <c r="S64" i="1"/>
  <c r="O21" i="1"/>
  <c r="O26" i="1" s="1"/>
  <c r="S14" i="1"/>
  <c r="S21" i="1" s="1"/>
  <c r="S26" i="1" s="1"/>
  <c r="S39" i="3" l="1"/>
  <c r="R17" i="6" l="1"/>
  <c r="R45" i="6" s="1"/>
  <c r="V43" i="6" s="1"/>
  <c r="V45" i="6" s="1"/>
  <c r="L61" i="6"/>
  <c r="L63" i="6" l="1"/>
  <c r="L73" i="6" s="1"/>
  <c r="O28" i="1"/>
  <c r="F63" i="6"/>
  <c r="F73" i="6" s="1"/>
  <c r="S28" i="1" l="1"/>
  <c r="S31" i="1" s="1"/>
  <c r="O31" i="1"/>
  <c r="O33" i="1" s="1"/>
  <c r="N71" i="6"/>
  <c r="L88" i="6" l="1"/>
  <c r="W14" i="1" s="1"/>
  <c r="L94" i="6" l="1"/>
  <c r="R88" i="6"/>
  <c r="F116" i="6" l="1"/>
  <c r="F122" i="6" s="1"/>
  <c r="R94" i="6"/>
  <c r="V120" i="6"/>
  <c r="AA14" i="1" l="1"/>
  <c r="AA21" i="1" s="1"/>
  <c r="AA26" i="1" s="1"/>
  <c r="W21" i="1"/>
  <c r="W26" i="1" s="1"/>
  <c r="N94" i="6" l="1"/>
  <c r="L117" i="6" l="1"/>
  <c r="R117" i="6" s="1"/>
  <c r="F140" i="6" s="1"/>
  <c r="L140" i="6" s="1"/>
  <c r="R140" i="6" s="1"/>
  <c r="L116" i="6" l="1"/>
  <c r="G49" i="1" l="1"/>
  <c r="G56" i="1" s="1"/>
  <c r="G61" i="1" s="1"/>
  <c r="L122" i="6"/>
  <c r="R116" i="6"/>
  <c r="K49" i="1" l="1"/>
  <c r="K56" i="1" s="1"/>
  <c r="K61" i="1" s="1"/>
  <c r="F139" i="6"/>
  <c r="F145" i="6" s="1"/>
  <c r="R122" i="6"/>
  <c r="N122" i="6"/>
  <c r="L139" i="6" l="1"/>
  <c r="O49" i="1" s="1"/>
  <c r="O56" i="1" l="1"/>
  <c r="O61" i="1" s="1"/>
  <c r="S49" i="1"/>
  <c r="R139" i="6"/>
  <c r="L145" i="6"/>
  <c r="S56" i="1" l="1"/>
  <c r="S61" i="1" s="1"/>
  <c r="L13" i="24"/>
  <c r="J13" i="24"/>
  <c r="M36" i="44" s="1"/>
  <c r="F20" i="24"/>
  <c r="F25" i="24" s="1"/>
  <c r="F29" i="24" s="1"/>
  <c r="F31" i="24" s="1"/>
  <c r="E13" i="16"/>
  <c r="G13" i="16" l="1"/>
  <c r="G20" i="16" s="1"/>
  <c r="G26" i="16" s="1"/>
  <c r="E20" i="16"/>
  <c r="E26" i="16" s="1"/>
  <c r="E31" i="16" s="1"/>
  <c r="E33" i="16" s="1"/>
  <c r="J20" i="24"/>
  <c r="J25" i="24" s="1"/>
  <c r="J29" i="24" s="1"/>
  <c r="L15" i="24"/>
  <c r="J31" i="24" l="1"/>
  <c r="R145" i="6"/>
  <c r="N145" i="6"/>
  <c r="S33" i="1" l="1"/>
  <c r="N63" i="6" l="1"/>
  <c r="N61" i="6" l="1"/>
  <c r="R61" i="6" s="1"/>
  <c r="N73" i="6"/>
  <c r="F84" i="6" l="1"/>
  <c r="R63" i="6"/>
  <c r="R73" i="6" s="1"/>
  <c r="V71" i="6" s="1"/>
  <c r="V73" i="6" s="1"/>
  <c r="L84" i="6" l="1"/>
  <c r="F86" i="6"/>
  <c r="F96" i="6" s="1"/>
  <c r="L86" i="6" l="1"/>
  <c r="L96" i="6" s="1"/>
  <c r="W28" i="1"/>
  <c r="AA28" i="1" l="1"/>
  <c r="AA31" i="1" s="1"/>
  <c r="W31" i="1"/>
  <c r="W33" i="1" s="1"/>
  <c r="N86" i="6" l="1"/>
  <c r="N84" i="6" s="1"/>
  <c r="N96" i="6" l="1"/>
  <c r="R84" i="6"/>
  <c r="R86" i="6" l="1"/>
  <c r="R96" i="6" s="1"/>
  <c r="V94" i="6" s="1"/>
  <c r="V96" i="6" s="1"/>
  <c r="F112" i="6"/>
  <c r="L112" i="6" l="1"/>
  <c r="F114" i="6"/>
  <c r="F124" i="6" s="1"/>
  <c r="G63" i="1" l="1"/>
  <c r="L114" i="6"/>
  <c r="L124" i="6" s="1"/>
  <c r="G66" i="1" l="1"/>
  <c r="G68" i="1" s="1"/>
  <c r="N114" i="6" l="1"/>
  <c r="N112" i="6" s="1"/>
  <c r="N124" i="6" l="1"/>
  <c r="R112" i="6"/>
  <c r="F135" i="6" l="1"/>
  <c r="R114" i="6"/>
  <c r="R124" i="6" s="1"/>
  <c r="V122" i="6" s="1"/>
  <c r="V124" i="6" s="1"/>
  <c r="F137" i="6" l="1"/>
  <c r="F147" i="6" s="1"/>
  <c r="L135" i="6"/>
  <c r="O63" i="1" l="1"/>
  <c r="L137" i="6"/>
  <c r="L147" i="6" s="1"/>
  <c r="O66" i="1" l="1"/>
  <c r="O68" i="1" s="1"/>
  <c r="S63" i="1"/>
  <c r="S66" i="1" s="1"/>
  <c r="S68" i="1" l="1"/>
  <c r="N137" i="6"/>
  <c r="N135" i="6" s="1"/>
  <c r="N147" i="6" l="1"/>
  <c r="R135" i="6"/>
  <c r="R137" i="6" l="1"/>
  <c r="R147" i="6" s="1"/>
  <c r="V145" i="6" s="1"/>
  <c r="V147" i="6" s="1"/>
  <c r="U31" i="1" l="1"/>
  <c r="U33" i="1" l="1"/>
  <c r="AA33" i="1" s="1"/>
  <c r="E66" i="1" l="1"/>
  <c r="K63" i="1"/>
  <c r="K66" i="1" s="1"/>
  <c r="E70" i="1" l="1"/>
  <c r="E68" i="1"/>
  <c r="K6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 Stull</author>
    <author>mstull</author>
  </authors>
  <commentList>
    <comment ref="C8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Input month and day test year ends as text, i.e., 'January 31</t>
        </r>
      </text>
    </comment>
    <comment ref="E8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Input year test year ends
</t>
        </r>
      </text>
    </comment>
    <comment ref="C9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Input in date format, i.e., 01/31/05</t>
        </r>
      </text>
    </comment>
    <comment ref="C11" authorId="1" shapeId="0" xr:uid="{C25ECD45-2F44-4FFF-977D-98DA75079809}">
      <text>
        <r>
          <rPr>
            <b/>
            <sz val="14"/>
            <color indexed="81"/>
            <rFont val="Tahoma"/>
            <family val="2"/>
          </rPr>
          <t>mstull:</t>
        </r>
        <r>
          <rPr>
            <sz val="14"/>
            <color indexed="81"/>
            <rFont val="Tahoma"/>
            <family val="2"/>
          </rPr>
          <t xml:space="preserve">
Input preparer's 2 or 3 digit initials.
Example - "MAS" for Margaret Stull</t>
        </r>
      </text>
    </comment>
    <comment ref="C20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Input appropriate composite rate from table at right or rate from Utility's depreciation study</t>
        </r>
      </text>
    </comment>
    <comment ref="C23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See Shawn Dellinger for current interest rate
</t>
        </r>
      </text>
    </comment>
    <comment ref="C25" authorId="1" shapeId="0" xr:uid="{F520EC03-6D32-4BE2-ABB9-365434E24696}">
      <text>
        <r>
          <rPr>
            <b/>
            <sz val="14"/>
            <color indexed="81"/>
            <rFont val="Tahoma"/>
            <family val="2"/>
          </rPr>
          <t>mstull:</t>
        </r>
        <r>
          <rPr>
            <sz val="14"/>
            <color indexed="81"/>
            <rFont val="Tahoma"/>
            <family val="2"/>
          </rPr>
          <t xml:space="preserve">
Input appropriate code for gallons or cubic feet from Column G.</t>
        </r>
      </text>
    </comment>
    <comment ref="E25" authorId="1" shapeId="0" xr:uid="{59D59AF1-6E61-422A-BD5F-68A9AE882679}">
      <text>
        <r>
          <rPr>
            <b/>
            <sz val="14"/>
            <color indexed="81"/>
            <rFont val="Tahoma"/>
            <family val="2"/>
          </rPr>
          <t>mstull:</t>
        </r>
        <r>
          <rPr>
            <sz val="14"/>
            <color indexed="81"/>
            <rFont val="Tahoma"/>
            <family val="2"/>
          </rPr>
          <t xml:space="preserve">
Enter calculation of monthly rate for 5,000 gallons.</t>
        </r>
      </text>
    </comment>
    <comment ref="E26" authorId="1" shapeId="0" xr:uid="{C2BD26C7-4A0D-4312-B83F-FBD8BB2C1F13}">
      <text>
        <r>
          <rPr>
            <b/>
            <sz val="14"/>
            <color indexed="81"/>
            <rFont val="Tahoma"/>
            <family val="2"/>
          </rPr>
          <t>mstull:</t>
        </r>
        <r>
          <rPr>
            <sz val="14"/>
            <color indexed="81"/>
            <rFont val="Tahoma"/>
            <family val="2"/>
          </rPr>
          <t xml:space="preserve">
Enter calculation of monthly rate for 700 cubic feet.</t>
        </r>
      </text>
    </comment>
  </commentList>
</comments>
</file>

<file path=xl/sharedStrings.xml><?xml version="1.0" encoding="utf-8"?>
<sst xmlns="http://schemas.openxmlformats.org/spreadsheetml/2006/main" count="7021" uniqueCount="1021">
  <si>
    <t>Office of Utility Consumer Counselor</t>
  </si>
  <si>
    <t>OUCC Attachment CFS-1</t>
  </si>
  <si>
    <t>Schedules and Workpapers (Excel Version)</t>
  </si>
  <si>
    <t>Schedules:</t>
  </si>
  <si>
    <t>Schedule 1 - Overall Revenue Requirement</t>
  </si>
  <si>
    <t xml:space="preserve"> - Phased-in Revenue Requirement</t>
  </si>
  <si>
    <t>Schedule 2 - Balance Sheet</t>
  </si>
  <si>
    <t>Schedule 3 - Income Statement</t>
  </si>
  <si>
    <r>
      <t xml:space="preserve">Schedule 4 - </t>
    </r>
    <r>
      <rPr>
        <i/>
        <sz val="12"/>
        <rFont val="Times New Roman"/>
        <family val="1"/>
      </rPr>
      <t>Pro Forma</t>
    </r>
    <r>
      <rPr>
        <sz val="12"/>
        <rFont val="Times New Roman"/>
        <family val="1"/>
      </rPr>
      <t xml:space="preserve"> Net Operating income Statement</t>
    </r>
  </si>
  <si>
    <t>Schedule 5 -- OUCC Revenue Adjustments</t>
  </si>
  <si>
    <t>Not Used - Accepted Petitioner's Proposal</t>
  </si>
  <si>
    <t>Schedule 6 - OUCC Expense Adjustments</t>
  </si>
  <si>
    <t>Schedule 7 - Extensions and Replacements</t>
  </si>
  <si>
    <t xml:space="preserve">Schedule 8 - PILT </t>
  </si>
  <si>
    <t>Schedule 9 - Working Capital</t>
  </si>
  <si>
    <t>Schedule 10 - Debt Service</t>
  </si>
  <si>
    <t>Not Used - See Shawn Dellinger's Testimony</t>
  </si>
  <si>
    <t>Schedule 11 - Debt Service Reserve</t>
  </si>
  <si>
    <t>Schedule 12 - Proposed Tariff</t>
  </si>
  <si>
    <t>Not Applicable - Rates determined by cost of service study</t>
  </si>
  <si>
    <t>Workpapers:</t>
  </si>
  <si>
    <t>WP-2 Rev Req Comp</t>
  </si>
  <si>
    <t>WP-3 IS TB Map</t>
  </si>
  <si>
    <t>WP-4 Salaries &amp; Wages Expense</t>
  </si>
  <si>
    <t>WP-5 Payroll Data</t>
  </si>
  <si>
    <t>WP-6 2024 Salaries and Wages</t>
  </si>
  <si>
    <t>WP-7 Tank Maint</t>
  </si>
  <si>
    <t>Schedule 1 - Overall</t>
  </si>
  <si>
    <t>Page 1 of 4</t>
  </si>
  <si>
    <t>Comparison of Petitioner's and OUCC's</t>
  </si>
  <si>
    <t>Overall Revenue Requirement</t>
  </si>
  <si>
    <t>Per</t>
  </si>
  <si>
    <t>Sch</t>
  </si>
  <si>
    <t>OUCC</t>
  </si>
  <si>
    <t>Petitioner</t>
  </si>
  <si>
    <t>Ref</t>
  </si>
  <si>
    <t>More (Less)</t>
  </si>
  <si>
    <t>Check Numbers</t>
  </si>
  <si>
    <t>Operating Expenses</t>
  </si>
  <si>
    <t>The check number is off because I removed rate case expense from phase 5</t>
  </si>
  <si>
    <t>Payment in Lieu of Taxes</t>
  </si>
  <si>
    <t>Extension and Replacements</t>
  </si>
  <si>
    <t>Debt Service</t>
  </si>
  <si>
    <t>Debt Service Reserve</t>
  </si>
  <si>
    <t>Working Capital</t>
  </si>
  <si>
    <t>Total Revenue Requirements</t>
  </si>
  <si>
    <t>Less Revenue Requirement Offsets:</t>
  </si>
  <si>
    <t>Interest Income</t>
  </si>
  <si>
    <t>Other Income</t>
  </si>
  <si>
    <t>Net Revenue Requirement</t>
  </si>
  <si>
    <t>Revenues at current rates subject to increase</t>
  </si>
  <si>
    <t>Other revenues not subject to increase</t>
  </si>
  <si>
    <t>Recommended Increase</t>
  </si>
  <si>
    <t>Recommended Percentage Increase</t>
  </si>
  <si>
    <t>Schedule 1 - Phased</t>
  </si>
  <si>
    <t>Page 2 of 4</t>
  </si>
  <si>
    <t>Phased-in Revenue Requirement</t>
  </si>
  <si>
    <t>Phase 1 Revenue Requirement</t>
  </si>
  <si>
    <t>Phase 2 Revenue Requirement</t>
  </si>
  <si>
    <t>Phase 3 Revenue Requirement</t>
  </si>
  <si>
    <t>PET</t>
  </si>
  <si>
    <t>Pet</t>
  </si>
  <si>
    <t>Less Current Revenues:</t>
  </si>
  <si>
    <t>Revenues subject to increase</t>
  </si>
  <si>
    <t>11074869-144294-57115</t>
  </si>
  <si>
    <t>Schedule 1</t>
  </si>
  <si>
    <t>Page 3 of 4</t>
  </si>
  <si>
    <t>Phase 4 Revenue Requirement</t>
  </si>
  <si>
    <t>Phase 5 Revenue Requirement</t>
  </si>
  <si>
    <t>Page 4 of 4</t>
  </si>
  <si>
    <t>Reconciliation of Net Operating Income Statement Adjustments</t>
  </si>
  <si>
    <r>
      <t>Pro-forma</t>
    </r>
    <r>
      <rPr>
        <b/>
        <sz val="12"/>
        <rFont val="Times New Roman"/>
        <family val="1"/>
      </rPr>
      <t xml:space="preserve"> Present Rates</t>
    </r>
  </si>
  <si>
    <t>Adj</t>
  </si>
  <si>
    <t>Operating Revenues</t>
  </si>
  <si>
    <t>Water Sales</t>
  </si>
  <si>
    <t>Other Water Revenues</t>
  </si>
  <si>
    <t>Total Operating Revenues</t>
  </si>
  <si>
    <t>O&amp;M Expense</t>
  </si>
  <si>
    <t xml:space="preserve">Salaries and Wages </t>
  </si>
  <si>
    <t>Annualized Salaries</t>
  </si>
  <si>
    <t>(1)</t>
  </si>
  <si>
    <t>Wage Increase - Union</t>
  </si>
  <si>
    <t>(2)</t>
  </si>
  <si>
    <t>Wage Increase - Non-Union</t>
  </si>
  <si>
    <t>(3)</t>
  </si>
  <si>
    <t xml:space="preserve"> Vacant Positions</t>
  </si>
  <si>
    <t>(4)</t>
  </si>
  <si>
    <t>Incentive Payments</t>
  </si>
  <si>
    <t>Employee Benefits</t>
  </si>
  <si>
    <t>Health Insurance - New Employees</t>
  </si>
  <si>
    <t>(5)</t>
  </si>
  <si>
    <t>Pension Expense (PERF)</t>
  </si>
  <si>
    <t>(6)</t>
  </si>
  <si>
    <t>6-4</t>
  </si>
  <si>
    <t>Payroll Taxes</t>
  </si>
  <si>
    <t>(14)</t>
  </si>
  <si>
    <t>Contractual Services</t>
  </si>
  <si>
    <t>Tank Maintenance Contract</t>
  </si>
  <si>
    <t>(7)</t>
  </si>
  <si>
    <t>Union Arbitration</t>
  </si>
  <si>
    <t>(8)</t>
  </si>
  <si>
    <t>Capital and Nonrecurring</t>
  </si>
  <si>
    <t>(9)</t>
  </si>
  <si>
    <t>Rental of Building/Real Property</t>
  </si>
  <si>
    <t>(11)</t>
  </si>
  <si>
    <t>General Liability Insurance</t>
  </si>
  <si>
    <t>(10)</t>
  </si>
  <si>
    <t>Annualize wages of union employees</t>
  </si>
  <si>
    <t>Rate Case Expense (Phases 2, 3, &amp;4)</t>
  </si>
  <si>
    <t>(12)</t>
  </si>
  <si>
    <t>6-8</t>
  </si>
  <si>
    <t>3% wage increase for non-union employees</t>
  </si>
  <si>
    <t>Rate Case Expense (Phase 5)</t>
  </si>
  <si>
    <t>Eight vacant positions</t>
  </si>
  <si>
    <t>Total O&amp;M Adjustments</t>
  </si>
  <si>
    <t>Pension increase tied to Salaries and wages increase</t>
  </si>
  <si>
    <t>Payroll tax increase tied to Salaries and wages increase</t>
  </si>
  <si>
    <t>Net Operating Income</t>
  </si>
  <si>
    <t>Engineering Fees from CHA for Hydraulic Modeling Distribution System</t>
  </si>
  <si>
    <t>Check Numbered</t>
  </si>
  <si>
    <t>Annualize tank maintenance</t>
  </si>
  <si>
    <t>Regulatory Council for IURC Rate Case by Bose McKinney and Evans LLP</t>
  </si>
  <si>
    <t>Non-recurring union arbitration</t>
  </si>
  <si>
    <t>Hydrogeological Consulting Services from Eagon &amp; Associates</t>
  </si>
  <si>
    <t>Non-recurring and capital expenses</t>
  </si>
  <si>
    <t>Additional rent at Electric Utility garage</t>
  </si>
  <si>
    <t>Liability Insurance adjusted to budget</t>
  </si>
  <si>
    <t>Health insurance for the eight vacant positions</t>
  </si>
  <si>
    <t>Revenue Requirement Consultant</t>
  </si>
  <si>
    <t>Rate Case Expense</t>
  </si>
  <si>
    <t>Cost of Service Study Consultant</t>
  </si>
  <si>
    <t>Regulatory Counsel</t>
  </si>
  <si>
    <t>Total Estimated Rate Case Expense</t>
  </si>
  <si>
    <t>(13)</t>
  </si>
  <si>
    <t>PILOT</t>
  </si>
  <si>
    <t>Amortize by: Number of years</t>
  </si>
  <si>
    <t>Check Number:</t>
  </si>
  <si>
    <t>Salaries and Wages</t>
  </si>
  <si>
    <t>Employee Pensions and Benefits</t>
  </si>
  <si>
    <t>Rental</t>
  </si>
  <si>
    <t>Other Insurance</t>
  </si>
  <si>
    <t>Contribution in Lieu of Taxes</t>
  </si>
  <si>
    <t>FICA Taxes</t>
  </si>
  <si>
    <t>Schedule 2</t>
  </si>
  <si>
    <t>Page 1 of 2</t>
  </si>
  <si>
    <t>COMPARATIVE BALANCE SHEET</t>
  </si>
  <si>
    <t>ASSETS</t>
  </si>
  <si>
    <t>2023 Δ 2022</t>
  </si>
  <si>
    <t>2022 Δ 2021</t>
  </si>
  <si>
    <t>2021 Δ 2020</t>
  </si>
  <si>
    <t>2020 Δ 2019</t>
  </si>
  <si>
    <t>2019 Δ 2018</t>
  </si>
  <si>
    <t>Utility Plant:</t>
  </si>
  <si>
    <t>Utility Plant in Service</t>
  </si>
  <si>
    <t>Land and Land Rights</t>
  </si>
  <si>
    <t>Construction Work in Progress</t>
  </si>
  <si>
    <t>Total Utility Plant in Service</t>
  </si>
  <si>
    <t>Less:  Accumulated Depreciation</t>
  </si>
  <si>
    <t>Net Utility Plant in Service</t>
  </si>
  <si>
    <t>Restricted Assets:</t>
  </si>
  <si>
    <t>Depreciation reserve</t>
  </si>
  <si>
    <t>Reserve - PILT</t>
  </si>
  <si>
    <t>Customer Deposits</t>
  </si>
  <si>
    <t>Well and Tank Maintenance Fund</t>
  </si>
  <si>
    <t>Equipment Lease</t>
  </si>
  <si>
    <t>Total Restricted Assets</t>
  </si>
  <si>
    <t>Current Assets:</t>
  </si>
  <si>
    <t>Cash and Cash Equivalents</t>
  </si>
  <si>
    <t>Customer Accounts Receivable</t>
  </si>
  <si>
    <t>Provision for Uncollectible Accounts</t>
  </si>
  <si>
    <t>Materials and Supplies</t>
  </si>
  <si>
    <t>Total Current Assets</t>
  </si>
  <si>
    <t>Total Assets</t>
  </si>
  <si>
    <t>Page 2 of 2</t>
  </si>
  <si>
    <t>LIABILITIES</t>
  </si>
  <si>
    <t>Equity</t>
  </si>
  <si>
    <t>Retained Earnings</t>
  </si>
  <si>
    <t>Paid in Capital</t>
  </si>
  <si>
    <t>Total Equity</t>
  </si>
  <si>
    <t>Contributions in Aid of Construction</t>
  </si>
  <si>
    <t>Contributions in Aid of Construction, net</t>
  </si>
  <si>
    <t xml:space="preserve">Anderson Redevelopment </t>
  </si>
  <si>
    <t>Net Contributions-in-aid of Construction</t>
  </si>
  <si>
    <t>Long-term Debt</t>
  </si>
  <si>
    <t>2016 Revenue Bonds</t>
  </si>
  <si>
    <t>2016 Revenue Refunding Bonds</t>
  </si>
  <si>
    <t>Other Long-Term Debt</t>
  </si>
  <si>
    <t>Total Long-term Debt</t>
  </si>
  <si>
    <t>Current Liabilities</t>
  </si>
  <si>
    <t>Accounts Payable</t>
  </si>
  <si>
    <t>Accrued Taxes Payable</t>
  </si>
  <si>
    <t>Other Current Liabilities</t>
  </si>
  <si>
    <t>Total Current Liabilities</t>
  </si>
  <si>
    <t>Deferred Credits:</t>
  </si>
  <si>
    <t>Unamortized Premium on Debt</t>
  </si>
  <si>
    <t>Total Deferred Credits</t>
  </si>
  <si>
    <t>Total Liabilities</t>
  </si>
  <si>
    <t>Check Number</t>
  </si>
  <si>
    <t>Increase in RE Less NI</t>
  </si>
  <si>
    <t>Increase in Acc. Dep. Less Dep. Exp.</t>
  </si>
  <si>
    <t>Approximate 2% Depreciation</t>
  </si>
  <si>
    <t>Depreciation Expense</t>
  </si>
  <si>
    <t>Difference</t>
  </si>
  <si>
    <t>Beg - UPIS</t>
  </si>
  <si>
    <t>Additions</t>
  </si>
  <si>
    <t>End - UPIS</t>
  </si>
  <si>
    <t>Reserve</t>
  </si>
  <si>
    <t>Composite 2%</t>
  </si>
  <si>
    <t>Reported</t>
  </si>
  <si>
    <t>Land &amp; Land Rights</t>
  </si>
  <si>
    <t>Structures &amp; Improvements</t>
  </si>
  <si>
    <t>Wells &amp; Springs</t>
  </si>
  <si>
    <t>Pumping Equipment</t>
  </si>
  <si>
    <t>Water Treatment Plant</t>
  </si>
  <si>
    <t>Distribution Reserves &amp; Sandpipes</t>
  </si>
  <si>
    <t>Trans. &amp; Disturb. Mains</t>
  </si>
  <si>
    <t>Services</t>
  </si>
  <si>
    <t>Meters &amp; Meter Installation</t>
  </si>
  <si>
    <t>Hydrants</t>
  </si>
  <si>
    <t>Office Furniture &amp; Equip</t>
  </si>
  <si>
    <t>Transportation Equip</t>
  </si>
  <si>
    <t>Tools, Shop, Garage Equip</t>
  </si>
  <si>
    <t>Power Operated Equip</t>
  </si>
  <si>
    <t>Communication Equip</t>
  </si>
  <si>
    <t>Miscellaneous Equip</t>
  </si>
  <si>
    <t>Schedule 3</t>
  </si>
  <si>
    <t>COMPARATIVE INCOME STATEMENT</t>
  </si>
  <si>
    <t>Residential</t>
  </si>
  <si>
    <t>Commercial</t>
  </si>
  <si>
    <t>Industrial</t>
  </si>
  <si>
    <t>Public Authority</t>
  </si>
  <si>
    <t>Fire Protection</t>
  </si>
  <si>
    <t>Late Payment Fees</t>
  </si>
  <si>
    <t>Rents from Water Property</t>
  </si>
  <si>
    <t>Miscellaneous Service Revenues</t>
  </si>
  <si>
    <t>Purchased Power</t>
  </si>
  <si>
    <t>Chemicals</t>
  </si>
  <si>
    <t>Transportation Expense</t>
  </si>
  <si>
    <t>Other Insurance Expense</t>
  </si>
  <si>
    <t>Bad Debt Expense</t>
  </si>
  <si>
    <t>Miscellaneous Expense</t>
  </si>
  <si>
    <t>Total O&amp;M Expense</t>
  </si>
  <si>
    <t>Taxes Other than Income</t>
  </si>
  <si>
    <t>Utility Receipts Tax</t>
  </si>
  <si>
    <t>PILT</t>
  </si>
  <si>
    <t>Total Operating Expenses</t>
  </si>
  <si>
    <t>Other Income: (Expenses):</t>
  </si>
  <si>
    <t>Revenues from Jobbing</t>
  </si>
  <si>
    <t>Non-Utility Income</t>
  </si>
  <si>
    <t>Total Other Income (Expenses)</t>
  </si>
  <si>
    <t>Other Expenses</t>
  </si>
  <si>
    <t>Interest Expense</t>
  </si>
  <si>
    <t>Amortization of Premium on Debit</t>
  </si>
  <si>
    <t>Total Other Expenses</t>
  </si>
  <si>
    <t>Net Income</t>
  </si>
  <si>
    <t>Schedule F-23</t>
  </si>
  <si>
    <t>Schedule 4</t>
  </si>
  <si>
    <t>Page 1 of 3</t>
  </si>
  <si>
    <r>
      <t>Pro Forma</t>
    </r>
    <r>
      <rPr>
        <b/>
        <sz val="12"/>
        <rFont val="Times New Roman"/>
        <family val="1"/>
      </rPr>
      <t xml:space="preserve"> Net Operating Income Statement</t>
    </r>
  </si>
  <si>
    <t>Phase 1</t>
  </si>
  <si>
    <t>Test Year</t>
  </si>
  <si>
    <t>Pro Forma</t>
  </si>
  <si>
    <t>Ended</t>
  </si>
  <si>
    <t>Present</t>
  </si>
  <si>
    <t>Proposed</t>
  </si>
  <si>
    <t>Adjustments</t>
  </si>
  <si>
    <t>Rates</t>
  </si>
  <si>
    <t>Subject to Increase</t>
  </si>
  <si>
    <t>6-1</t>
  </si>
  <si>
    <t>3% Wage Increase</t>
  </si>
  <si>
    <t>6-2</t>
  </si>
  <si>
    <t>Reduction in Incentive Payments</t>
  </si>
  <si>
    <t>6-3</t>
  </si>
  <si>
    <t>Vacant Positions</t>
  </si>
  <si>
    <t>PERF</t>
  </si>
  <si>
    <t>6-5</t>
  </si>
  <si>
    <t>Composite Depreciation</t>
  </si>
  <si>
    <t>6-6</t>
  </si>
  <si>
    <t>Check: Phase 1</t>
  </si>
  <si>
    <t>E&amp;R Over Depreciation</t>
  </si>
  <si>
    <t>6-7</t>
  </si>
  <si>
    <t>Less: Amortization Expense</t>
  </si>
  <si>
    <t>Less:  Other Income</t>
  </si>
  <si>
    <t>Compare to NOI</t>
  </si>
  <si>
    <t>Page 2 of 3</t>
  </si>
  <si>
    <t>Phase 2</t>
  </si>
  <si>
    <t>Check: Phase 2</t>
  </si>
  <si>
    <t>Phase 3</t>
  </si>
  <si>
    <t>Check: Phase 3</t>
  </si>
  <si>
    <t>Page 3 of 3</t>
  </si>
  <si>
    <t>Phase 4</t>
  </si>
  <si>
    <t>Check: Phase 4</t>
  </si>
  <si>
    <t>Phase 5</t>
  </si>
  <si>
    <t>Check:</t>
  </si>
  <si>
    <t>Schedule 5</t>
  </si>
  <si>
    <t>Page 1 of 1</t>
  </si>
  <si>
    <t>OUCC Revenue Adjustments</t>
  </si>
  <si>
    <t xml:space="preserve">Petitioner did not propose any operating revenue adjustments and the OUCC accepts         Petitioner's proposal. </t>
  </si>
  <si>
    <t>Schedule 6</t>
  </si>
  <si>
    <t>OUCC Expense Adjustments</t>
  </si>
  <si>
    <t>Salaries and Wages - Annualization</t>
  </si>
  <si>
    <t>To annualize test year regular salaries and wages expense.</t>
  </si>
  <si>
    <t>Annualized Regular Time Wages</t>
  </si>
  <si>
    <t>Less: Test Year Regular Time Wages</t>
  </si>
  <si>
    <t>Adjustment More (Less)</t>
  </si>
  <si>
    <t>Salaries and Wages - 3% Pay Raise</t>
  </si>
  <si>
    <t>To increase annualized regular time wages and over time wages for the 3% increase that occurred January 1, 2024.</t>
  </si>
  <si>
    <t>Regular Salaries</t>
  </si>
  <si>
    <t xml:space="preserve">Annualized Regular Salaries and Wages </t>
  </si>
  <si>
    <t xml:space="preserve">Multiplied by: </t>
  </si>
  <si>
    <t>3% Increase to Annualized Regular Salaries</t>
  </si>
  <si>
    <t>Overtime Salaries</t>
  </si>
  <si>
    <t>Overtime Salaries and Wages</t>
  </si>
  <si>
    <t>3% Increase to Over Time Wages</t>
  </si>
  <si>
    <t>Salaries and Wages - Longevity Pay</t>
  </si>
  <si>
    <t>To remove retroactive longevity payments from salaries and wages expenses and increase longevity rate for 2024.</t>
  </si>
  <si>
    <t>Increase to Longevity Incentive</t>
  </si>
  <si>
    <t>Removal of Retroactive Longevity Incentive</t>
  </si>
  <si>
    <t>Pension</t>
  </si>
  <si>
    <t>To adjust test year pension expense to pro forma.</t>
  </si>
  <si>
    <t>I think is  the value of the work orders?</t>
  </si>
  <si>
    <r>
      <rPr>
        <i/>
        <sz val="12"/>
        <rFont val="Times New Roman"/>
        <family val="1"/>
      </rPr>
      <t>Pro forma</t>
    </r>
    <r>
      <rPr>
        <sz val="12"/>
        <rFont val="Times New Roman"/>
        <family val="1"/>
      </rPr>
      <t xml:space="preserve"> Salaries and Wages Expense</t>
    </r>
  </si>
  <si>
    <t>Multiplied by PERF Rate: 11.2%</t>
  </si>
  <si>
    <r>
      <rPr>
        <i/>
        <sz val="12"/>
        <rFont val="Times New Roman"/>
        <family val="1"/>
      </rPr>
      <t>Pro forma</t>
    </r>
    <r>
      <rPr>
        <sz val="12"/>
        <rFont val="Times New Roman"/>
        <family val="1"/>
      </rPr>
      <t xml:space="preserve"> Pension Expense</t>
    </r>
  </si>
  <si>
    <t>Less: Test Year Pension Expense</t>
  </si>
  <si>
    <r>
      <t xml:space="preserve">To adjust test year payroll taxes to </t>
    </r>
    <r>
      <rPr>
        <i/>
        <sz val="12"/>
        <rFont val="Times New Roman"/>
        <family val="1"/>
      </rPr>
      <t>pro forma</t>
    </r>
    <r>
      <rPr>
        <sz val="12"/>
        <rFont val="Times New Roman"/>
        <family val="1"/>
      </rPr>
      <t>.</t>
    </r>
  </si>
  <si>
    <t>Multiplied by Tax Rate: 7.65%</t>
  </si>
  <si>
    <r>
      <rPr>
        <i/>
        <sz val="12"/>
        <rFont val="Times New Roman"/>
        <family val="1"/>
      </rPr>
      <t>Pro forma</t>
    </r>
    <r>
      <rPr>
        <sz val="12"/>
        <rFont val="Times New Roman"/>
        <family val="1"/>
      </rPr>
      <t xml:space="preserve"> Payroll Tax Expense</t>
    </r>
  </si>
  <si>
    <t>Less: Test Year Payroll Tax Expense</t>
  </si>
  <si>
    <t>To adjust "Source of Supply Expense - Contractual Service" to annualize the tank maintenance expense.</t>
  </si>
  <si>
    <t>Annual Contract Expense</t>
  </si>
  <si>
    <t>Less: Test Year</t>
  </si>
  <si>
    <t>Includes journals with comments "Elevated Tank Monthly," Monthly Tank Cleaning," and Monthly Tank."</t>
  </si>
  <si>
    <t>To adjust test year tank maintenance expense to 2024's contract amount.</t>
  </si>
  <si>
    <t>I added "Tank Cleaning," "Tank Cleaning g," and "Tank Maintenance."</t>
  </si>
  <si>
    <t>Adjustment - Increase</t>
  </si>
  <si>
    <t>2024 Utility Contract</t>
  </si>
  <si>
    <t>Less: Test Year Expense (See WP-7 Tank Maint)</t>
  </si>
  <si>
    <t>To adjust "Administrative and General - Contractual Services" for capital expenditures and non-recurring</t>
  </si>
  <si>
    <t>expenses.</t>
  </si>
  <si>
    <t>Amount</t>
  </si>
  <si>
    <t>During on site review Petitioner stated they searched for journals above a certain threshold. I searched by vendor.</t>
  </si>
  <si>
    <t>Petitioner used a minimum vale. I used Client Matter Nos. 008433-0014 W and 008433-0015 W.</t>
  </si>
  <si>
    <t>Well Head Protection - Should not be removed.</t>
  </si>
  <si>
    <t>To adjust to test year general liability insurance expense to the actual 2024 general liability insurance cost.</t>
  </si>
  <si>
    <t>Adjustment - Decrease</t>
  </si>
  <si>
    <t>Date</t>
  </si>
  <si>
    <t>Reference</t>
  </si>
  <si>
    <t>01/10/24</t>
  </si>
  <si>
    <t>CK    2422</t>
  </si>
  <si>
    <t>04/30/24</t>
  </si>
  <si>
    <t>CK    2614</t>
  </si>
  <si>
    <t>07/22/24</t>
  </si>
  <si>
    <t>CK    2726</t>
  </si>
  <si>
    <t>10/31/24</t>
  </si>
  <si>
    <t>CK    2899</t>
  </si>
  <si>
    <t>Pro forma Liability Insurance</t>
  </si>
  <si>
    <t>Less: Test Year Expense</t>
  </si>
  <si>
    <t>To include recovery of estimated rate case expense through amortization over the life of the rates.</t>
  </si>
  <si>
    <t>Phase 2 Adjustment</t>
  </si>
  <si>
    <t xml:space="preserve">Divide by Amortization Period: : </t>
  </si>
  <si>
    <t>Phase 5 Adjustment</t>
  </si>
  <si>
    <t>To reverse amortization once cost is fully recovered.</t>
  </si>
  <si>
    <t>Schedule 7</t>
  </si>
  <si>
    <t>Extensions and Replacements</t>
  </si>
  <si>
    <t>Schedule not applicable as the OUCC accepts Petitioner's proposed                                       E&amp;R revenue requirement.</t>
  </si>
  <si>
    <t>50 IAC 5.1-9-1 Construction in progress</t>
  </si>
  <si>
    <t>Schedule 8</t>
  </si>
  <si>
    <t>Payment in Lieu of Property Taxes</t>
  </si>
  <si>
    <t>Schedule not applicable as the OUCC accepts Petitioner's proposed                           PILT revenue requirement.</t>
  </si>
  <si>
    <t>Schedule 9</t>
  </si>
  <si>
    <t>Operation &amp; Maintenance Expense</t>
  </si>
  <si>
    <t>Plus:</t>
  </si>
  <si>
    <t>Less:</t>
  </si>
  <si>
    <t>Adjusted Operation &amp; Maintenance Expense</t>
  </si>
  <si>
    <t>Multiplied by Two Month Requirement</t>
  </si>
  <si>
    <t>Multiplied by: FERC 45 Day Factor</t>
  </si>
  <si>
    <t>Working Capital Revenue Requirement</t>
  </si>
  <si>
    <t>Cash on Hand</t>
  </si>
  <si>
    <t>Net Working Capital Revenue Requirement</t>
  </si>
  <si>
    <t>Customer Deposits  (75%)</t>
  </si>
  <si>
    <t>Operating Fund</t>
  </si>
  <si>
    <t>Total Cash on Hand</t>
  </si>
  <si>
    <t>Schedule 10</t>
  </si>
  <si>
    <t>May not need this schedule if:</t>
  </si>
  <si>
    <t xml:space="preserve">     (1) We agree with the Utility's numbers</t>
  </si>
  <si>
    <t xml:space="preserve">     (2) Another witness is handling financing issues</t>
  </si>
  <si>
    <t>In the case of (2), you should just refer to the witness' initials rather than the schedule number on Schedule 1</t>
  </si>
  <si>
    <r>
      <t>P</t>
    </r>
    <r>
      <rPr>
        <b/>
        <sz val="14"/>
        <rFont val="Times New Roman"/>
        <family val="1"/>
      </rPr>
      <t xml:space="preserve">lease see the Testimony of OUCC witness Shawn Dellinger for an explanation of the OUCCs recommended Debt Service Revenue Requirement. </t>
    </r>
  </si>
  <si>
    <t>To reflect the average amount of debt service required over a five year period.</t>
  </si>
  <si>
    <t>Period of time used should coincide with the life of the rates being set in this rate case.</t>
  </si>
  <si>
    <t>Existing</t>
  </si>
  <si>
    <t>2026-A</t>
  </si>
  <si>
    <t>2026-B</t>
  </si>
  <si>
    <t>See Order in Cause No. 44986 (Jackson County) (where Commission found that the  utility would be disadvantaged if they weren't allowed to recover maximum P&amp;I payment as the debt service revenue requirement.)</t>
  </si>
  <si>
    <t xml:space="preserve">Many utilities will try to ask for max P&amp;I even though it occurred 10 years before or will occur 10 years in the future. </t>
  </si>
  <si>
    <t>Schedule 11</t>
  </si>
  <si>
    <t xml:space="preserve">Please see the Testimony of OUCC witness Shawn Dellinger                                               for an explanation of the OUCCs recommended                                                                       Debt Service Reserve Revenue Requirement. </t>
  </si>
  <si>
    <t>To reflect the average amount of debt service reserve required over a five year period.</t>
  </si>
  <si>
    <t>Schedule 12</t>
  </si>
  <si>
    <t>Current and Proposed Rates and Charges</t>
  </si>
  <si>
    <t xml:space="preserve">Schedule not applicable as Petitioner proposes to implement rates in accordance with an approved cost of sericea study. </t>
  </si>
  <si>
    <t>Current</t>
  </si>
  <si>
    <t>Metered Rates Per Month</t>
  </si>
  <si>
    <t>First</t>
  </si>
  <si>
    <t>cubic feet</t>
  </si>
  <si>
    <t>Next</t>
  </si>
  <si>
    <r>
      <rPr>
        <b/>
        <i/>
        <u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Charge Per Month</t>
    </r>
  </si>
  <si>
    <t>1/2 or 5/8</t>
  </si>
  <si>
    <t>inch meter</t>
  </si>
  <si>
    <t>Private Fire Protection Service - Per Annum</t>
  </si>
  <si>
    <t>inch line</t>
  </si>
  <si>
    <t>Private Fire Hydrant</t>
  </si>
  <si>
    <t>Public Fire Protection Charges Per Month Per Customer Connection</t>
  </si>
  <si>
    <t>inch connection</t>
  </si>
  <si>
    <t>Other - Per Annum</t>
  </si>
  <si>
    <t>For Each Public Drinking Fountain</t>
  </si>
  <si>
    <t>For Each Flush Tank for Sewers</t>
  </si>
  <si>
    <t>Non-Recurring Charges</t>
  </si>
  <si>
    <t>Bad Check Charge</t>
  </si>
  <si>
    <t>Reconnect Charges for Non-Payment</t>
  </si>
  <si>
    <t>Regular Hours</t>
  </si>
  <si>
    <t>Overtime Hours</t>
  </si>
  <si>
    <t>Service Call Charges</t>
  </si>
  <si>
    <t>Water Taps</t>
  </si>
  <si>
    <t>3/4 inch</t>
  </si>
  <si>
    <t>Over 3/4 inch</t>
  </si>
  <si>
    <t>Cost</t>
  </si>
  <si>
    <t>Revenue Requirement Comparison</t>
  </si>
  <si>
    <t xml:space="preserve">Cause </t>
  </si>
  <si>
    <t>Cause</t>
  </si>
  <si>
    <t>No. 44510</t>
  </si>
  <si>
    <t>Total Revenues</t>
  </si>
  <si>
    <t>Less: Revenue Requirement in Last Rate Case</t>
  </si>
  <si>
    <t>Revenue Over (Under)</t>
  </si>
  <si>
    <t>Annual Report, General Ledger, and Filing Income Statment Comparison</t>
  </si>
  <si>
    <t>General Ledger</t>
  </si>
  <si>
    <t>IURC 2023 Annual Report</t>
  </si>
  <si>
    <t>2023 General Ledger Summary</t>
  </si>
  <si>
    <t>2023 Wilson's Workpapers</t>
  </si>
  <si>
    <t>Metered Sales to Residential Customers</t>
  </si>
  <si>
    <t>461100</t>
  </si>
  <si>
    <t>RESIDENTIAL SALES</t>
  </si>
  <si>
    <t>Metereed Sales to Commercial Customers</t>
  </si>
  <si>
    <t>461200</t>
  </si>
  <si>
    <t>COMMERCIAL SALES</t>
  </si>
  <si>
    <t>Metered Sales to Industrial Customers</t>
  </si>
  <si>
    <t>461300</t>
  </si>
  <si>
    <t>INDUSTRIAL SALES</t>
  </si>
  <si>
    <t xml:space="preserve">Metered Sales to Public Authorities </t>
  </si>
  <si>
    <t>461400</t>
  </si>
  <si>
    <t>INSTITUTIONAL SALES</t>
  </si>
  <si>
    <t xml:space="preserve">Public Fire Protection </t>
  </si>
  <si>
    <t>462200</t>
  </si>
  <si>
    <t>PRIVATE FIRE PROTECTION</t>
  </si>
  <si>
    <t>Late Payment Charge</t>
  </si>
  <si>
    <t>462452</t>
  </si>
  <si>
    <t>DELINQUENT CHARGES</t>
  </si>
  <si>
    <t>Rent From Water Property</t>
  </si>
  <si>
    <t>471472</t>
  </si>
  <si>
    <t>RENT FROM UTILITY PROPERTY</t>
  </si>
  <si>
    <t>471474</t>
  </si>
  <si>
    <t>OTHER REVENUES</t>
  </si>
  <si>
    <t>471471</t>
  </si>
  <si>
    <t>MISCELLANEOUS SERVICES</t>
  </si>
  <si>
    <t>Total</t>
  </si>
  <si>
    <t>560130</t>
  </si>
  <si>
    <t>SALARIES &amp; WAGES OPERATIONS</t>
  </si>
  <si>
    <t>560140</t>
  </si>
  <si>
    <t>SALARIES &amp; WAGES MAINTENANCE</t>
  </si>
  <si>
    <t>560150</t>
  </si>
  <si>
    <t>560160</t>
  </si>
  <si>
    <t>560170</t>
  </si>
  <si>
    <t>SALARIES &amp; WAGES METER READERS</t>
  </si>
  <si>
    <t>560180</t>
  </si>
  <si>
    <t>SALARIES &amp; WAGES ADMIN &amp; GEN</t>
  </si>
  <si>
    <t>541601</t>
  </si>
  <si>
    <t>COST EXP MERCHANDISE JOBBING</t>
  </si>
  <si>
    <t xml:space="preserve">Employee Pension Benefits </t>
  </si>
  <si>
    <t>560480</t>
  </si>
  <si>
    <t>EMPLOYEES PENSION &amp; BENEFITS</t>
  </si>
  <si>
    <t>Pension and Benefits</t>
  </si>
  <si>
    <t>Purchase Power</t>
  </si>
  <si>
    <t>561512</t>
  </si>
  <si>
    <t>POWER PURCHASED</t>
  </si>
  <si>
    <t>561835</t>
  </si>
  <si>
    <t>CHEMICALS CHLORINE &amp; FLORIDE</t>
  </si>
  <si>
    <t>561837</t>
  </si>
  <si>
    <t>CHEMICALS PHOSPATES</t>
  </si>
  <si>
    <t>561838</t>
  </si>
  <si>
    <t>CHEMICAL-CARBON DIOXIDE</t>
  </si>
  <si>
    <t>562048</t>
  </si>
  <si>
    <t>MATERIALS &amp; SUPPLIES MAINT</t>
  </si>
  <si>
    <t>562062</t>
  </si>
  <si>
    <t>TOOLS</t>
  </si>
  <si>
    <t>562064</t>
  </si>
  <si>
    <t>GRAVEL</t>
  </si>
  <si>
    <t>562066</t>
  </si>
  <si>
    <t>CONCRETE</t>
  </si>
  <si>
    <t>562068</t>
  </si>
  <si>
    <t>OTHER REPAIR MATERIALS</t>
  </si>
  <si>
    <t>562080</t>
  </si>
  <si>
    <t>OTHER MATERIALS</t>
  </si>
  <si>
    <t>562081</t>
  </si>
  <si>
    <t>OFFICE SUPPLIES &amp; EXPENSE</t>
  </si>
  <si>
    <t>MISC SUPPLIES &amp; EXPENSES</t>
  </si>
  <si>
    <t>562086</t>
  </si>
  <si>
    <t>UNIFORMS</t>
  </si>
  <si>
    <t>562088</t>
  </si>
  <si>
    <t>LABORATORY SERVICES</t>
  </si>
  <si>
    <t>562089</t>
  </si>
  <si>
    <t>MEDICAL EXPENSE</t>
  </si>
  <si>
    <t>Contractual Service Other</t>
  </si>
  <si>
    <t>563522</t>
  </si>
  <si>
    <t>MAINTENANCE</t>
  </si>
  <si>
    <t>Other Maintenance</t>
  </si>
  <si>
    <t>563562</t>
  </si>
  <si>
    <t>STREET REPAIR SERVICES</t>
  </si>
  <si>
    <t>Repairs</t>
  </si>
  <si>
    <t>563564</t>
  </si>
  <si>
    <t>OTHER REPAIR SERVICES</t>
  </si>
  <si>
    <t>Expense Collection</t>
  </si>
  <si>
    <t>563570</t>
  </si>
  <si>
    <t>COLLECTION EXPENSE</t>
  </si>
  <si>
    <t>Contractual Service</t>
  </si>
  <si>
    <t>563584</t>
  </si>
  <si>
    <t>OTHER CONTRACTUAL SERVICES</t>
  </si>
  <si>
    <t>563620</t>
  </si>
  <si>
    <t>CONTRACTUAL SERVI-MAINT</t>
  </si>
  <si>
    <t>564180</t>
  </si>
  <si>
    <t>RENT</t>
  </si>
  <si>
    <t>565052</t>
  </si>
  <si>
    <t>VEHICLE FUEL &amp; PARTS</t>
  </si>
  <si>
    <t>565054</t>
  </si>
  <si>
    <t>VEHICLE REPAIR SUPPLIES</t>
  </si>
  <si>
    <t xml:space="preserve">Insurance General Liability </t>
  </si>
  <si>
    <t>565780</t>
  </si>
  <si>
    <t>INSURANCE GENERAL LIABILITY</t>
  </si>
  <si>
    <t>Insurance Other</t>
  </si>
  <si>
    <t>565980</t>
  </si>
  <si>
    <t>INSURANCE OTHER</t>
  </si>
  <si>
    <t>567007</t>
  </si>
  <si>
    <t>BAD DEBT EXPENSE</t>
  </si>
  <si>
    <t xml:space="preserve">Miscellaneous Expesne </t>
  </si>
  <si>
    <t>567532</t>
  </si>
  <si>
    <t>IDEM PERMIT FEES</t>
  </si>
  <si>
    <t>Miscellaneous Expenses</t>
  </si>
  <si>
    <t>567582</t>
  </si>
  <si>
    <t>DUES &amp; CONFERENCES</t>
  </si>
  <si>
    <t xml:space="preserve">Depreciation and Amortization </t>
  </si>
  <si>
    <t>540301</t>
  </si>
  <si>
    <t>DEPRECIATION EXPENSE</t>
  </si>
  <si>
    <t>Depreciation</t>
  </si>
  <si>
    <t xml:space="preserve">55100 </t>
  </si>
  <si>
    <t>REFUNDS</t>
  </si>
  <si>
    <t xml:space="preserve">Other Taxes </t>
  </si>
  <si>
    <t>540801</t>
  </si>
  <si>
    <t>FICA TAXES</t>
  </si>
  <si>
    <t>FICA</t>
  </si>
  <si>
    <t>Property Tax</t>
  </si>
  <si>
    <t>542601</t>
  </si>
  <si>
    <t>MISC MUNICIPAL EXPENSE</t>
  </si>
  <si>
    <t>410419</t>
  </si>
  <si>
    <t>INVESTMENT EARNINGS</t>
  </si>
  <si>
    <t>INTEREST &amp; DIVIDEND INCOME</t>
  </si>
  <si>
    <t>410415</t>
  </si>
  <si>
    <t>REV JOBBING &amp; CONTRACT WORK</t>
  </si>
  <si>
    <t>Non-Utility Expenses</t>
  </si>
  <si>
    <t>410424</t>
  </si>
  <si>
    <t>MISCELLANEOUS REFUND</t>
  </si>
  <si>
    <t>542701</t>
  </si>
  <si>
    <t>INTEREST ON LONG TERM DEBT</t>
  </si>
  <si>
    <t>499998</t>
  </si>
  <si>
    <t>OPERATING TRANSFERS-IN</t>
  </si>
  <si>
    <t>599998</t>
  </si>
  <si>
    <t>OPERATING TRANSFERS-OUT</t>
  </si>
  <si>
    <t>Page 1 of 13</t>
  </si>
  <si>
    <t>Salaries and Wages Expense Adjustment</t>
  </si>
  <si>
    <t>I.D.</t>
  </si>
  <si>
    <t>Employee Name</t>
  </si>
  <si>
    <t>Employment Type</t>
  </si>
  <si>
    <t>Position</t>
  </si>
  <si>
    <t>Payroll Code</t>
  </si>
  <si>
    <t># of Pays</t>
  </si>
  <si>
    <t>2023 Gross Earnings</t>
  </si>
  <si>
    <t>Hours</t>
  </si>
  <si>
    <t>2023 Base Pay</t>
  </si>
  <si>
    <t>2023 Base Hours</t>
  </si>
  <si>
    <t>Rate per Hour</t>
  </si>
  <si>
    <t>Annualized Hours</t>
  </si>
  <si>
    <t>Annualized Wages</t>
  </si>
  <si>
    <t>3.0% Increase</t>
  </si>
  <si>
    <t>2023 Over Time</t>
  </si>
  <si>
    <t>2023 Incentives</t>
  </si>
  <si>
    <t>Change</t>
  </si>
  <si>
    <t>Overtime</t>
  </si>
  <si>
    <t>Incentives</t>
  </si>
  <si>
    <t>NU - NON UNION</t>
  </si>
  <si>
    <t>100 - REGULAR SALARY</t>
  </si>
  <si>
    <t>200 - OT TIME AND ONE HALF</t>
  </si>
  <si>
    <t>301 - VAC BUY BACK</t>
  </si>
  <si>
    <t>201 - DOUBLE TIME</t>
  </si>
  <si>
    <t>428 - ATTENDANCE AWARD SALARY</t>
  </si>
  <si>
    <t>210 - TIME 1/2 SPEC RATE</t>
  </si>
  <si>
    <t>429 - ATTENDANCE AWARD HOURLY</t>
  </si>
  <si>
    <t>300 - VACATION SALARY</t>
  </si>
  <si>
    <t>310 - DOUBLE TIME SPEC RATE</t>
  </si>
  <si>
    <t>700 - WATER WT3 CERTIFICATION</t>
  </si>
  <si>
    <t>400 - SICK SALARY</t>
  </si>
  <si>
    <t>701 - WATER WT5 CERTIFICATION</t>
  </si>
  <si>
    <t>500 - PERSONAL DAY SALARY</t>
  </si>
  <si>
    <t>702 - WATER DSL CERTIFICATION</t>
  </si>
  <si>
    <t>718 - WELLNESS INCENTIVE</t>
  </si>
  <si>
    <t>750 - CLOTHING ALLOWANCE UAW</t>
  </si>
  <si>
    <t>764 - 1963 INCREMENTAL INCOME</t>
  </si>
  <si>
    <t>727 - CLERK LONGEVITY</t>
  </si>
  <si>
    <t>796 - 1963 LONGEVITY</t>
  </si>
  <si>
    <t>745 - SHIFT PREMIUM .50</t>
  </si>
  <si>
    <t>855 - STANDBY CIVIL CITY</t>
  </si>
  <si>
    <t>108 - UTILITY WORKERS</t>
  </si>
  <si>
    <t>Pipefitter</t>
  </si>
  <si>
    <t>101 - REGULAR HOURLY</t>
  </si>
  <si>
    <t>110 - SPEC RATE</t>
  </si>
  <si>
    <t>765 - 108 SUPPLEMENTAL INCOME</t>
  </si>
  <si>
    <t>768 - LONGEVITY</t>
  </si>
  <si>
    <t>770 - 108 LONGEVITY</t>
  </si>
  <si>
    <t>773 - INCENTIVE PAY</t>
  </si>
  <si>
    <t>303 - VACATION HRLY</t>
  </si>
  <si>
    <t>305 - VACATION HOURLY SPECIAL RATE</t>
  </si>
  <si>
    <t>854 - STAND-BY FLAT UTILITY</t>
  </si>
  <si>
    <t>408 - SICK HOURLY</t>
  </si>
  <si>
    <t>411 - SICK SPECIAL RATE</t>
  </si>
  <si>
    <t>950 - RETRO ADJUSTMENT</t>
  </si>
  <si>
    <t>419 - HOLIDAY HOURLY</t>
  </si>
  <si>
    <t>501 - PERSONAL DAY HOURLY</t>
  </si>
  <si>
    <t>507 - BEREAVEMENT HOURLY</t>
  </si>
  <si>
    <t>856 - MISC ADJUSTMENT</t>
  </si>
  <si>
    <t>Project Supervisor</t>
  </si>
  <si>
    <t>506 - BEREAVEMENT SALARY</t>
  </si>
  <si>
    <t>ELEC - ELECTED OFFICIALS</t>
  </si>
  <si>
    <t>Project GIS Analyst</t>
  </si>
  <si>
    <t>580 - COMP TIME EARNED 1.0</t>
  </si>
  <si>
    <t>585 - COMP TIME USED SAL</t>
  </si>
  <si>
    <t>907 - UNPAID SALARY HOURS</t>
  </si>
  <si>
    <t>1963 - UNITED AUTO WORKERS</t>
  </si>
  <si>
    <t>115 - SALARY SPEC RATE</t>
  </si>
  <si>
    <t>430 - FMLA SICK SALARY</t>
  </si>
  <si>
    <t>TE - TEMPORARY</t>
  </si>
  <si>
    <t>102 - PARTTIME &amp; TEMP BASE</t>
  </si>
  <si>
    <t>901 - UNPAID HOURS</t>
  </si>
  <si>
    <t>EXEC - EXECUTIVE</t>
  </si>
  <si>
    <t>Clerk</t>
  </si>
  <si>
    <t>407 - JURY DUTY SALARY</t>
  </si>
  <si>
    <t>General Foreman</t>
  </si>
  <si>
    <t>Meter Service</t>
  </si>
  <si>
    <t>716 - 108 INCLEMENT WEATHER</t>
  </si>
  <si>
    <t>PT - PART TIME</t>
  </si>
  <si>
    <t>Administrative Secretary</t>
  </si>
  <si>
    <t>911 - DISIPLINARY HOURLY</t>
  </si>
  <si>
    <t>Utility Person</t>
  </si>
  <si>
    <t>776 - MEETINGS HOURLY</t>
  </si>
  <si>
    <t>794 - SEMINARS HOURLY</t>
  </si>
  <si>
    <t>Leak Foreman</t>
  </si>
  <si>
    <t>CON - CONTRACT EMPLOYEE</t>
  </si>
  <si>
    <t>306 - ACCRUED VACATION</t>
  </si>
  <si>
    <t>410 - ACCRUED SK</t>
  </si>
  <si>
    <t>906 - DISIPLINARY SALARY HOURS</t>
  </si>
  <si>
    <t>Line Foreman</t>
  </si>
  <si>
    <t>Locator</t>
  </si>
  <si>
    <t>902 - WORKERS COMP SALARIED</t>
  </si>
  <si>
    <t>Storeroom</t>
  </si>
  <si>
    <t>908 - FMLA UNPAID SALARY</t>
  </si>
  <si>
    <t>Investigator</t>
  </si>
  <si>
    <t>Equipment Operator</t>
  </si>
  <si>
    <t>Director</t>
  </si>
  <si>
    <t>222 - COMP TIME USED</t>
  </si>
  <si>
    <t>909 - FMLA UNPAID HOURLY</t>
  </si>
  <si>
    <t>Control Operator</t>
  </si>
  <si>
    <t>Meter Service Foreman</t>
  </si>
  <si>
    <t>Meter Repair</t>
  </si>
  <si>
    <t>432 - FMLA SICK HOURLY</t>
  </si>
  <si>
    <t>433 - FMLA VAC HOURLY</t>
  </si>
  <si>
    <t>Clerk/Office</t>
  </si>
  <si>
    <t>418 - JURY HOURLY</t>
  </si>
  <si>
    <t>Pipefitter Helper</t>
  </si>
  <si>
    <t>437 - FMLA PERSONAL HOURLY</t>
  </si>
  <si>
    <t>unknown</t>
  </si>
  <si>
    <t>2023 Actuals</t>
  </si>
  <si>
    <t>2023 Actuals Adjusted for Annualization and Raises</t>
  </si>
  <si>
    <t>Retroactive</t>
  </si>
  <si>
    <t>Longevity</t>
  </si>
  <si>
    <t>2024 Actuals</t>
  </si>
  <si>
    <t>2024 Gross Earnings</t>
  </si>
  <si>
    <t>2024 Base Hours</t>
  </si>
  <si>
    <t>2024 Base Pay</t>
  </si>
  <si>
    <t>2024 Over Time</t>
  </si>
  <si>
    <t>2024 Incentives</t>
  </si>
  <si>
    <t>2024 Actuals More (Less)</t>
  </si>
  <si>
    <t>Increase in # Base Hours</t>
  </si>
  <si>
    <t>Change in Annualized Pay</t>
  </si>
  <si>
    <t>3% Increase</t>
  </si>
  <si>
    <t>Pro forma more than actuals</t>
  </si>
  <si>
    <t>Change In Incentives</t>
  </si>
  <si>
    <t>Union 108</t>
  </si>
  <si>
    <t>Labor (0)</t>
  </si>
  <si>
    <t>Non-Union</t>
  </si>
  <si>
    <t>Table CFS-7</t>
  </si>
  <si>
    <t xml:space="preserve">Pipefitter </t>
  </si>
  <si>
    <t>Annualization Adjustment</t>
  </si>
  <si>
    <t>Union 1963</t>
  </si>
  <si>
    <t>Meter Service Person</t>
  </si>
  <si>
    <t xml:space="preserve">Non-Union </t>
  </si>
  <si>
    <t>Store Romm Helper</t>
  </si>
  <si>
    <t>Opeartor</t>
  </si>
  <si>
    <t>Distribution</t>
  </si>
  <si>
    <t>Control Center</t>
  </si>
  <si>
    <t>Meter Repair Person</t>
  </si>
  <si>
    <t>Utility Electrican</t>
  </si>
  <si>
    <t>Well Maintenance</t>
  </si>
  <si>
    <t>Equipment Mechanic</t>
  </si>
  <si>
    <t>Meter Reading Department</t>
  </si>
  <si>
    <t>Meter Person B</t>
  </si>
  <si>
    <t>Page 1 of 9</t>
  </si>
  <si>
    <t>Payroll Data</t>
  </si>
  <si>
    <t>Allocation</t>
  </si>
  <si>
    <t>Vlookup Table</t>
  </si>
  <si>
    <t>Sum of # of Pays</t>
  </si>
  <si>
    <t>Sum of 2023 Gross Earnings</t>
  </si>
  <si>
    <t>Sum of Hours</t>
  </si>
  <si>
    <t>ALBEA, DAVID L</t>
  </si>
  <si>
    <t>ALLMAN, ANNA L</t>
  </si>
  <si>
    <t>ALLMAN, JOHN D</t>
  </si>
  <si>
    <t>ANDERSON, PATRICIA L</t>
  </si>
  <si>
    <t>ARCHER, DONOVAN C</t>
  </si>
  <si>
    <t>ASHLEY, SHEILA D</t>
  </si>
  <si>
    <t>BAKER, DOSS</t>
  </si>
  <si>
    <t>BARCLAY, STANLEY A</t>
  </si>
  <si>
    <t>BAYSINGER, ASHLEY P</t>
  </si>
  <si>
    <t>BELL, JONATHAN K</t>
  </si>
  <si>
    <t>BENGE, SPENSER G</t>
  </si>
  <si>
    <t>BIBBS, ANTONY T</t>
  </si>
  <si>
    <t>BIRGE, MARCIA K</t>
  </si>
  <si>
    <t>BOSTIC, JOHN</t>
  </si>
  <si>
    <t>BRODERICK, SUZAN</t>
  </si>
  <si>
    <t>BRODERICK, THOMAS J</t>
  </si>
  <si>
    <t>BRODERICK-SUMMERS, CYNTHIA</t>
  </si>
  <si>
    <t>BROWN, JACK T</t>
  </si>
  <si>
    <t>CAMPBELL, DONNA J</t>
  </si>
  <si>
    <t>CASTOR, CARLA S</t>
  </si>
  <si>
    <t>CASTOR, JOSHUA A</t>
  </si>
  <si>
    <t>CHAPMAN, MARY A</t>
  </si>
  <si>
    <t>CLARK, MATTHEW J</t>
  </si>
  <si>
    <t>CLAY, EILEEN M</t>
  </si>
  <si>
    <t>CLENDENEN, PAMELA S</t>
  </si>
  <si>
    <t>COON, SHAUNDA C</t>
  </si>
  <si>
    <t>COX, TAYLOR L</t>
  </si>
  <si>
    <t>CRADDOCK, FELECIA N</t>
  </si>
  <si>
    <t>CRULL, KATIE R</t>
  </si>
  <si>
    <t>CRUMES, REBECCA K</t>
  </si>
  <si>
    <t>CULP, JENNIFER L</t>
  </si>
  <si>
    <t>DAVIS, PATRICIA P</t>
  </si>
  <si>
    <t>DAVIS-SIMMONS, TRINNA M</t>
  </si>
  <si>
    <t>Project GIS Analysit</t>
  </si>
  <si>
    <t>DIXON TATUM, TAMLA Y</t>
  </si>
  <si>
    <t>DIXON, OLLIE H</t>
  </si>
  <si>
    <t>DODD, MICHELLE LYNN</t>
  </si>
  <si>
    <t>EICKS, DAVID W</t>
  </si>
  <si>
    <t>ELLER, ARIANE</t>
  </si>
  <si>
    <t>ELLIOTT, DUSTIN M</t>
  </si>
  <si>
    <t>FEDOR, MATTHEW S</t>
  </si>
  <si>
    <t>FERGUSON, DONALD F</t>
  </si>
  <si>
    <t>FISHER, MICHAEL T</t>
  </si>
  <si>
    <t>FISHER, TODD M</t>
  </si>
  <si>
    <t>FLOWERS, MALISSA A</t>
  </si>
  <si>
    <t>FREEMAN, ASHELY L</t>
  </si>
  <si>
    <t>FREEMAN, JEFFREY D</t>
  </si>
  <si>
    <t>FRENCH, LESLIE L</t>
  </si>
  <si>
    <t>GARDNER, PEARL M</t>
  </si>
  <si>
    <t>GARRETT, GAYLA J</t>
  </si>
  <si>
    <t>GREEN, CHESTER L</t>
  </si>
  <si>
    <t>GREER, GERALD J</t>
  </si>
  <si>
    <t>GRINER, BETH ANN</t>
  </si>
  <si>
    <t>GRISWOLD, JULIE</t>
  </si>
  <si>
    <t>HANCHER, MARY ROSE</t>
  </si>
  <si>
    <t>HARRINGTON, STEPHEN D</t>
  </si>
  <si>
    <t>HARTER, NICOLAS D</t>
  </si>
  <si>
    <t>HARTLEY, LINDA D</t>
  </si>
  <si>
    <t>HILLIGOSS, STEPHANIE J</t>
  </si>
  <si>
    <t>HINSON, JOHNICA C</t>
  </si>
  <si>
    <t>HOOVER, KADE NEAL</t>
  </si>
  <si>
    <t>HOUSE, MATTHEW J</t>
  </si>
  <si>
    <t>HUGHES, MARK E</t>
  </si>
  <si>
    <t>HUGHES, MICHAEL E</t>
  </si>
  <si>
    <t>HUGHES, RHONDA D</t>
  </si>
  <si>
    <t>JOHNSON, STACEY L</t>
  </si>
  <si>
    <t>JONES, KYLE D</t>
  </si>
  <si>
    <t>JONES, LISA M</t>
  </si>
  <si>
    <t>JONES, ROBERT J</t>
  </si>
  <si>
    <t>JOY, BARBARA J</t>
  </si>
  <si>
    <t>KEESLING, JACK R</t>
  </si>
  <si>
    <t>KOSGEI, SHANDI L</t>
  </si>
  <si>
    <t>KREEGAR, JONATHAN W</t>
  </si>
  <si>
    <t>LANANE, TIMOTHY S</t>
  </si>
  <si>
    <t>LAND, KIMBERLY A</t>
  </si>
  <si>
    <t>LAWLER, JOSEPH MATTHEW</t>
  </si>
  <si>
    <t>LEBRON, LISA M</t>
  </si>
  <si>
    <t>LITTERAL, CHRIS</t>
  </si>
  <si>
    <t>LONG, ROBERT T</t>
  </si>
  <si>
    <t>MCALISTER, EMILY J</t>
  </si>
  <si>
    <t>MCATEE, JEREMIAH E</t>
  </si>
  <si>
    <t>MCCLENDON, KAREN J</t>
  </si>
  <si>
    <t>MCGONIGLE, JOHN C</t>
  </si>
  <si>
    <t>MCKEE, NEAL L</t>
  </si>
  <si>
    <t>MCMILLEN, JILL</t>
  </si>
  <si>
    <t>MILES, SHAMARIE A</t>
  </si>
  <si>
    <t>MOORE, JAMIE M</t>
  </si>
  <si>
    <t>MOORE, MARY E</t>
  </si>
  <si>
    <t>MUIR, BRANDON C</t>
  </si>
  <si>
    <t>MUIR, RICK O</t>
  </si>
  <si>
    <t>MURPHY, LAKISHA R</t>
  </si>
  <si>
    <t>NEWMAN, JOSEPH</t>
  </si>
  <si>
    <t>NEWMAN, TERESA L</t>
  </si>
  <si>
    <t>NOETHTICH, JAMES E</t>
  </si>
  <si>
    <t>NORRIS, MECCA L</t>
  </si>
  <si>
    <t>NUCE, MATTHEW M</t>
  </si>
  <si>
    <t>NUNN, TONI M</t>
  </si>
  <si>
    <t>NUNN, TONYA L</t>
  </si>
  <si>
    <t>O'BRIAN, PAT M</t>
  </si>
  <si>
    <t>OCKOMON, DIANA K</t>
  </si>
  <si>
    <t>OCKOMON, JACOB N</t>
  </si>
  <si>
    <t>O'NEILL, LYNDA C</t>
  </si>
  <si>
    <t>PERRY, GARY M</t>
  </si>
  <si>
    <t>PHILLIPS, APRIL K</t>
  </si>
  <si>
    <t>PODLEJSKI, PAUL J</t>
  </si>
  <si>
    <t>PULLIAM, BRENDA D</t>
  </si>
  <si>
    <t>QUINLAN, DOROTHY</t>
  </si>
  <si>
    <t>REESE, FRED L</t>
  </si>
  <si>
    <t>REISINGER, BENJAMIN M</t>
  </si>
  <si>
    <t>RHULE, JOHN W</t>
  </si>
  <si>
    <t>RICHARDSON, JOHN D</t>
  </si>
  <si>
    <t>RIDDLE, SHARON K</t>
  </si>
  <si>
    <t>ROBINETTE, DOROTHY R</t>
  </si>
  <si>
    <t>ROY, HEITER ANN</t>
  </si>
  <si>
    <t>SAYLOR, AMANDA R</t>
  </si>
  <si>
    <t>SCHIBLE, JENNIFER L</t>
  </si>
  <si>
    <t>SCHUCKERS, BRIAN D</t>
  </si>
  <si>
    <t>SEARS, JANICE M</t>
  </si>
  <si>
    <t>SHANNON, ERIC J</t>
  </si>
  <si>
    <t>SKIPPER, CYNTHIA C</t>
  </si>
  <si>
    <t>SOARES, JON</t>
  </si>
  <si>
    <t>SPARKS, ANNETTE</t>
  </si>
  <si>
    <t>STEBBINS, DUSTIN M</t>
  </si>
  <si>
    <t>STEPHENSON, LANCE T</t>
  </si>
  <si>
    <t>STEVENS, JAMES A</t>
  </si>
  <si>
    <t>STIRES, TIMOTHY MARK</t>
  </si>
  <si>
    <t>STOGNER, BRITTANY A</t>
  </si>
  <si>
    <t>SWAIN, TERESA I</t>
  </si>
  <si>
    <t>SWALLOWS, JOSEPH P</t>
  </si>
  <si>
    <t>SYMMES, LARRY R</t>
  </si>
  <si>
    <t>THOMPSON, VELDON G</t>
  </si>
  <si>
    <t>TRAYLOR, NANCY L</t>
  </si>
  <si>
    <t>TROXELL, TERRY M</t>
  </si>
  <si>
    <t>VANDUYN, SANDRA J</t>
  </si>
  <si>
    <t>WALTERS, JACINDA L</t>
  </si>
  <si>
    <t>WARRUM, CONNIE M</t>
  </si>
  <si>
    <t>WEST, SHEILA</t>
  </si>
  <si>
    <t>WHITE, ADA C</t>
  </si>
  <si>
    <t>WHITHAM, DOUGLAS A</t>
  </si>
  <si>
    <t>WRIGHT, JONATHON</t>
  </si>
  <si>
    <t>Grand Total</t>
  </si>
  <si>
    <t>Equipement Operator</t>
  </si>
  <si>
    <t>Part-time</t>
  </si>
  <si>
    <t>2024 Payroll Data</t>
  </si>
  <si>
    <t>Pay Code</t>
  </si>
  <si>
    <t>Sum of Gross Earnings</t>
  </si>
  <si>
    <t>401 - TIME BANK UAW SICK</t>
  </si>
  <si>
    <t>405 - ACCRUED SICK CIVIL CITY</t>
  </si>
  <si>
    <t>420 - HOLIDAY SPECIAL RATE</t>
  </si>
  <si>
    <t>431 - FMLA VAC SALARY</t>
  </si>
  <si>
    <t>436 - FMLA PERSONAL SALARY</t>
  </si>
  <si>
    <t>502 - PERSONAL DAY HOURLY SPECIAL RT</t>
  </si>
  <si>
    <t>586 - COMP TIME USED HRLY</t>
  </si>
  <si>
    <t>Base Time</t>
  </si>
  <si>
    <t>2023 Tank Maintenance Journals</t>
  </si>
  <si>
    <t>NARUC Account</t>
  </si>
  <si>
    <t>ACCOUNT DESC</t>
  </si>
  <si>
    <t>YR/PR</t>
  </si>
  <si>
    <t>Year</t>
  </si>
  <si>
    <t>JNL</t>
  </si>
  <si>
    <t>EFF DATE</t>
  </si>
  <si>
    <t>SRC</t>
  </si>
  <si>
    <t>REF1</t>
  </si>
  <si>
    <t>REF2</t>
  </si>
  <si>
    <t>REF3</t>
  </si>
  <si>
    <t>REF4</t>
  </si>
  <si>
    <t>COMMENT</t>
  </si>
  <si>
    <t>VENDOR CODE</t>
  </si>
  <si>
    <t>JOURNAL AMOUNT</t>
  </si>
  <si>
    <t xml:space="preserve">    23/ 1</t>
  </si>
  <si>
    <t>317</t>
  </si>
  <si>
    <t>01/09/23</t>
  </si>
  <si>
    <t>API</t>
  </si>
  <si>
    <t>015668</t>
  </si>
  <si>
    <t/>
  </si>
  <si>
    <t>347221</t>
  </si>
  <si>
    <t>W TA011723</t>
  </si>
  <si>
    <t>ELEVATED TANK MONTHLY</t>
  </si>
  <si>
    <t>UTILITY SERVICE CO I</t>
  </si>
  <si>
    <t>PET Adjustment</t>
  </si>
  <si>
    <t xml:space="preserve">    23/ 2</t>
  </si>
  <si>
    <t>231</t>
  </si>
  <si>
    <t>02/03/23</t>
  </si>
  <si>
    <t>607</t>
  </si>
  <si>
    <t>349053</t>
  </si>
  <si>
    <t>W TA021423</t>
  </si>
  <si>
    <t>MONTHLY TANK CLEANING</t>
  </si>
  <si>
    <t xml:space="preserve">    23/ 3</t>
  </si>
  <si>
    <t>3</t>
  </si>
  <si>
    <t>03/01/23</t>
  </si>
  <si>
    <t>661</t>
  </si>
  <si>
    <t>349901</t>
  </si>
  <si>
    <t>W TY022823</t>
  </si>
  <si>
    <t>TANK CLEANIN G</t>
  </si>
  <si>
    <t>1375</t>
  </si>
  <si>
    <t>03/24/23</t>
  </si>
  <si>
    <t>874</t>
  </si>
  <si>
    <t>351783</t>
  </si>
  <si>
    <t>W TA040423</t>
  </si>
  <si>
    <t>351785</t>
  </si>
  <si>
    <t>351788</t>
  </si>
  <si>
    <t>351790</t>
  </si>
  <si>
    <t>351791</t>
  </si>
  <si>
    <t>351792</t>
  </si>
  <si>
    <t>351793</t>
  </si>
  <si>
    <t xml:space="preserve">    23/ 4</t>
  </si>
  <si>
    <t>19</t>
  </si>
  <si>
    <t>04/05/23</t>
  </si>
  <si>
    <t>870</t>
  </si>
  <si>
    <t>351826</t>
  </si>
  <si>
    <t>W TY040423</t>
  </si>
  <si>
    <t>681</t>
  </si>
  <si>
    <t>04/26/23</t>
  </si>
  <si>
    <t>974</t>
  </si>
  <si>
    <t>352907</t>
  </si>
  <si>
    <t>W TL042523</t>
  </si>
  <si>
    <t>TANK MAINTENENCE</t>
  </si>
  <si>
    <t xml:space="preserve">    23/ 5</t>
  </si>
  <si>
    <t>766</t>
  </si>
  <si>
    <t>05/24/23</t>
  </si>
  <si>
    <t>1145</t>
  </si>
  <si>
    <t>354474</t>
  </si>
  <si>
    <t>W TY052323</t>
  </si>
  <si>
    <t>TANK CLEANING</t>
  </si>
  <si>
    <t xml:space="preserve">    23/ 6</t>
  </si>
  <si>
    <t>854</t>
  </si>
  <si>
    <t>06/28/23</t>
  </si>
  <si>
    <t>356280</t>
  </si>
  <si>
    <t>W TY062723</t>
  </si>
  <si>
    <t xml:space="preserve">    23/ 8</t>
  </si>
  <si>
    <t>72</t>
  </si>
  <si>
    <t>08/09/23</t>
  </si>
  <si>
    <t>1564</t>
  </si>
  <si>
    <t>358399</t>
  </si>
  <si>
    <t>W TA080823</t>
  </si>
  <si>
    <t xml:space="preserve">    23/ 9</t>
  </si>
  <si>
    <t>1183</t>
  </si>
  <si>
    <t>09/27/23</t>
  </si>
  <si>
    <t>1814</t>
  </si>
  <si>
    <t>361051</t>
  </si>
  <si>
    <t>W TA092723</t>
  </si>
  <si>
    <t>ELEVATED TANK CLEANING</t>
  </si>
  <si>
    <t xml:space="preserve">    23/11</t>
  </si>
  <si>
    <t>10</t>
  </si>
  <si>
    <t>11/01/23</t>
  </si>
  <si>
    <t>1980</t>
  </si>
  <si>
    <t>362497</t>
  </si>
  <si>
    <t>W WT110123</t>
  </si>
  <si>
    <t>369</t>
  </si>
  <si>
    <t>11/09/23</t>
  </si>
  <si>
    <t>363141</t>
  </si>
  <si>
    <t>W WT110923</t>
  </si>
  <si>
    <t xml:space="preserve">    23/12</t>
  </si>
  <si>
    <t>1257</t>
  </si>
  <si>
    <t>12/20/23</t>
  </si>
  <si>
    <t>002439</t>
  </si>
  <si>
    <t>365108</t>
  </si>
  <si>
    <t>W WT122023</t>
  </si>
  <si>
    <t>MONTHLY TANK</t>
  </si>
  <si>
    <t>UTILITY SUPPLY OF AM</t>
  </si>
  <si>
    <t>DR 2-12</t>
  </si>
  <si>
    <t>Contract Amount</t>
  </si>
  <si>
    <t>Template - Municipal Utility</t>
  </si>
  <si>
    <t>Inputs</t>
  </si>
  <si>
    <t>Manual Input</t>
  </si>
  <si>
    <t>Calculation</t>
  </si>
  <si>
    <t>Utility Name</t>
  </si>
  <si>
    <t>City of Anderson</t>
  </si>
  <si>
    <t>Cause Number</t>
  </si>
  <si>
    <t>Test Year Ending</t>
  </si>
  <si>
    <t>December 31</t>
  </si>
  <si>
    <t>Workpaper Name</t>
  </si>
  <si>
    <t>CFS</t>
  </si>
  <si>
    <t>Utility Receipts Tax Rate</t>
  </si>
  <si>
    <t>As of 07/01/2024</t>
  </si>
  <si>
    <t>Updated every September by IDOR</t>
  </si>
  <si>
    <t>Depreciation or E&amp;R</t>
  </si>
  <si>
    <t>Cell C15 input codes</t>
  </si>
  <si>
    <t>Composite Depreciation Rates:</t>
  </si>
  <si>
    <t>Depreciation Rate</t>
  </si>
  <si>
    <t>Water</t>
  </si>
  <si>
    <t>Sewer</t>
  </si>
  <si>
    <t>Treatment Plant</t>
  </si>
  <si>
    <t>No Treatment Plant</t>
  </si>
  <si>
    <t>Interest Rate</t>
  </si>
  <si>
    <t>Cell C18 input codes</t>
  </si>
  <si>
    <t>Current Rate for 4,000 Gallons</t>
  </si>
  <si>
    <t>Gallons</t>
  </si>
  <si>
    <t>Current Rate for 534.722 cubic feet</t>
  </si>
  <si>
    <t>Cubic Feet</t>
  </si>
  <si>
    <t>Bad Debt %</t>
  </si>
  <si>
    <t>Based on test year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</si>
</sst>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%"/>
    <numFmt numFmtId="167" formatCode="0.0000000%"/>
    <numFmt numFmtId="168" formatCode="_(* #,##0.000_);_(* \(#,##0.000\);_(* &quot;-&quot;??_);_(@_)"/>
    <numFmt numFmtId="169" formatCode="_(&quot;$&quot;* #,##0.0_);_(&quot;$&quot;* \(#,##0.0\);_(&quot;$&quot;* &quot;-&quot;??_);_(@_)"/>
    <numFmt numFmtId="170" formatCode="_(&quot;$&quot;* #,##0.000_);_(&quot;$&quot;* \(#,##0.000\);_(&quot;$&quot;* &quot;-&quot;??_);_(@_)"/>
    <numFmt numFmtId="171" formatCode="0.000%"/>
    <numFmt numFmtId="172" formatCode="0.0%"/>
    <numFmt numFmtId="173" formatCode="0.00000000000000%"/>
    <numFmt numFmtId="174" formatCode="_(&quot;$&quot;* #,##0.0000_);_(&quot;$&quot;* \(#,##0.0000\);_(&quot;$&quot;* &quot;-&quot;??_);_(@_)"/>
  </numFmts>
  <fonts count="4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sz val="9"/>
      <name val="Times New Roman"/>
      <family val="1"/>
    </font>
    <font>
      <b/>
      <sz val="12"/>
      <color rgb="FFFFFF00"/>
      <name val="Times New Roman"/>
      <family val="1"/>
    </font>
    <font>
      <b/>
      <i/>
      <u/>
      <sz val="12"/>
      <name val="Times New Roman"/>
      <family val="1"/>
    </font>
    <font>
      <sz val="12"/>
      <color rgb="FFFF0000"/>
      <name val="Times New Roman"/>
      <family val="1"/>
    </font>
    <font>
      <sz val="11"/>
      <name val="Book Antiqua"/>
      <family val="1"/>
    </font>
    <font>
      <u/>
      <sz val="12"/>
      <color theme="10"/>
      <name val="Times New Roman"/>
      <family val="1"/>
    </font>
    <font>
      <u/>
      <sz val="12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i/>
      <sz val="10"/>
      <name val="Arial"/>
      <family val="2"/>
    </font>
    <font>
      <b/>
      <sz val="11"/>
      <color theme="1"/>
      <name val="Times New Roman"/>
      <family val="1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18"/>
      <name val="Times New Roman"/>
      <family val="1"/>
    </font>
    <font>
      <b/>
      <u/>
      <sz val="14"/>
      <name val="Times New Roman"/>
      <family val="1"/>
    </font>
    <font>
      <i/>
      <u/>
      <sz val="11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49998474074526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1" fontId="20" fillId="0" borderId="0"/>
    <xf numFmtId="0" fontId="21" fillId="0" borderId="0" applyNumberFormat="0" applyFill="0" applyBorder="0" applyAlignment="0" applyProtection="0"/>
    <xf numFmtId="0" fontId="23" fillId="0" borderId="0"/>
    <xf numFmtId="44" fontId="20" fillId="0" borderId="0" applyFont="0" applyFill="0" applyBorder="0" applyAlignment="0" applyProtection="0"/>
  </cellStyleXfs>
  <cellXfs count="49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165" fontId="1" fillId="0" borderId="0" xfId="1" applyNumberFormat="1" applyFont="1"/>
    <xf numFmtId="0" fontId="8" fillId="0" borderId="0" xfId="0" applyFont="1"/>
    <xf numFmtId="165" fontId="1" fillId="0" borderId="0" xfId="0" applyNumberFormat="1" applyFont="1"/>
    <xf numFmtId="0" fontId="3" fillId="0" borderId="0" xfId="0" applyFont="1"/>
    <xf numFmtId="0" fontId="5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166" fontId="0" fillId="3" borderId="0" xfId="4" applyNumberFormat="1" applyFont="1" applyFill="1"/>
    <xf numFmtId="0" fontId="8" fillId="4" borderId="0" xfId="0" applyFont="1" applyFill="1"/>
    <xf numFmtId="0" fontId="0" fillId="4" borderId="0" xfId="0" applyFill="1"/>
    <xf numFmtId="165" fontId="0" fillId="0" borderId="0" xfId="1" applyNumberFormat="1" applyFont="1"/>
    <xf numFmtId="165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2" applyNumberFormat="1" applyFont="1"/>
    <xf numFmtId="0" fontId="0" fillId="0" borderId="4" xfId="0" applyBorder="1"/>
    <xf numFmtId="165" fontId="0" fillId="0" borderId="6" xfId="1" applyNumberFormat="1" applyFon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0" fontId="0" fillId="0" borderId="0" xfId="4" applyNumberFormat="1" applyFont="1" applyBorder="1"/>
    <xf numFmtId="10" fontId="0" fillId="0" borderId="6" xfId="4" applyNumberFormat="1" applyFont="1" applyBorder="1"/>
    <xf numFmtId="10" fontId="0" fillId="0" borderId="8" xfId="4" applyNumberFormat="1" applyFont="1" applyBorder="1"/>
    <xf numFmtId="10" fontId="0" fillId="0" borderId="9" xfId="4" applyNumberFormat="1" applyFont="1" applyBorder="1"/>
    <xf numFmtId="44" fontId="0" fillId="2" borderId="0" xfId="2" applyFont="1" applyFill="1"/>
    <xf numFmtId="164" fontId="1" fillId="0" borderId="0" xfId="2" applyNumberFormat="1" applyFont="1" applyFill="1"/>
    <xf numFmtId="165" fontId="1" fillId="0" borderId="0" xfId="1" applyNumberFormat="1" applyFont="1" applyFill="1"/>
    <xf numFmtId="165" fontId="1" fillId="0" borderId="2" xfId="1" applyNumberFormat="1" applyFont="1" applyFill="1" applyBorder="1"/>
    <xf numFmtId="10" fontId="1" fillId="0" borderId="3" xfId="4" applyNumberFormat="1" applyFont="1" applyFill="1" applyBorder="1"/>
    <xf numFmtId="164" fontId="0" fillId="0" borderId="0" xfId="2" applyNumberFormat="1" applyFont="1" applyFill="1"/>
    <xf numFmtId="165" fontId="0" fillId="0" borderId="0" xfId="1" applyNumberFormat="1" applyFont="1" applyFill="1"/>
    <xf numFmtId="165" fontId="1" fillId="0" borderId="12" xfId="1" applyNumberFormat="1" applyFont="1" applyFill="1" applyBorder="1"/>
    <xf numFmtId="164" fontId="0" fillId="0" borderId="3" xfId="2" applyNumberFormat="1" applyFont="1" applyFill="1" applyBorder="1"/>
    <xf numFmtId="0" fontId="1" fillId="2" borderId="0" xfId="0" applyFont="1" applyFill="1"/>
    <xf numFmtId="0" fontId="11" fillId="0" borderId="0" xfId="3"/>
    <xf numFmtId="164" fontId="1" fillId="0" borderId="3" xfId="2" applyNumberFormat="1" applyFont="1" applyFill="1" applyBorder="1"/>
    <xf numFmtId="165" fontId="0" fillId="0" borderId="1" xfId="1" applyNumberFormat="1" applyFont="1" applyBorder="1"/>
    <xf numFmtId="165" fontId="1" fillId="0" borderId="0" xfId="1" applyNumberFormat="1" applyFont="1" applyBorder="1"/>
    <xf numFmtId="165" fontId="0" fillId="0" borderId="0" xfId="0" applyNumberFormat="1"/>
    <xf numFmtId="165" fontId="1" fillId="0" borderId="0" xfId="1" applyNumberFormat="1" applyFont="1" applyFill="1" applyBorder="1"/>
    <xf numFmtId="169" fontId="1" fillId="0" borderId="0" xfId="2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6" borderId="0" xfId="0" applyFont="1" applyFill="1"/>
    <xf numFmtId="0" fontId="0" fillId="6" borderId="0" xfId="0" applyFill="1"/>
    <xf numFmtId="165" fontId="0" fillId="0" borderId="0" xfId="1" applyNumberFormat="1" applyFont="1" applyFill="1" applyBorder="1"/>
    <xf numFmtId="0" fontId="0" fillId="0" borderId="1" xfId="0" applyBorder="1"/>
    <xf numFmtId="165" fontId="0" fillId="0" borderId="1" xfId="0" applyNumberFormat="1" applyBorder="1"/>
    <xf numFmtId="43" fontId="0" fillId="0" borderId="0" xfId="1" applyFont="1" applyFill="1"/>
    <xf numFmtId="165" fontId="0" fillId="0" borderId="2" xfId="1" applyNumberFormat="1" applyFont="1" applyFill="1" applyBorder="1"/>
    <xf numFmtId="0" fontId="17" fillId="0" borderId="0" xfId="0" applyFont="1"/>
    <xf numFmtId="167" fontId="1" fillId="5" borderId="0" xfId="4" applyNumberFormat="1" applyFont="1" applyFill="1"/>
    <xf numFmtId="165" fontId="1" fillId="0" borderId="12" xfId="0" applyNumberFormat="1" applyFont="1" applyBorder="1"/>
    <xf numFmtId="164" fontId="1" fillId="0" borderId="5" xfId="2" applyNumberFormat="1" applyFont="1" applyFill="1" applyBorder="1"/>
    <xf numFmtId="164" fontId="1" fillId="0" borderId="0" xfId="2" applyNumberFormat="1" applyFont="1" applyFill="1" applyBorder="1"/>
    <xf numFmtId="164" fontId="1" fillId="0" borderId="6" xfId="2" applyNumberFormat="1" applyFont="1" applyFill="1" applyBorder="1"/>
    <xf numFmtId="165" fontId="1" fillId="0" borderId="5" xfId="1" applyNumberFormat="1" applyFont="1" applyFill="1" applyBorder="1"/>
    <xf numFmtId="165" fontId="1" fillId="0" borderId="6" xfId="1" applyNumberFormat="1" applyFont="1" applyFill="1" applyBorder="1"/>
    <xf numFmtId="165" fontId="1" fillId="0" borderId="19" xfId="1" applyNumberFormat="1" applyFont="1" applyFill="1" applyBorder="1"/>
    <xf numFmtId="165" fontId="1" fillId="0" borderId="20" xfId="1" applyNumberFormat="1" applyFont="1" applyFill="1" applyBorder="1"/>
    <xf numFmtId="164" fontId="1" fillId="0" borderId="21" xfId="2" applyNumberFormat="1" applyFont="1" applyFill="1" applyBorder="1"/>
    <xf numFmtId="164" fontId="1" fillId="0" borderId="22" xfId="2" applyNumberFormat="1" applyFont="1" applyFill="1" applyBorder="1"/>
    <xf numFmtId="165" fontId="1" fillId="0" borderId="7" xfId="1" applyNumberFormat="1" applyFont="1" applyFill="1" applyBorder="1"/>
    <xf numFmtId="165" fontId="1" fillId="0" borderId="8" xfId="1" applyNumberFormat="1" applyFont="1" applyFill="1" applyBorder="1"/>
    <xf numFmtId="165" fontId="1" fillId="0" borderId="9" xfId="1" applyNumberFormat="1" applyFont="1" applyFill="1" applyBorder="1"/>
    <xf numFmtId="0" fontId="1" fillId="0" borderId="11" xfId="0" applyFont="1" applyBorder="1"/>
    <xf numFmtId="0" fontId="2" fillId="0" borderId="23" xfId="0" applyFont="1" applyBorder="1" applyAlignment="1">
      <alignment horizontal="center"/>
    </xf>
    <xf numFmtId="165" fontId="1" fillId="0" borderId="19" xfId="0" applyNumberFormat="1" applyFont="1" applyBorder="1"/>
    <xf numFmtId="165" fontId="1" fillId="0" borderId="20" xfId="0" applyNumberFormat="1" applyFont="1" applyBorder="1"/>
    <xf numFmtId="168" fontId="0" fillId="0" borderId="0" xfId="1" applyNumberFormat="1" applyFont="1" applyFill="1"/>
    <xf numFmtId="44" fontId="0" fillId="0" borderId="0" xfId="2" applyFont="1" applyFill="1"/>
    <xf numFmtId="170" fontId="0" fillId="0" borderId="0" xfId="2" applyNumberFormat="1" applyFont="1" applyFill="1"/>
    <xf numFmtId="12" fontId="0" fillId="0" borderId="0" xfId="0" applyNumberFormat="1"/>
    <xf numFmtId="12" fontId="1" fillId="0" borderId="0" xfId="0" applyNumberFormat="1" applyFont="1"/>
    <xf numFmtId="43" fontId="1" fillId="0" borderId="0" xfId="1" applyFont="1" applyFill="1" applyAlignment="1">
      <alignment horizontal="righ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quotePrefix="1" applyAlignment="1">
      <alignment horizontal="center"/>
    </xf>
    <xf numFmtId="165" fontId="0" fillId="0" borderId="12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5" xfId="1" applyNumberFormat="1" applyFont="1" applyFill="1" applyBorder="1"/>
    <xf numFmtId="165" fontId="0" fillId="0" borderId="6" xfId="1" applyNumberFormat="1" applyFont="1" applyFill="1" applyBorder="1"/>
    <xf numFmtId="165" fontId="0" fillId="0" borderId="13" xfId="1" applyNumberFormat="1" applyFont="1" applyFill="1" applyBorder="1"/>
    <xf numFmtId="165" fontId="0" fillId="0" borderId="14" xfId="1" applyNumberFormat="1" applyFont="1" applyFill="1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2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1" fillId="0" borderId="2" xfId="0" applyFont="1" applyBorder="1"/>
    <xf numFmtId="10" fontId="1" fillId="0" borderId="0" xfId="4" applyNumberFormat="1" applyFont="1" applyFill="1"/>
    <xf numFmtId="0" fontId="1" fillId="0" borderId="0" xfId="4" applyNumberFormat="1" applyFont="1" applyFill="1" applyAlignment="1">
      <alignment horizontal="center"/>
    </xf>
    <xf numFmtId="0" fontId="2" fillId="0" borderId="12" xfId="0" applyFont="1" applyBorder="1" applyAlignment="1">
      <alignment horizontal="center"/>
    </xf>
    <xf numFmtId="44" fontId="1" fillId="0" borderId="0" xfId="2" applyFont="1" applyFill="1" applyBorder="1" applyAlignment="1">
      <alignment horizontal="left"/>
    </xf>
    <xf numFmtId="44" fontId="1" fillId="0" borderId="0" xfId="2" applyFont="1" applyFill="1" applyBorder="1"/>
    <xf numFmtId="0" fontId="1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6" xfId="0" applyBorder="1"/>
    <xf numFmtId="165" fontId="0" fillId="0" borderId="6" xfId="0" applyNumberFormat="1" applyBorder="1"/>
    <xf numFmtId="0" fontId="0" fillId="0" borderId="9" xfId="0" applyBorder="1"/>
    <xf numFmtId="164" fontId="1" fillId="0" borderId="0" xfId="0" applyNumberFormat="1" applyFont="1"/>
    <xf numFmtId="164" fontId="1" fillId="0" borderId="3" xfId="2" applyNumberFormat="1" applyFont="1" applyFill="1" applyBorder="1" applyAlignment="1">
      <alignment horizontal="left" indent="1"/>
    </xf>
    <xf numFmtId="43" fontId="0" fillId="0" borderId="0" xfId="1" applyFont="1"/>
    <xf numFmtId="165" fontId="1" fillId="0" borderId="4" xfId="1" applyNumberFormat="1" applyFont="1" applyBorder="1"/>
    <xf numFmtId="165" fontId="1" fillId="0" borderId="8" xfId="0" applyNumberFormat="1" applyFont="1" applyBorder="1"/>
    <xf numFmtId="165" fontId="1" fillId="0" borderId="1" xfId="1" applyNumberFormat="1" applyFont="1" applyBorder="1"/>
    <xf numFmtId="165" fontId="1" fillId="0" borderId="1" xfId="0" applyNumberFormat="1" applyFont="1" applyBorder="1"/>
    <xf numFmtId="165" fontId="1" fillId="0" borderId="1" xfId="1" applyNumberFormat="1" applyFont="1" applyFill="1" applyBorder="1"/>
    <xf numFmtId="165" fontId="2" fillId="0" borderId="1" xfId="1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5" fontId="2" fillId="0" borderId="16" xfId="1" applyNumberFormat="1" applyFont="1" applyFill="1" applyBorder="1" applyAlignment="1">
      <alignment horizontal="center"/>
    </xf>
    <xf numFmtId="165" fontId="1" fillId="0" borderId="16" xfId="1" applyNumberFormat="1" applyFont="1" applyFill="1" applyBorder="1"/>
    <xf numFmtId="165" fontId="1" fillId="0" borderId="6" xfId="0" applyNumberFormat="1" applyFont="1" applyBorder="1"/>
    <xf numFmtId="0" fontId="7" fillId="0" borderId="7" xfId="0" applyFont="1" applyBorder="1" applyAlignment="1">
      <alignment horizontal="center"/>
    </xf>
    <xf numFmtId="165" fontId="1" fillId="0" borderId="6" xfId="1" applyNumberFormat="1" applyFont="1" applyBorder="1"/>
    <xf numFmtId="165" fontId="1" fillId="7" borderId="0" xfId="0" applyNumberFormat="1" applyFont="1" applyFill="1"/>
    <xf numFmtId="165" fontId="1" fillId="7" borderId="0" xfId="1" applyNumberFormat="1" applyFont="1" applyFill="1" applyBorder="1"/>
    <xf numFmtId="14" fontId="2" fillId="0" borderId="1" xfId="0" applyNumberFormat="1" applyFont="1" applyBorder="1" applyAlignment="1">
      <alignment horizontal="center"/>
    </xf>
    <xf numFmtId="165" fontId="0" fillId="0" borderId="1" xfId="1" applyNumberFormat="1" applyFont="1" applyFill="1" applyBorder="1"/>
    <xf numFmtId="0" fontId="0" fillId="0" borderId="2" xfId="0" applyBorder="1"/>
    <xf numFmtId="164" fontId="0" fillId="0" borderId="0" xfId="0" applyNumberFormat="1"/>
    <xf numFmtId="164" fontId="2" fillId="0" borderId="3" xfId="2" applyNumberFormat="1" applyFont="1" applyFill="1" applyBorder="1"/>
    <xf numFmtId="43" fontId="0" fillId="0" borderId="0" xfId="0" applyNumberFormat="1"/>
    <xf numFmtId="0" fontId="0" fillId="0" borderId="10" xfId="0" applyBorder="1"/>
    <xf numFmtId="0" fontId="0" fillId="0" borderId="11" xfId="0" applyBorder="1"/>
    <xf numFmtId="165" fontId="2" fillId="0" borderId="0" xfId="1" applyNumberFormat="1" applyFont="1"/>
    <xf numFmtId="164" fontId="2" fillId="0" borderId="15" xfId="2" applyNumberFormat="1" applyFont="1" applyBorder="1"/>
    <xf numFmtId="0" fontId="0" fillId="0" borderId="24" xfId="0" applyBorder="1"/>
    <xf numFmtId="43" fontId="0" fillId="0" borderId="2" xfId="1" applyFont="1" applyFill="1" applyBorder="1"/>
    <xf numFmtId="0" fontId="0" fillId="0" borderId="26" xfId="0" applyBorder="1"/>
    <xf numFmtId="43" fontId="0" fillId="0" borderId="0" xfId="1" applyFont="1" applyFill="1" applyBorder="1"/>
    <xf numFmtId="0" fontId="0" fillId="0" borderId="28" xfId="0" applyBorder="1"/>
    <xf numFmtId="43" fontId="0" fillId="0" borderId="1" xfId="1" applyFont="1" applyFill="1" applyBorder="1"/>
    <xf numFmtId="0" fontId="1" fillId="0" borderId="28" xfId="0" applyFont="1" applyBorder="1"/>
    <xf numFmtId="0" fontId="1" fillId="0" borderId="24" xfId="0" applyFont="1" applyBorder="1"/>
    <xf numFmtId="0" fontId="1" fillId="0" borderId="26" xfId="0" applyFont="1" applyBorder="1"/>
    <xf numFmtId="43" fontId="19" fillId="0" borderId="0" xfId="1" applyFont="1" applyFill="1" applyBorder="1"/>
    <xf numFmtId="165" fontId="19" fillId="0" borderId="1" xfId="1" applyNumberFormat="1" applyFont="1" applyBorder="1"/>
    <xf numFmtId="43" fontId="2" fillId="0" borderId="15" xfId="1" applyFont="1" applyBorder="1"/>
    <xf numFmtId="43" fontId="10" fillId="0" borderId="0" xfId="1" applyFont="1" applyAlignment="1">
      <alignment horizontal="center"/>
    </xf>
    <xf numFmtId="43" fontId="10" fillId="0" borderId="1" xfId="1" applyFont="1" applyBorder="1" applyAlignment="1">
      <alignment horizontal="center"/>
    </xf>
    <xf numFmtId="43" fontId="0" fillId="0" borderId="25" xfId="1" applyFont="1" applyBorder="1"/>
    <xf numFmtId="43" fontId="0" fillId="0" borderId="27" xfId="1" applyFont="1" applyBorder="1"/>
    <xf numFmtId="43" fontId="0" fillId="0" borderId="29" xfId="1" applyFont="1" applyBorder="1"/>
    <xf numFmtId="43" fontId="0" fillId="0" borderId="0" xfId="1" applyFont="1" applyBorder="1"/>
    <xf numFmtId="0" fontId="0" fillId="10" borderId="0" xfId="0" applyFill="1"/>
    <xf numFmtId="0" fontId="0" fillId="10" borderId="2" xfId="0" applyFill="1" applyBorder="1"/>
    <xf numFmtId="0" fontId="0" fillId="10" borderId="1" xfId="0" applyFill="1" applyBorder="1"/>
    <xf numFmtId="0" fontId="0" fillId="0" borderId="30" xfId="0" applyBorder="1"/>
    <xf numFmtId="0" fontId="0" fillId="0" borderId="12" xfId="0" applyBorder="1"/>
    <xf numFmtId="0" fontId="0" fillId="10" borderId="12" xfId="0" applyFill="1" applyBorder="1"/>
    <xf numFmtId="43" fontId="0" fillId="0" borderId="12" xfId="1" applyFont="1" applyFill="1" applyBorder="1"/>
    <xf numFmtId="43" fontId="0" fillId="0" borderId="31" xfId="1" applyFont="1" applyBorder="1"/>
    <xf numFmtId="165" fontId="19" fillId="0" borderId="0" xfId="1" applyNumberFormat="1" applyFont="1" applyFill="1" applyBorder="1"/>
    <xf numFmtId="0" fontId="1" fillId="0" borderId="30" xfId="0" applyFont="1" applyBorder="1"/>
    <xf numFmtId="0" fontId="1" fillId="0" borderId="12" xfId="0" applyFont="1" applyBorder="1"/>
    <xf numFmtId="0" fontId="2" fillId="10" borderId="0" xfId="0" applyFont="1" applyFill="1"/>
    <xf numFmtId="164" fontId="2" fillId="0" borderId="15" xfId="2" applyNumberFormat="1" applyFont="1" applyFill="1" applyBorder="1"/>
    <xf numFmtId="165" fontId="2" fillId="0" borderId="15" xfId="2" applyNumberFormat="1" applyFont="1" applyFill="1" applyBorder="1"/>
    <xf numFmtId="0" fontId="1" fillId="9" borderId="0" xfId="0" applyFont="1" applyFill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0" borderId="27" xfId="0" applyFont="1" applyBorder="1"/>
    <xf numFmtId="164" fontId="1" fillId="0" borderId="26" xfId="2" applyNumberFormat="1" applyFont="1" applyFill="1" applyBorder="1"/>
    <xf numFmtId="164" fontId="1" fillId="0" borderId="27" xfId="2" applyNumberFormat="1" applyFont="1" applyFill="1" applyBorder="1"/>
    <xf numFmtId="165" fontId="1" fillId="0" borderId="26" xfId="1" applyNumberFormat="1" applyFont="1" applyFill="1" applyBorder="1"/>
    <xf numFmtId="165" fontId="1" fillId="0" borderId="27" xfId="1" applyNumberFormat="1" applyFont="1" applyFill="1" applyBorder="1"/>
    <xf numFmtId="165" fontId="1" fillId="0" borderId="30" xfId="1" applyNumberFormat="1" applyFont="1" applyFill="1" applyBorder="1"/>
    <xf numFmtId="165" fontId="1" fillId="0" borderId="31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1" fillId="0" borderId="32" xfId="2" applyNumberFormat="1" applyFont="1" applyFill="1" applyBorder="1"/>
    <xf numFmtId="164" fontId="1" fillId="0" borderId="33" xfId="2" applyNumberFormat="1" applyFont="1" applyFill="1" applyBorder="1"/>
    <xf numFmtId="0" fontId="1" fillId="0" borderId="1" xfId="0" applyFont="1" applyBorder="1"/>
    <xf numFmtId="0" fontId="1" fillId="0" borderId="29" xfId="0" applyFont="1" applyBorder="1"/>
    <xf numFmtId="0" fontId="1" fillId="0" borderId="0" xfId="0" applyFont="1" applyAlignment="1">
      <alignment horizontal="left" indent="2"/>
    </xf>
    <xf numFmtId="165" fontId="0" fillId="0" borderId="0" xfId="1" applyNumberFormat="1" applyFont="1" applyFill="1" applyAlignment="1">
      <alignment horizontal="left" indent="2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3"/>
    </xf>
    <xf numFmtId="164" fontId="1" fillId="0" borderId="0" xfId="2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0" fontId="0" fillId="5" borderId="1" xfId="0" applyFill="1" applyBorder="1"/>
    <xf numFmtId="43" fontId="0" fillId="5" borderId="1" xfId="1" applyFont="1" applyFill="1" applyBorder="1"/>
    <xf numFmtId="0" fontId="0" fillId="7" borderId="0" xfId="0" applyFill="1"/>
    <xf numFmtId="43" fontId="0" fillId="7" borderId="0" xfId="1" applyFont="1" applyFill="1" applyBorder="1"/>
    <xf numFmtId="0" fontId="0" fillId="7" borderId="1" xfId="0" applyFill="1" applyBorder="1"/>
    <xf numFmtId="43" fontId="0" fillId="7" borderId="1" xfId="1" applyFont="1" applyFill="1" applyBorder="1"/>
    <xf numFmtId="0" fontId="0" fillId="8" borderId="0" xfId="0" applyFill="1"/>
    <xf numFmtId="43" fontId="0" fillId="8" borderId="0" xfId="1" applyFont="1" applyFill="1" applyBorder="1"/>
    <xf numFmtId="165" fontId="1" fillId="5" borderId="0" xfId="1" applyNumberFormat="1" applyFont="1" applyFill="1" applyBorder="1"/>
    <xf numFmtId="165" fontId="1" fillId="8" borderId="0" xfId="1" applyNumberFormat="1" applyFont="1" applyFill="1" applyBorder="1"/>
    <xf numFmtId="43" fontId="1" fillId="0" borderId="0" xfId="0" applyNumberFormat="1" applyFont="1"/>
    <xf numFmtId="43" fontId="10" fillId="0" borderId="0" xfId="1" applyFont="1" applyBorder="1" applyAlignment="1">
      <alignment horizontal="center"/>
    </xf>
    <xf numFmtId="43" fontId="2" fillId="0" borderId="0" xfId="1" applyFont="1" applyBorder="1"/>
    <xf numFmtId="0" fontId="22" fillId="0" borderId="0" xfId="6" applyFont="1" applyAlignment="1">
      <alignment vertical="center"/>
    </xf>
    <xf numFmtId="0" fontId="1" fillId="0" borderId="0" xfId="0" quotePrefix="1" applyFont="1" applyAlignment="1">
      <alignment horizontal="center"/>
    </xf>
    <xf numFmtId="0" fontId="17" fillId="0" borderId="0" xfId="0" applyFont="1" applyAlignment="1">
      <alignment vertical="top" wrapText="1"/>
    </xf>
    <xf numFmtId="44" fontId="17" fillId="0" borderId="0" xfId="0" applyNumberFormat="1" applyFont="1" applyAlignment="1">
      <alignment vertical="top" wrapText="1"/>
    </xf>
    <xf numFmtId="16" fontId="1" fillId="2" borderId="0" xfId="0" quotePrefix="1" applyNumberFormat="1" applyFont="1" applyFill="1"/>
    <xf numFmtId="14" fontId="0" fillId="2" borderId="0" xfId="0" applyNumberFormat="1" applyFill="1"/>
    <xf numFmtId="164" fontId="0" fillId="0" borderId="0" xfId="2" applyNumberFormat="1" applyFont="1" applyFill="1" applyBorder="1"/>
    <xf numFmtId="0" fontId="2" fillId="0" borderId="0" xfId="3" applyFont="1"/>
    <xf numFmtId="0" fontId="2" fillId="0" borderId="0" xfId="0" quotePrefix="1" applyFont="1"/>
    <xf numFmtId="164" fontId="1" fillId="0" borderId="15" xfId="2" applyNumberFormat="1" applyFont="1" applyFill="1" applyBorder="1"/>
    <xf numFmtId="0" fontId="1" fillId="0" borderId="0" xfId="0" quotePrefix="1" applyFont="1"/>
    <xf numFmtId="165" fontId="1" fillId="0" borderId="0" xfId="0" quotePrefix="1" applyNumberFormat="1" applyFont="1"/>
    <xf numFmtId="0" fontId="24" fillId="0" borderId="0" xfId="3" applyFont="1" applyAlignment="1">
      <alignment vertical="top"/>
    </xf>
    <xf numFmtId="43" fontId="24" fillId="0" borderId="0" xfId="1" applyFont="1" applyAlignment="1">
      <alignment vertical="top"/>
    </xf>
    <xf numFmtId="0" fontId="25" fillId="0" borderId="0" xfId="0" applyFont="1" applyAlignment="1">
      <alignment vertical="top"/>
    </xf>
    <xf numFmtId="165" fontId="1" fillId="5" borderId="0" xfId="0" applyNumberFormat="1" applyFont="1" applyFill="1"/>
    <xf numFmtId="165" fontId="2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6" fillId="0" borderId="0" xfId="0" applyFont="1"/>
    <xf numFmtId="43" fontId="25" fillId="0" borderId="1" xfId="1" applyFont="1" applyFill="1" applyBorder="1" applyAlignment="1">
      <alignment vertical="top"/>
    </xf>
    <xf numFmtId="0" fontId="1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164" fontId="1" fillId="0" borderId="0" xfId="2" applyNumberFormat="1" applyFont="1" applyAlignment="1">
      <alignment horizontal="center"/>
    </xf>
    <xf numFmtId="44" fontId="0" fillId="0" borderId="0" xfId="0" applyNumberFormat="1"/>
    <xf numFmtId="44" fontId="0" fillId="0" borderId="0" xfId="2" applyFont="1" applyBorder="1"/>
    <xf numFmtId="49" fontId="0" fillId="0" borderId="0" xfId="0" applyNumberFormat="1"/>
    <xf numFmtId="0" fontId="9" fillId="0" borderId="0" xfId="0" applyFont="1"/>
    <xf numFmtId="0" fontId="0" fillId="14" borderId="0" xfId="0" applyFill="1"/>
    <xf numFmtId="49" fontId="0" fillId="0" borderId="0" xfId="0" applyNumberFormat="1" applyAlignment="1">
      <alignment horizontal="center"/>
    </xf>
    <xf numFmtId="0" fontId="0" fillId="5" borderId="0" xfId="0" applyFill="1"/>
    <xf numFmtId="165" fontId="1" fillId="0" borderId="10" xfId="1" applyNumberFormat="1" applyFont="1" applyFill="1" applyBorder="1"/>
    <xf numFmtId="164" fontId="0" fillId="0" borderId="0" xfId="2" applyNumberFormat="1" applyFont="1" applyAlignment="1">
      <alignment horizontal="center"/>
    </xf>
    <xf numFmtId="172" fontId="1" fillId="0" borderId="3" xfId="4" applyNumberFormat="1" applyFont="1" applyFill="1" applyBorder="1"/>
    <xf numFmtId="44" fontId="1" fillId="0" borderId="0" xfId="2" applyFont="1"/>
    <xf numFmtId="17" fontId="0" fillId="0" borderId="0" xfId="0" applyNumberFormat="1"/>
    <xf numFmtId="43" fontId="25" fillId="0" borderId="0" xfId="1" applyFont="1" applyFill="1" applyAlignment="1">
      <alignment vertical="top"/>
    </xf>
    <xf numFmtId="164" fontId="1" fillId="15" borderId="0" xfId="2" applyNumberFormat="1" applyFill="1" applyBorder="1"/>
    <xf numFmtId="164" fontId="1" fillId="16" borderId="0" xfId="2" applyNumberFormat="1" applyFill="1" applyBorder="1"/>
    <xf numFmtId="164" fontId="28" fillId="15" borderId="0" xfId="2" applyNumberFormat="1" applyFont="1" applyFill="1" applyBorder="1"/>
    <xf numFmtId="165" fontId="28" fillId="16" borderId="1" xfId="1" applyNumberFormat="1" applyFont="1" applyFill="1" applyBorder="1"/>
    <xf numFmtId="164" fontId="1" fillId="16" borderId="3" xfId="2" applyNumberFormat="1" applyFill="1" applyBorder="1"/>
    <xf numFmtId="164" fontId="28" fillId="16" borderId="0" xfId="2" applyNumberFormat="1" applyFont="1" applyFill="1" applyBorder="1"/>
    <xf numFmtId="165" fontId="28" fillId="15" borderId="0" xfId="1" applyNumberFormat="1" applyFont="1" applyFill="1" applyBorder="1"/>
    <xf numFmtId="165" fontId="28" fillId="16" borderId="0" xfId="1" applyNumberFormat="1" applyFont="1" applyFill="1" applyBorder="1"/>
    <xf numFmtId="41" fontId="28" fillId="15" borderId="10" xfId="5" applyFont="1" applyFill="1" applyBorder="1"/>
    <xf numFmtId="41" fontId="28" fillId="15" borderId="4" xfId="5" applyFont="1" applyFill="1" applyBorder="1"/>
    <xf numFmtId="164" fontId="1" fillId="15" borderId="4" xfId="2" applyNumberFormat="1" applyFill="1" applyBorder="1"/>
    <xf numFmtId="41" fontId="28" fillId="16" borderId="5" xfId="5" applyFont="1" applyFill="1" applyBorder="1"/>
    <xf numFmtId="41" fontId="28" fillId="16" borderId="0" xfId="5" applyFont="1" applyFill="1"/>
    <xf numFmtId="41" fontId="28" fillId="15" borderId="5" xfId="5" applyFont="1" applyFill="1" applyBorder="1"/>
    <xf numFmtId="41" fontId="28" fillId="15" borderId="0" xfId="5" applyFont="1" applyFill="1"/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5" fontId="29" fillId="15" borderId="5" xfId="5" quotePrefix="1" applyNumberFormat="1" applyFont="1" applyFill="1" applyBorder="1" applyAlignment="1">
      <alignment horizontal="center"/>
    </xf>
    <xf numFmtId="15" fontId="29" fillId="15" borderId="0" xfId="5" quotePrefix="1" applyNumberFormat="1" applyFont="1" applyFill="1" applyAlignment="1">
      <alignment horizontal="center"/>
    </xf>
    <xf numFmtId="41" fontId="30" fillId="15" borderId="0" xfId="5" applyFont="1" applyFill="1" applyAlignment="1">
      <alignment horizontal="center"/>
    </xf>
    <xf numFmtId="49" fontId="28" fillId="16" borderId="5" xfId="5" applyNumberFormat="1" applyFont="1" applyFill="1" applyBorder="1" applyAlignment="1">
      <alignment horizontal="left" indent="1"/>
    </xf>
    <xf numFmtId="49" fontId="28" fillId="15" borderId="5" xfId="5" applyNumberFormat="1" applyFont="1" applyFill="1" applyBorder="1" applyAlignment="1">
      <alignment horizontal="left" indent="1"/>
    </xf>
    <xf numFmtId="41" fontId="31" fillId="15" borderId="5" xfId="5" applyFont="1" applyFill="1" applyBorder="1" applyAlignment="1">
      <alignment horizontal="left" indent="1"/>
    </xf>
    <xf numFmtId="41" fontId="28" fillId="16" borderId="7" xfId="5" applyFont="1" applyFill="1" applyBorder="1" applyAlignment="1">
      <alignment horizontal="left"/>
    </xf>
    <xf numFmtId="41" fontId="28" fillId="16" borderId="8" xfId="5" applyFont="1" applyFill="1" applyBorder="1"/>
    <xf numFmtId="164" fontId="1" fillId="16" borderId="8" xfId="2" applyNumberFormat="1" applyFill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3" fontId="1" fillId="0" borderId="0" xfId="1" applyFont="1"/>
    <xf numFmtId="0" fontId="25" fillId="5" borderId="0" xfId="0" applyFont="1" applyFill="1" applyAlignment="1">
      <alignment vertical="top"/>
    </xf>
    <xf numFmtId="165" fontId="1" fillId="0" borderId="0" xfId="1" applyNumberFormat="1" applyFont="1" applyFill="1" applyAlignment="1">
      <alignment horizontal="left" indent="2"/>
    </xf>
    <xf numFmtId="164" fontId="2" fillId="0" borderId="3" xfId="0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33" fillId="18" borderId="0" xfId="0" applyFont="1" applyFill="1" applyAlignment="1">
      <alignment horizontal="center" wrapText="1"/>
    </xf>
    <xf numFmtId="43" fontId="33" fillId="18" borderId="0" xfId="1" applyFont="1" applyFill="1" applyAlignment="1">
      <alignment horizontal="center" wrapText="1"/>
    </xf>
    <xf numFmtId="0" fontId="27" fillId="0" borderId="0" xfId="0" applyFont="1"/>
    <xf numFmtId="43" fontId="27" fillId="0" borderId="0" xfId="1" applyFont="1" applyFill="1"/>
    <xf numFmtId="43" fontId="27" fillId="0" borderId="0" xfId="0" applyNumberFormat="1" applyFont="1"/>
    <xf numFmtId="43" fontId="27" fillId="12" borderId="0" xfId="1" applyFont="1" applyFill="1"/>
    <xf numFmtId="43" fontId="27" fillId="0" borderId="0" xfId="1" applyFont="1"/>
    <xf numFmtId="0" fontId="27" fillId="12" borderId="0" xfId="0" applyFont="1" applyFill="1"/>
    <xf numFmtId="43" fontId="27" fillId="0" borderId="1" xfId="0" applyNumberFormat="1" applyFont="1" applyBorder="1"/>
    <xf numFmtId="43" fontId="34" fillId="8" borderId="0" xfId="1" applyFont="1" applyFill="1" applyAlignment="1">
      <alignment horizontal="center" wrapText="1"/>
    </xf>
    <xf numFmtId="43" fontId="27" fillId="8" borderId="0" xfId="1" applyFont="1" applyFill="1"/>
    <xf numFmtId="0" fontId="27" fillId="8" borderId="0" xfId="0" applyFont="1" applyFill="1"/>
    <xf numFmtId="43" fontId="27" fillId="7" borderId="0" xfId="1" applyFont="1" applyFill="1"/>
    <xf numFmtId="43" fontId="34" fillId="12" borderId="1" xfId="1" applyFont="1" applyFill="1" applyBorder="1" applyAlignment="1">
      <alignment horizontal="center" wrapText="1"/>
    </xf>
    <xf numFmtId="43" fontId="34" fillId="8" borderId="1" xfId="1" applyFont="1" applyFill="1" applyBorder="1" applyAlignment="1">
      <alignment horizontal="center" wrapText="1"/>
    </xf>
    <xf numFmtId="43" fontId="34" fillId="7" borderId="1" xfId="1" applyFont="1" applyFill="1" applyBorder="1" applyAlignment="1">
      <alignment horizontal="center" wrapText="1"/>
    </xf>
    <xf numFmtId="165" fontId="27" fillId="7" borderId="0" xfId="1" applyNumberFormat="1" applyFont="1" applyFill="1"/>
    <xf numFmtId="43" fontId="34" fillId="11" borderId="1" xfId="1" applyFont="1" applyFill="1" applyBorder="1" applyAlignment="1">
      <alignment horizontal="center" wrapText="1"/>
    </xf>
    <xf numFmtId="43" fontId="27" fillId="11" borderId="0" xfId="1" applyFont="1" applyFill="1"/>
    <xf numFmtId="0" fontId="27" fillId="11" borderId="0" xfId="0" applyFont="1" applyFill="1"/>
    <xf numFmtId="43" fontId="34" fillId="13" borderId="1" xfId="1" applyFont="1" applyFill="1" applyBorder="1" applyAlignment="1">
      <alignment horizontal="center" wrapText="1"/>
    </xf>
    <xf numFmtId="43" fontId="27" fillId="13" borderId="0" xfId="1" applyFont="1" applyFill="1"/>
    <xf numFmtId="0" fontId="34" fillId="8" borderId="0" xfId="0" applyFont="1" applyFill="1" applyAlignment="1">
      <alignment horizontal="center" wrapText="1"/>
    </xf>
    <xf numFmtId="0" fontId="34" fillId="11" borderId="0" xfId="0" applyFont="1" applyFill="1" applyAlignment="1">
      <alignment horizontal="center" wrapText="1"/>
    </xf>
    <xf numFmtId="0" fontId="33" fillId="0" borderId="0" xfId="0" applyFont="1" applyAlignment="1">
      <alignment horizontal="center" wrapText="1"/>
    </xf>
    <xf numFmtId="165" fontId="27" fillId="0" borderId="0" xfId="1" applyNumberFormat="1" applyFont="1" applyFill="1"/>
    <xf numFmtId="43" fontId="27" fillId="0" borderId="1" xfId="1" applyFont="1" applyFill="1" applyBorder="1" applyAlignment="1">
      <alignment horizontal="center" wrapText="1"/>
    </xf>
    <xf numFmtId="44" fontId="27" fillId="0" borderId="0" xfId="2" applyFont="1" applyFill="1"/>
    <xf numFmtId="0" fontId="27" fillId="0" borderId="10" xfId="0" applyFont="1" applyBorder="1"/>
    <xf numFmtId="43" fontId="27" fillId="0" borderId="4" xfId="1" applyFont="1" applyFill="1" applyBorder="1"/>
    <xf numFmtId="0" fontId="27" fillId="0" borderId="5" xfId="0" applyFont="1" applyBorder="1"/>
    <xf numFmtId="43" fontId="27" fillId="0" borderId="0" xfId="1" applyFont="1" applyFill="1" applyBorder="1" applyAlignment="1">
      <alignment horizontal="center" wrapText="1"/>
    </xf>
    <xf numFmtId="43" fontId="27" fillId="0" borderId="16" xfId="1" applyFont="1" applyFill="1" applyBorder="1" applyAlignment="1">
      <alignment horizontal="center" wrapText="1"/>
    </xf>
    <xf numFmtId="43" fontId="27" fillId="0" borderId="5" xfId="1" applyFont="1" applyFill="1" applyBorder="1"/>
    <xf numFmtId="43" fontId="27" fillId="0" borderId="6" xfId="0" applyNumberFormat="1" applyFont="1" applyBorder="1"/>
    <xf numFmtId="43" fontId="27" fillId="0" borderId="7" xfId="1" applyFont="1" applyFill="1" applyBorder="1"/>
    <xf numFmtId="0" fontId="27" fillId="0" borderId="8" xfId="0" applyFont="1" applyBorder="1"/>
    <xf numFmtId="0" fontId="27" fillId="0" borderId="9" xfId="0" applyFont="1" applyBorder="1"/>
    <xf numFmtId="43" fontId="27" fillId="0" borderId="10" xfId="1" applyFont="1" applyFill="1" applyBorder="1"/>
    <xf numFmtId="43" fontId="27" fillId="0" borderId="0" xfId="1" applyFont="1" applyFill="1" applyBorder="1"/>
    <xf numFmtId="43" fontId="35" fillId="19" borderId="0" xfId="0" applyNumberFormat="1" applyFont="1" applyFill="1" applyAlignment="1">
      <alignment horizontal="center" wrapText="1"/>
    </xf>
    <xf numFmtId="43" fontId="35" fillId="19" borderId="6" xfId="0" applyNumberFormat="1" applyFont="1" applyFill="1" applyBorder="1" applyAlignment="1">
      <alignment horizontal="center" wrapText="1"/>
    </xf>
    <xf numFmtId="43" fontId="35" fillId="0" borderId="0" xfId="0" applyNumberFormat="1" applyFont="1" applyAlignment="1">
      <alignment horizontal="center" wrapText="1"/>
    </xf>
    <xf numFmtId="43" fontId="35" fillId="0" borderId="6" xfId="0" applyNumberFormat="1" applyFont="1" applyBorder="1" applyAlignment="1">
      <alignment horizontal="center" wrapText="1"/>
    </xf>
    <xf numFmtId="43" fontId="27" fillId="0" borderId="6" xfId="1" applyFont="1" applyFill="1" applyBorder="1"/>
    <xf numFmtId="0" fontId="27" fillId="0" borderId="6" xfId="0" applyFont="1" applyBorder="1"/>
    <xf numFmtId="43" fontId="27" fillId="0" borderId="5" xfId="1" applyFont="1" applyFill="1" applyBorder="1" applyAlignment="1">
      <alignment horizontal="right"/>
    </xf>
    <xf numFmtId="43" fontId="27" fillId="0" borderId="8" xfId="1" applyFont="1" applyFill="1" applyBorder="1"/>
    <xf numFmtId="43" fontId="27" fillId="0" borderId="1" xfId="1" applyFont="1" applyBorder="1"/>
    <xf numFmtId="0" fontId="36" fillId="0" borderId="0" xfId="0" applyFont="1"/>
    <xf numFmtId="43" fontId="36" fillId="0" borderId="0" xfId="1" applyFont="1"/>
    <xf numFmtId="0" fontId="36" fillId="0" borderId="0" xfId="0" applyFont="1" applyAlignment="1">
      <alignment horizontal="left" indent="2"/>
    </xf>
    <xf numFmtId="44" fontId="1" fillId="0" borderId="0" xfId="2" applyFont="1" applyAlignment="1">
      <alignment horizontal="center"/>
    </xf>
    <xf numFmtId="9" fontId="2" fillId="0" borderId="0" xfId="4" applyFont="1" applyAlignment="1">
      <alignment horizontal="right"/>
    </xf>
    <xf numFmtId="9" fontId="1" fillId="0" borderId="0" xfId="4" applyFont="1" applyAlignment="1">
      <alignment horizontal="right"/>
    </xf>
    <xf numFmtId="43" fontId="33" fillId="17" borderId="0" xfId="1" applyFont="1" applyFill="1" applyAlignment="1">
      <alignment horizontal="center" wrapText="1"/>
    </xf>
    <xf numFmtId="44" fontId="27" fillId="0" borderId="0" xfId="0" applyNumberFormat="1" applyFont="1"/>
    <xf numFmtId="165" fontId="1" fillId="0" borderId="0" xfId="1" quotePrefix="1" applyNumberFormat="1" applyFont="1" applyFill="1" applyBorder="1" applyAlignment="1">
      <alignment horizontal="center"/>
    </xf>
    <xf numFmtId="0" fontId="37" fillId="18" borderId="0" xfId="0" applyFont="1" applyFill="1" applyAlignment="1">
      <alignment horizontal="center" wrapText="1"/>
    </xf>
    <xf numFmtId="43" fontId="37" fillId="18" borderId="0" xfId="1" applyFont="1" applyFill="1" applyAlignment="1">
      <alignment horizontal="center" wrapText="1"/>
    </xf>
    <xf numFmtId="9" fontId="27" fillId="0" borderId="0" xfId="0" applyNumberFormat="1" applyFont="1"/>
    <xf numFmtId="0" fontId="27" fillId="0" borderId="4" xfId="0" applyFont="1" applyBorder="1"/>
    <xf numFmtId="0" fontId="27" fillId="0" borderId="11" xfId="0" applyFont="1" applyBorder="1"/>
    <xf numFmtId="0" fontId="27" fillId="0" borderId="7" xfId="0" applyFont="1" applyBorder="1"/>
    <xf numFmtId="10" fontId="27" fillId="0" borderId="0" xfId="0" applyNumberFormat="1" applyFont="1"/>
    <xf numFmtId="43" fontId="27" fillId="0" borderId="8" xfId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2" applyNumberFormat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165" fontId="1" fillId="0" borderId="36" xfId="1" applyNumberFormat="1" applyFont="1" applyFill="1" applyBorder="1"/>
    <xf numFmtId="165" fontId="1" fillId="0" borderId="13" xfId="1" applyNumberFormat="1" applyFont="1" applyFill="1" applyBorder="1"/>
    <xf numFmtId="10" fontId="1" fillId="0" borderId="0" xfId="4" applyNumberFormat="1" applyFont="1" applyFill="1" applyBorder="1"/>
    <xf numFmtId="0" fontId="1" fillId="0" borderId="0" xfId="4" applyNumberFormat="1" applyFont="1" applyFill="1" applyBorder="1" applyAlignment="1">
      <alignment horizontal="center"/>
    </xf>
    <xf numFmtId="10" fontId="1" fillId="0" borderId="22" xfId="4" applyNumberFormat="1" applyFont="1" applyFill="1" applyBorder="1"/>
    <xf numFmtId="172" fontId="1" fillId="0" borderId="21" xfId="4" applyNumberFormat="1" applyFont="1" applyFill="1" applyBorder="1"/>
    <xf numFmtId="0" fontId="1" fillId="0" borderId="0" xfId="1" quotePrefix="1" applyNumberFormat="1" applyFont="1" applyFill="1" applyBorder="1" applyAlignment="1">
      <alignment horizontal="center"/>
    </xf>
    <xf numFmtId="165" fontId="1" fillId="0" borderId="23" xfId="1" applyNumberFormat="1" applyFont="1" applyFill="1" applyBorder="1"/>
    <xf numFmtId="164" fontId="0" fillId="0" borderId="15" xfId="0" applyNumberFormat="1" applyBorder="1"/>
    <xf numFmtId="10" fontId="1" fillId="0" borderId="1" xfId="4" applyNumberFormat="1" applyFont="1" applyBorder="1" applyAlignment="1">
      <alignment horizontal="right"/>
    </xf>
    <xf numFmtId="173" fontId="1" fillId="0" borderId="0" xfId="0" applyNumberFormat="1" applyFont="1"/>
    <xf numFmtId="165" fontId="1" fillId="0" borderId="4" xfId="1" applyNumberFormat="1" applyFont="1" applyFill="1" applyBorder="1"/>
    <xf numFmtId="0" fontId="34" fillId="0" borderId="37" xfId="0" applyFont="1" applyBorder="1" applyAlignment="1">
      <alignment horizontal="center" wrapText="1"/>
    </xf>
    <xf numFmtId="0" fontId="27" fillId="0" borderId="35" xfId="0" applyFont="1" applyBorder="1"/>
    <xf numFmtId="0" fontId="27" fillId="0" borderId="38" xfId="0" applyFont="1" applyBorder="1"/>
    <xf numFmtId="43" fontId="27" fillId="0" borderId="39" xfId="1" applyFont="1" applyFill="1" applyBorder="1" applyAlignment="1">
      <alignment horizontal="center" wrapText="1"/>
    </xf>
    <xf numFmtId="43" fontId="27" fillId="0" borderId="40" xfId="1" applyFont="1" applyFill="1" applyBorder="1" applyAlignment="1">
      <alignment horizontal="center" wrapText="1"/>
    </xf>
    <xf numFmtId="43" fontId="27" fillId="0" borderId="41" xfId="1" applyFont="1" applyFill="1" applyBorder="1" applyAlignment="1">
      <alignment horizontal="center" wrapText="1"/>
    </xf>
    <xf numFmtId="43" fontId="27" fillId="0" borderId="42" xfId="1" applyFont="1" applyFill="1" applyBorder="1" applyAlignment="1">
      <alignment horizontal="center" wrapText="1"/>
    </xf>
    <xf numFmtId="43" fontId="27" fillId="0" borderId="43" xfId="0" applyNumberFormat="1" applyFont="1" applyBorder="1"/>
    <xf numFmtId="43" fontId="27" fillId="0" borderId="44" xfId="0" applyNumberFormat="1" applyFont="1" applyBorder="1"/>
    <xf numFmtId="43" fontId="27" fillId="0" borderId="45" xfId="0" applyNumberFormat="1" applyFont="1" applyBorder="1"/>
    <xf numFmtId="0" fontId="27" fillId="0" borderId="0" xfId="0" applyFont="1" applyAlignment="1">
      <alignment horizontal="left" indent="1"/>
    </xf>
    <xf numFmtId="43" fontId="27" fillId="0" borderId="0" xfId="1" applyFont="1" applyAlignment="1">
      <alignment horizontal="left" indent="1"/>
    </xf>
    <xf numFmtId="0" fontId="1" fillId="5" borderId="0" xfId="0" applyFont="1" applyFill="1"/>
    <xf numFmtId="165" fontId="1" fillId="5" borderId="0" xfId="1" applyNumberFormat="1" applyFont="1" applyFill="1"/>
    <xf numFmtId="0" fontId="0" fillId="5" borderId="28" xfId="0" applyFill="1" applyBorder="1"/>
    <xf numFmtId="165" fontId="0" fillId="5" borderId="1" xfId="1" applyNumberFormat="1" applyFont="1" applyFill="1" applyBorder="1"/>
    <xf numFmtId="43" fontId="0" fillId="5" borderId="29" xfId="1" applyFont="1" applyFill="1" applyBorder="1"/>
    <xf numFmtId="43" fontId="0" fillId="5" borderId="0" xfId="1" applyFont="1" applyFill="1" applyBorder="1"/>
    <xf numFmtId="171" fontId="0" fillId="0" borderId="0" xfId="4" applyNumberFormat="1" applyFont="1"/>
    <xf numFmtId="171" fontId="0" fillId="0" borderId="1" xfId="4" applyNumberFormat="1" applyFont="1" applyBorder="1"/>
    <xf numFmtId="164" fontId="0" fillId="0" borderId="0" xfId="2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1" fillId="0" borderId="0" xfId="3" applyFont="1"/>
    <xf numFmtId="0" fontId="9" fillId="0" borderId="0" xfId="3" applyFont="1"/>
    <xf numFmtId="0" fontId="1" fillId="0" borderId="0" xfId="3" quotePrefix="1" applyFont="1"/>
    <xf numFmtId="0" fontId="27" fillId="0" borderId="0" xfId="3" applyFont="1"/>
    <xf numFmtId="0" fontId="38" fillId="0" borderId="0" xfId="0" applyFont="1"/>
    <xf numFmtId="0" fontId="27" fillId="0" borderId="0" xfId="0" applyFont="1" applyAlignment="1">
      <alignment horizontal="left"/>
    </xf>
    <xf numFmtId="172" fontId="1" fillId="0" borderId="1" xfId="4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left" indent="4"/>
    </xf>
    <xf numFmtId="0" fontId="1" fillId="5" borderId="0" xfId="0" applyFont="1" applyFill="1" applyAlignment="1">
      <alignment horizontal="center"/>
    </xf>
    <xf numFmtId="165" fontId="1" fillId="0" borderId="3" xfId="1" applyNumberFormat="1" applyFont="1" applyFill="1" applyBorder="1"/>
    <xf numFmtId="165" fontId="1" fillId="0" borderId="8" xfId="1" applyNumberFormat="1" applyFont="1" applyBorder="1"/>
    <xf numFmtId="165" fontId="4" fillId="0" borderId="0" xfId="1" applyNumberFormat="1" applyFont="1"/>
    <xf numFmtId="165" fontId="6" fillId="0" borderId="0" xfId="1" applyNumberFormat="1" applyFont="1"/>
    <xf numFmtId="10" fontId="1" fillId="0" borderId="0" xfId="4" applyNumberFormat="1" applyFont="1"/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165" fontId="1" fillId="0" borderId="5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vertical="top"/>
    </xf>
    <xf numFmtId="0" fontId="1" fillId="0" borderId="0" xfId="1" applyNumberFormat="1" applyFont="1" applyFill="1" applyBorder="1" applyAlignment="1">
      <alignment horizontal="center" vertical="top"/>
    </xf>
    <xf numFmtId="165" fontId="1" fillId="0" borderId="6" xfId="1" applyNumberFormat="1" applyFont="1" applyFill="1" applyBorder="1" applyAlignment="1">
      <alignment vertical="top"/>
    </xf>
    <xf numFmtId="0" fontId="1" fillId="5" borderId="0" xfId="0" quotePrefix="1" applyFont="1" applyFill="1" applyAlignment="1">
      <alignment horizontal="center"/>
    </xf>
    <xf numFmtId="164" fontId="1" fillId="0" borderId="12" xfId="2" applyNumberFormat="1" applyFont="1" applyFill="1" applyBorder="1"/>
    <xf numFmtId="164" fontId="1" fillId="0" borderId="0" xfId="0" applyNumberFormat="1" applyFont="1" applyAlignment="1">
      <alignment horizontal="center"/>
    </xf>
    <xf numFmtId="164" fontId="1" fillId="0" borderId="0" xfId="2" applyNumberFormat="1" applyFont="1" applyFill="1" applyAlignment="1">
      <alignment horizontal="center"/>
    </xf>
    <xf numFmtId="0" fontId="26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43" fontId="1" fillId="0" borderId="0" xfId="0" applyNumberFormat="1" applyFont="1" applyAlignment="1">
      <alignment horizontal="left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2" fillId="0" borderId="3" xfId="0" applyNumberFormat="1" applyFont="1" applyBorder="1"/>
    <xf numFmtId="164" fontId="0" fillId="0" borderId="6" xfId="2" applyNumberFormat="1" applyFont="1" applyBorder="1"/>
    <xf numFmtId="43" fontId="27" fillId="0" borderId="0" xfId="0" applyNumberFormat="1" applyFont="1" applyAlignment="1">
      <alignment shrinkToFit="1"/>
    </xf>
    <xf numFmtId="43" fontId="27" fillId="0" borderId="0" xfId="1" applyFont="1" applyFill="1" applyAlignment="1">
      <alignment shrinkToFit="1"/>
    </xf>
    <xf numFmtId="43" fontId="27" fillId="0" borderId="0" xfId="1" applyFont="1" applyAlignment="1">
      <alignment shrinkToFit="1"/>
    </xf>
    <xf numFmtId="43" fontId="27" fillId="0" borderId="0" xfId="1" applyFont="1" applyFill="1" applyAlignment="1">
      <alignment horizontal="left" indent="1"/>
    </xf>
    <xf numFmtId="0" fontId="22" fillId="0" borderId="0" xfId="0" applyFont="1"/>
    <xf numFmtId="0" fontId="32" fillId="0" borderId="1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6" xfId="0" applyFont="1" applyBorder="1" applyAlignment="1">
      <alignment horizontal="center"/>
    </xf>
    <xf numFmtId="0" fontId="40" fillId="0" borderId="5" xfId="0" applyFont="1" applyBorder="1"/>
    <xf numFmtId="0" fontId="0" fillId="0" borderId="5" xfId="0" applyBorder="1" applyAlignment="1">
      <alignment horizontal="left" indent="1"/>
    </xf>
    <xf numFmtId="165" fontId="27" fillId="0" borderId="0" xfId="1" applyNumberFormat="1" applyFont="1" applyBorder="1"/>
    <xf numFmtId="0" fontId="40" fillId="0" borderId="5" xfId="0" applyFont="1" applyBorder="1" applyAlignment="1">
      <alignment horizontal="left"/>
    </xf>
    <xf numFmtId="164" fontId="0" fillId="0" borderId="14" xfId="0" applyNumberFormat="1" applyBorder="1"/>
    <xf numFmtId="170" fontId="27" fillId="0" borderId="0" xfId="0" applyNumberFormat="1" applyFont="1"/>
    <xf numFmtId="174" fontId="27" fillId="0" borderId="0" xfId="0" applyNumberFormat="1" applyFont="1"/>
    <xf numFmtId="164" fontId="27" fillId="0" borderId="0" xfId="2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7" fontId="1" fillId="0" borderId="0" xfId="4" applyNumberFormat="1" applyFont="1" applyFill="1"/>
    <xf numFmtId="167" fontId="1" fillId="6" borderId="0" xfId="4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3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 indent="2"/>
    </xf>
    <xf numFmtId="0" fontId="1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3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7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43" fontId="27" fillId="0" borderId="17" xfId="1" applyFont="1" applyFill="1" applyBorder="1" applyAlignment="1">
      <alignment horizontal="center"/>
    </xf>
    <xf numFmtId="43" fontId="27" fillId="0" borderId="4" xfId="1" applyFont="1" applyFill="1" applyBorder="1" applyAlignment="1">
      <alignment horizontal="center"/>
    </xf>
    <xf numFmtId="165" fontId="27" fillId="0" borderId="4" xfId="1" applyNumberFormat="1" applyFont="1" applyFill="1" applyBorder="1" applyAlignment="1">
      <alignment horizontal="center"/>
    </xf>
    <xf numFmtId="165" fontId="27" fillId="0" borderId="17" xfId="1" applyNumberFormat="1" applyFont="1" applyFill="1" applyBorder="1" applyAlignment="1">
      <alignment horizontal="center"/>
    </xf>
    <xf numFmtId="165" fontId="27" fillId="0" borderId="18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9">
    <cellStyle name="Comma" xfId="1" builtinId="3"/>
    <cellStyle name="Currency" xfId="2" builtinId="4"/>
    <cellStyle name="Currency 2 3 2" xfId="8" xr:uid="{19FB93B6-C0D6-4BC0-A30D-8DAC2598A4B8}"/>
    <cellStyle name="Hyperlink" xfId="6" builtinId="8"/>
    <cellStyle name="Normal" xfId="0" builtinId="0"/>
    <cellStyle name="Normal 15" xfId="7" xr:uid="{4DE388C5-40C5-418A-8C8D-7BC25A55A644}"/>
    <cellStyle name="Normal 2" xfId="3" xr:uid="{00000000-0005-0000-0000-000003000000}"/>
    <cellStyle name="Normal_Exhibit1" xfId="5" xr:uid="{3C4761D7-BDD7-4EB1-8194-A97E644F2E68}"/>
    <cellStyle name="Percent" xfId="4" builtinId="5"/>
  </cellStyles>
  <dxfs count="0"/>
  <tableStyles count="0" defaultTableStyle="TableStyleMedium2" defaultPivotStyle="PivotStyleLight16"/>
  <colors>
    <mruColors>
      <color rgb="FFFFFFFF"/>
      <color rgb="FF66FF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2266667</xdr:colOff>
      <xdr:row>13</xdr:row>
      <xdr:rowOff>123685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8E0744-D90F-A52C-D587-EDE12C520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695450"/>
          <a:ext cx="2266667" cy="1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iar.iga.in.gov/code/2025/50/5.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theme="3" tint="0.59999389629810485"/>
    <pageSetUpPr fitToPage="1"/>
  </sheetPr>
  <dimension ref="A1:I27"/>
  <sheetViews>
    <sheetView topLeftCell="A21" zoomScale="160" zoomScaleNormal="160" workbookViewId="0">
      <selection activeCell="B27" sqref="B27"/>
    </sheetView>
  </sheetViews>
  <sheetFormatPr defaultColWidth="9" defaultRowHeight="15.75"/>
  <cols>
    <col min="1" max="1" width="3.5" style="50" customWidth="1"/>
    <col min="2" max="5" width="9" style="50"/>
    <col min="6" max="6" width="12.375" style="50" customWidth="1"/>
    <col min="7" max="7" width="0.75" style="50" customWidth="1"/>
    <col min="8" max="8" width="9" style="392"/>
    <col min="9" max="16384" width="9" style="50"/>
  </cols>
  <sheetData>
    <row r="1" spans="1:9" ht="18.75" customHeight="1">
      <c r="A1" s="33" t="str">
        <f>"CAUSE NUMBER "&amp;Inputs!$C$6</f>
        <v>CAUSE NUMBER 46171</v>
      </c>
      <c r="B1" s="10"/>
      <c r="C1" s="10"/>
      <c r="D1" s="10"/>
      <c r="E1" s="10"/>
      <c r="F1" s="10"/>
      <c r="G1" s="10"/>
      <c r="H1" s="333"/>
      <c r="I1" s="10"/>
    </row>
    <row r="2" spans="1:9">
      <c r="A2" s="220" t="s">
        <v>0</v>
      </c>
    </row>
    <row r="3" spans="1:9" ht="18.75">
      <c r="A3" s="33" t="s">
        <v>1</v>
      </c>
      <c r="B3" s="10"/>
      <c r="C3" s="10"/>
      <c r="D3" s="10"/>
      <c r="E3" s="10"/>
      <c r="F3" s="10"/>
      <c r="G3" s="10"/>
      <c r="H3" s="333"/>
      <c r="I3" s="10"/>
    </row>
    <row r="4" spans="1:9">
      <c r="A4" s="221" t="s">
        <v>2</v>
      </c>
    </row>
    <row r="6" spans="1:9">
      <c r="A6" s="390" t="s">
        <v>3</v>
      </c>
    </row>
    <row r="7" spans="1:9">
      <c r="B7" s="389" t="s">
        <v>4</v>
      </c>
    </row>
    <row r="8" spans="1:9">
      <c r="B8" s="389"/>
      <c r="C8" s="391" t="s">
        <v>5</v>
      </c>
    </row>
    <row r="9" spans="1:9">
      <c r="B9" s="389" t="s">
        <v>6</v>
      </c>
    </row>
    <row r="10" spans="1:9">
      <c r="B10" s="389" t="s">
        <v>7</v>
      </c>
    </row>
    <row r="11" spans="1:9">
      <c r="B11" s="389" t="s">
        <v>8</v>
      </c>
    </row>
    <row r="12" spans="1:9">
      <c r="B12" s="389" t="s">
        <v>9</v>
      </c>
      <c r="H12" s="392" t="s">
        <v>10</v>
      </c>
    </row>
    <row r="13" spans="1:9">
      <c r="B13" s="389" t="s">
        <v>11</v>
      </c>
    </row>
    <row r="14" spans="1:9">
      <c r="B14" s="389" t="s">
        <v>12</v>
      </c>
      <c r="H14" s="392" t="s">
        <v>10</v>
      </c>
    </row>
    <row r="15" spans="1:9">
      <c r="B15" s="389" t="s">
        <v>13</v>
      </c>
    </row>
    <row r="16" spans="1:9">
      <c r="B16" s="389" t="s">
        <v>14</v>
      </c>
    </row>
    <row r="17" spans="1:8">
      <c r="B17" s="389" t="s">
        <v>15</v>
      </c>
      <c r="H17" s="392" t="s">
        <v>16</v>
      </c>
    </row>
    <row r="18" spans="1:8">
      <c r="B18" s="389" t="s">
        <v>17</v>
      </c>
      <c r="H18" s="392" t="s">
        <v>16</v>
      </c>
    </row>
    <row r="19" spans="1:8">
      <c r="B19" s="389" t="s">
        <v>18</v>
      </c>
      <c r="H19" s="392" t="s">
        <v>19</v>
      </c>
    </row>
    <row r="21" spans="1:8">
      <c r="A21" s="390" t="s">
        <v>20</v>
      </c>
    </row>
    <row r="22" spans="1:8">
      <c r="B22" s="389" t="s">
        <v>21</v>
      </c>
      <c r="D22" s="389"/>
    </row>
    <row r="23" spans="1:8">
      <c r="B23" s="389" t="s">
        <v>22</v>
      </c>
      <c r="D23" s="389"/>
    </row>
    <row r="24" spans="1:8">
      <c r="B24" s="389" t="s">
        <v>23</v>
      </c>
    </row>
    <row r="25" spans="1:8">
      <c r="B25" s="389" t="s">
        <v>24</v>
      </c>
    </row>
    <row r="26" spans="1:8">
      <c r="B26" s="389" t="s">
        <v>25</v>
      </c>
    </row>
    <row r="27" spans="1:8">
      <c r="B27" s="389" t="s">
        <v>26</v>
      </c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97DB7-CBE1-404C-A183-C4A8471151B7}">
  <sheetPr>
    <tabColor indexed="34"/>
  </sheetPr>
  <dimension ref="A1:U33"/>
  <sheetViews>
    <sheetView view="pageBreakPreview" topLeftCell="A13" zoomScaleNormal="100" zoomScaleSheetLayoutView="100" workbookViewId="0">
      <selection activeCell="B27" sqref="B27"/>
    </sheetView>
  </sheetViews>
  <sheetFormatPr defaultColWidth="9" defaultRowHeight="15.75"/>
  <cols>
    <col min="1" max="1" width="2.375" style="2" customWidth="1"/>
    <col min="2" max="2" width="1.625" style="2" customWidth="1"/>
    <col min="3" max="3" width="37.875" style="2" customWidth="1"/>
    <col min="4" max="4" width="12.625" style="2" customWidth="1"/>
    <col min="5" max="5" width="1.5" style="2" customWidth="1"/>
    <col min="6" max="6" width="12.625" style="2" customWidth="1"/>
    <col min="7" max="7" width="1.625" style="2" customWidth="1"/>
    <col min="8" max="8" width="5.125" style="103" customWidth="1"/>
    <col min="9" max="9" width="1.625" style="2" customWidth="1"/>
    <col min="10" max="10" width="12.625" style="2" customWidth="1"/>
    <col min="11" max="11" width="11.5" style="2" bestFit="1" customWidth="1"/>
    <col min="12" max="12" width="12.875" style="2" bestFit="1" customWidth="1"/>
    <col min="13" max="13" width="43.25" style="2" bestFit="1" customWidth="1"/>
    <col min="14" max="14" width="1.625" style="2" customWidth="1"/>
    <col min="15" max="15" width="9" style="2"/>
    <col min="16" max="16" width="1.625" style="2" customWidth="1"/>
    <col min="17" max="18" width="11.75" style="2" bestFit="1" customWidth="1"/>
    <col min="19" max="16384" width="9" style="2"/>
  </cols>
  <sheetData>
    <row r="1" spans="1:13">
      <c r="J1" s="443" t="str">
        <f>'Cover Page'!A3</f>
        <v>OUCC Attachment CFS-1</v>
      </c>
    </row>
    <row r="2" spans="1:13">
      <c r="J2" s="443" t="s">
        <v>27</v>
      </c>
    </row>
    <row r="3" spans="1:13">
      <c r="J3" s="443" t="s">
        <v>28</v>
      </c>
    </row>
    <row r="4" spans="1:13" s="3" customFormat="1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</row>
    <row r="5" spans="1:13" s="4" customFormat="1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</row>
    <row r="7" spans="1:13">
      <c r="A7" s="452" t="s">
        <v>29</v>
      </c>
      <c r="B7" s="452"/>
      <c r="C7" s="452"/>
      <c r="D7" s="452"/>
      <c r="E7" s="452"/>
      <c r="F7" s="452"/>
      <c r="G7" s="452"/>
      <c r="H7" s="452"/>
      <c r="I7" s="452"/>
      <c r="J7" s="452"/>
    </row>
    <row r="8" spans="1:13">
      <c r="A8" s="452" t="s">
        <v>30</v>
      </c>
      <c r="B8" s="452"/>
      <c r="C8" s="452"/>
      <c r="D8" s="452"/>
      <c r="E8" s="452"/>
      <c r="F8" s="452"/>
      <c r="G8" s="452"/>
      <c r="H8" s="452"/>
      <c r="I8" s="452"/>
      <c r="J8" s="452"/>
    </row>
    <row r="10" spans="1:13">
      <c r="D10" s="442" t="s">
        <v>31</v>
      </c>
      <c r="E10" s="442"/>
      <c r="F10" s="442" t="s">
        <v>31</v>
      </c>
      <c r="H10" s="442" t="s">
        <v>32</v>
      </c>
      <c r="J10" s="442" t="s">
        <v>33</v>
      </c>
    </row>
    <row r="11" spans="1:13">
      <c r="D11" s="5" t="s">
        <v>34</v>
      </c>
      <c r="E11" s="442"/>
      <c r="F11" s="5" t="s">
        <v>33</v>
      </c>
      <c r="H11" s="5" t="s">
        <v>35</v>
      </c>
      <c r="J11" s="5" t="s">
        <v>36</v>
      </c>
      <c r="L11" s="2" t="s">
        <v>37</v>
      </c>
    </row>
    <row r="12" spans="1:13" ht="8.25" customHeight="1"/>
    <row r="13" spans="1:13">
      <c r="A13" s="57">
        <v>1</v>
      </c>
      <c r="B13" s="2" t="s">
        <v>38</v>
      </c>
      <c r="D13" s="41">
        <f>+'Sch 1 - Phased'!E14</f>
        <v>10642582</v>
      </c>
      <c r="E13" s="41"/>
      <c r="F13" s="41">
        <f>ROUND('Sch 1 - Phased'!G14,0)</f>
        <v>9584595</v>
      </c>
      <c r="G13" s="41"/>
      <c r="H13" s="104">
        <v>4</v>
      </c>
      <c r="I13" s="41"/>
      <c r="J13" s="41">
        <f>+F13-D13</f>
        <v>-1057987</v>
      </c>
      <c r="K13" s="118"/>
      <c r="L13" s="118">
        <f>F13-SUM('Sch 4 PF IS'!L20:L39)-SUM('Sch 4 PF IS'!H139:H140)</f>
        <v>99833</v>
      </c>
      <c r="M13" s="2" t="s">
        <v>39</v>
      </c>
    </row>
    <row r="14" spans="1:13">
      <c r="A14" s="57">
        <v>2</v>
      </c>
      <c r="B14" s="2" t="s">
        <v>40</v>
      </c>
      <c r="D14" s="42">
        <f>+'Sch 1 - Phased'!E15</f>
        <v>592692</v>
      </c>
      <c r="E14" s="42"/>
      <c r="F14" s="42">
        <f>ROUND('Sch 1 - Phased'!O50,0)</f>
        <v>592692</v>
      </c>
      <c r="G14" s="42"/>
      <c r="H14" s="105">
        <v>8</v>
      </c>
      <c r="I14" s="42"/>
      <c r="J14" s="42">
        <f t="shared" ref="J14:J18" si="0">+F14-D14</f>
        <v>0</v>
      </c>
      <c r="L14" s="2" t="s">
        <v>37</v>
      </c>
    </row>
    <row r="15" spans="1:13">
      <c r="A15" s="57">
        <v>3</v>
      </c>
      <c r="B15" s="2" t="s">
        <v>41</v>
      </c>
      <c r="D15" s="42">
        <f>+'Sch 1 - Phased'!M51</f>
        <v>2842400</v>
      </c>
      <c r="E15" s="42"/>
      <c r="F15" s="42">
        <f>ROUND('Sch 1 - Phased'!O51,0)</f>
        <v>2842400</v>
      </c>
      <c r="G15" s="42"/>
      <c r="H15" s="105">
        <v>7</v>
      </c>
      <c r="I15" s="42"/>
      <c r="J15" s="42">
        <f t="shared" si="0"/>
        <v>0</v>
      </c>
      <c r="L15" s="118" t="e">
        <f>J13-#REF!</f>
        <v>#REF!</v>
      </c>
    </row>
    <row r="16" spans="1:13">
      <c r="A16" s="57">
        <v>4</v>
      </c>
      <c r="B16" s="2" t="s">
        <v>42</v>
      </c>
      <c r="D16" s="42">
        <f>+'Sch 1 - Phased'!M52</f>
        <v>8662890</v>
      </c>
      <c r="E16" s="42"/>
      <c r="F16" s="42">
        <f>ROUND('Sch 1 - Phased'!O52,0)</f>
        <v>5475335</v>
      </c>
      <c r="G16" s="42"/>
      <c r="H16" s="105">
        <v>10</v>
      </c>
      <c r="I16" s="42"/>
      <c r="J16" s="42">
        <f t="shared" si="0"/>
        <v>-3187555</v>
      </c>
    </row>
    <row r="17" spans="1:21">
      <c r="A17" s="57">
        <v>5</v>
      </c>
      <c r="B17" s="2" t="s">
        <v>43</v>
      </c>
      <c r="D17" s="42">
        <f>'Sch 1 - Phased'!M53</f>
        <v>1546040</v>
      </c>
      <c r="E17" s="42"/>
      <c r="F17" s="42">
        <f>ROUND('Sch 1 - Phased'!O53,0)</f>
        <v>908395</v>
      </c>
      <c r="G17" s="42"/>
      <c r="H17" s="105">
        <v>11</v>
      </c>
      <c r="I17" s="42"/>
      <c r="J17" s="42">
        <f t="shared" si="0"/>
        <v>-637645</v>
      </c>
    </row>
    <row r="18" spans="1:21">
      <c r="A18" s="57">
        <v>6</v>
      </c>
      <c r="B18" s="2" t="s">
        <v>44</v>
      </c>
      <c r="D18" s="42">
        <f>'Sch 1 - Phased'!M54</f>
        <v>0</v>
      </c>
      <c r="E18" s="42"/>
      <c r="F18" s="42">
        <f>'Sch 1 - Phased'!O54</f>
        <v>0</v>
      </c>
      <c r="G18" s="42"/>
      <c r="H18" s="105">
        <v>9</v>
      </c>
      <c r="I18" s="42"/>
      <c r="J18" s="42">
        <f t="shared" si="0"/>
        <v>0</v>
      </c>
    </row>
    <row r="19" spans="1:21" ht="6" customHeight="1">
      <c r="A19" s="57"/>
      <c r="D19" s="43"/>
      <c r="E19" s="42"/>
      <c r="F19" s="43"/>
      <c r="G19" s="42"/>
      <c r="H19" s="105"/>
      <c r="I19" s="42"/>
      <c r="J19" s="43"/>
    </row>
    <row r="20" spans="1:21">
      <c r="A20" s="57">
        <v>7</v>
      </c>
      <c r="B20" s="2" t="s">
        <v>45</v>
      </c>
      <c r="D20" s="42">
        <f>SUM(D13:D19)</f>
        <v>24286604</v>
      </c>
      <c r="E20" s="42"/>
      <c r="F20" s="42">
        <f>SUM(F13:F18)</f>
        <v>19403417</v>
      </c>
      <c r="G20" s="42"/>
      <c r="H20" s="105"/>
      <c r="I20" s="42"/>
      <c r="J20" s="42">
        <f>SUM(J13:J18)</f>
        <v>-4883187</v>
      </c>
    </row>
    <row r="21" spans="1:21">
      <c r="A21" s="57">
        <v>8</v>
      </c>
      <c r="B21" t="s">
        <v>46</v>
      </c>
      <c r="D21" s="42"/>
      <c r="E21" s="42"/>
      <c r="F21" s="42"/>
      <c r="G21" s="42"/>
      <c r="H21" s="105"/>
      <c r="I21" s="42"/>
      <c r="J21" s="42"/>
    </row>
    <row r="22" spans="1:21">
      <c r="A22" s="57">
        <v>9</v>
      </c>
      <c r="C22" s="2" t="s">
        <v>47</v>
      </c>
      <c r="D22" s="42">
        <v>0</v>
      </c>
      <c r="E22" s="42"/>
      <c r="F22" s="42">
        <f>ROUND('Sch 1 - Phased'!O58,0)</f>
        <v>-65119</v>
      </c>
      <c r="G22" s="42"/>
      <c r="H22" s="105">
        <v>3</v>
      </c>
      <c r="I22" s="42"/>
      <c r="J22" s="42">
        <f>+F22-D22</f>
        <v>-65119</v>
      </c>
      <c r="L22" s="2">
        <f>2580-820</f>
        <v>1760</v>
      </c>
      <c r="M22" s="8"/>
    </row>
    <row r="23" spans="1:21" s="378" customFormat="1">
      <c r="A23" s="57">
        <v>10</v>
      </c>
      <c r="B23" s="2"/>
      <c r="C23" s="2" t="s">
        <v>48</v>
      </c>
      <c r="D23" s="42">
        <v>0</v>
      </c>
      <c r="E23" s="42"/>
      <c r="F23" s="42">
        <f>ROUND('Sch 1 - Phased'!O59,0)</f>
        <v>-2285</v>
      </c>
      <c r="G23" s="42"/>
      <c r="H23" s="105">
        <v>3</v>
      </c>
      <c r="I23" s="42"/>
      <c r="J23" s="42">
        <f>+F23-D23</f>
        <v>-2285</v>
      </c>
      <c r="M23" s="228"/>
    </row>
    <row r="24" spans="1:21" ht="6" customHeight="1">
      <c r="A24" s="57"/>
      <c r="D24" s="43"/>
      <c r="E24" s="42"/>
      <c r="F24" s="43"/>
      <c r="G24" s="42"/>
      <c r="H24" s="105"/>
      <c r="I24" s="42"/>
      <c r="J24" s="43"/>
    </row>
    <row r="25" spans="1:21">
      <c r="A25" s="57">
        <v>11</v>
      </c>
      <c r="B25" t="s">
        <v>49</v>
      </c>
      <c r="D25" s="42">
        <f>SUM(D20:D24)</f>
        <v>24286604</v>
      </c>
      <c r="E25" s="42"/>
      <c r="F25" s="42">
        <f>SUM(F20:F23)</f>
        <v>19336013</v>
      </c>
      <c r="G25" s="42"/>
      <c r="H25" s="105"/>
      <c r="I25" s="42"/>
      <c r="J25" s="42">
        <f>SUM(J20:J23)</f>
        <v>-4950591</v>
      </c>
      <c r="L25" s="118"/>
    </row>
    <row r="26" spans="1:21">
      <c r="A26" s="57">
        <v>12</v>
      </c>
      <c r="C26" s="2" t="s">
        <v>50</v>
      </c>
      <c r="D26" s="42">
        <f>+'Sch 1 - Phased'!E28</f>
        <v>-10873460</v>
      </c>
      <c r="E26" s="42"/>
      <c r="F26" s="42">
        <f>ROUND('Sch 1 - Phased'!G28,0)</f>
        <v>-10961131</v>
      </c>
      <c r="G26" s="42"/>
      <c r="H26" s="105">
        <v>4</v>
      </c>
      <c r="I26" s="42"/>
      <c r="J26" s="42">
        <f>+F26-D26</f>
        <v>-87671</v>
      </c>
      <c r="L26" s="118"/>
      <c r="M26" s="8"/>
    </row>
    <row r="27" spans="1:21">
      <c r="A27" s="57">
        <v>13</v>
      </c>
      <c r="C27" s="2" t="s">
        <v>51</v>
      </c>
      <c r="D27" s="42">
        <f>+'Sch 1 - Phased'!E29</f>
        <v>-201409</v>
      </c>
      <c r="E27" s="42"/>
      <c r="F27" s="42">
        <f>ROUND('Sch 1 - Phased'!G29,0)</f>
        <v>-113737</v>
      </c>
      <c r="G27" s="42"/>
      <c r="H27" s="105">
        <v>4</v>
      </c>
      <c r="I27" s="42"/>
      <c r="J27" s="42">
        <f>+F27-D27</f>
        <v>87672</v>
      </c>
      <c r="L27" s="118"/>
      <c r="M27" s="8"/>
    </row>
    <row r="28" spans="1:21" ht="6" customHeight="1">
      <c r="A28" s="57"/>
      <c r="D28" s="43"/>
      <c r="E28" s="42"/>
      <c r="F28" s="43"/>
      <c r="G28" s="42"/>
      <c r="H28" s="105"/>
      <c r="I28" s="42"/>
      <c r="J28" s="43"/>
    </row>
    <row r="29" spans="1:21" ht="16.5" thickBot="1">
      <c r="A29" s="57">
        <v>14</v>
      </c>
      <c r="B29" s="2" t="s">
        <v>52</v>
      </c>
      <c r="D29" s="51">
        <f>SUM(D25:D27)</f>
        <v>13211735</v>
      </c>
      <c r="F29" s="51">
        <f>SUM(F25:F27)</f>
        <v>8261145</v>
      </c>
      <c r="J29" s="51">
        <f>SUM(J25:J27)</f>
        <v>-4950590</v>
      </c>
    </row>
    <row r="30" spans="1:21" ht="16.5" thickTop="1">
      <c r="A30" s="57"/>
      <c r="L30" s="279"/>
    </row>
    <row r="31" spans="1:21" ht="16.5" thickBot="1">
      <c r="A31" s="57">
        <v>15</v>
      </c>
      <c r="B31" s="2" t="s">
        <v>53</v>
      </c>
      <c r="D31" s="246">
        <f>ROUND(D29/-D26,3)</f>
        <v>1.2150000000000001</v>
      </c>
      <c r="E31" s="107"/>
      <c r="F31" s="44">
        <f>ROUND(F29/-F26,4)</f>
        <v>0.75370000000000004</v>
      </c>
      <c r="G31" s="107"/>
      <c r="H31" s="108"/>
      <c r="I31" s="107"/>
      <c r="J31" s="44">
        <f>+F31-D31</f>
        <v>-0.46130000000000004</v>
      </c>
    </row>
    <row r="32" spans="1:21" ht="16.5" thickTop="1">
      <c r="A32" s="57"/>
      <c r="L32" s="57"/>
      <c r="O32" s="452"/>
      <c r="P32" s="452"/>
      <c r="Q32" s="452"/>
      <c r="S32" s="103"/>
      <c r="U32" s="442"/>
    </row>
    <row r="33" spans="1:21">
      <c r="A33" s="57"/>
      <c r="L33" s="57"/>
      <c r="M33" s="240"/>
      <c r="O33" s="442"/>
      <c r="P33" s="445"/>
      <c r="Q33" s="442"/>
      <c r="S33" s="103"/>
      <c r="U33" s="445"/>
    </row>
  </sheetData>
  <mergeCells count="5">
    <mergeCell ref="O32:Q32"/>
    <mergeCell ref="A4:J4"/>
    <mergeCell ref="A5:J5"/>
    <mergeCell ref="A7:J7"/>
    <mergeCell ref="A8:J8"/>
  </mergeCells>
  <printOptions horizontalCentered="1"/>
  <pageMargins left="0.5" right="0.5" top="0.5" bottom="0.75" header="0.5" footer="0.5"/>
  <pageSetup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34"/>
  </sheetPr>
  <dimension ref="A1:AD146"/>
  <sheetViews>
    <sheetView view="pageBreakPreview" topLeftCell="A53" zoomScaleNormal="100" zoomScaleSheetLayoutView="100" workbookViewId="0">
      <selection activeCell="B27" sqref="B27"/>
    </sheetView>
  </sheetViews>
  <sheetFormatPr defaultColWidth="9" defaultRowHeight="15.75"/>
  <cols>
    <col min="1" max="1" width="2.375" style="2" customWidth="1"/>
    <col min="2" max="2" width="1.625" style="2" customWidth="1"/>
    <col min="3" max="3" width="28.875" style="2" customWidth="1"/>
    <col min="4" max="4" width="1.625" style="2" customWidth="1"/>
    <col min="5" max="5" width="12.25" style="2" customWidth="1"/>
    <col min="6" max="6" width="1.5" style="2" customWidth="1"/>
    <col min="7" max="7" width="12.25" style="6" customWidth="1"/>
    <col min="8" max="8" width="1.625" style="2" customWidth="1"/>
    <col min="9" max="9" width="4.25" style="103" bestFit="1" customWidth="1"/>
    <col min="10" max="10" width="1.625" style="2" customWidth="1"/>
    <col min="11" max="11" width="12.25" style="2" customWidth="1"/>
    <col min="12" max="12" width="1.625" style="2" customWidth="1"/>
    <col min="13" max="13" width="12.25" style="2" customWidth="1"/>
    <col min="14" max="14" width="1.625" style="2" customWidth="1"/>
    <col min="15" max="15" width="12.25" style="6" customWidth="1"/>
    <col min="16" max="16" width="1.625" style="2" customWidth="1"/>
    <col min="17" max="17" width="4.25" style="2" bestFit="1" customWidth="1"/>
    <col min="18" max="18" width="1.625" style="2" customWidth="1"/>
    <col min="19" max="19" width="12.25" style="2" customWidth="1"/>
    <col min="20" max="20" width="1.625" style="2" customWidth="1"/>
    <col min="21" max="21" width="12.25" style="2" customWidth="1"/>
    <col min="22" max="22" width="1.625" style="2" customWidth="1"/>
    <col min="23" max="23" width="12.25" style="2" customWidth="1"/>
    <col min="24" max="24" width="1.625" style="2" customWidth="1"/>
    <col min="25" max="25" width="4" style="2" bestFit="1" customWidth="1"/>
    <col min="26" max="26" width="1.625" style="2" customWidth="1"/>
    <col min="27" max="27" width="12.25" style="2" customWidth="1"/>
    <col min="28" max="28" width="1.625" style="2" customWidth="1"/>
    <col min="29" max="29" width="9" style="2"/>
    <col min="30" max="30" width="20.25" style="2" bestFit="1" customWidth="1"/>
    <col min="31" max="16384" width="9" style="2"/>
  </cols>
  <sheetData>
    <row r="1" spans="1:27">
      <c r="W1" s="455" t="str">
        <f>'Sch 1 - Overall'!J1</f>
        <v>OUCC Attachment CFS-1</v>
      </c>
      <c r="X1" s="455"/>
      <c r="Y1" s="455"/>
      <c r="Z1" s="455"/>
      <c r="AA1" s="455"/>
    </row>
    <row r="2" spans="1:27">
      <c r="AA2" s="443" t="s">
        <v>54</v>
      </c>
    </row>
    <row r="3" spans="1:27">
      <c r="AA3" s="443" t="s">
        <v>55</v>
      </c>
    </row>
    <row r="4" spans="1:27" s="3" customFormat="1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</row>
    <row r="5" spans="1:27" s="4" customFormat="1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</row>
    <row r="6" spans="1:27">
      <c r="E6" s="70"/>
    </row>
    <row r="7" spans="1:27">
      <c r="A7" s="452" t="s">
        <v>29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</row>
    <row r="8" spans="1:27">
      <c r="A8" s="452" t="s">
        <v>56</v>
      </c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</row>
    <row r="9" spans="1:27" ht="16.5" thickBot="1">
      <c r="A9" s="442"/>
      <c r="B9" s="442"/>
      <c r="C9" s="442"/>
      <c r="D9" s="442"/>
      <c r="E9" s="442"/>
      <c r="F9" s="442"/>
      <c r="G9" s="229"/>
      <c r="H9" s="442"/>
      <c r="I9" s="442"/>
      <c r="J9" s="442"/>
      <c r="K9" s="442"/>
    </row>
    <row r="10" spans="1:27">
      <c r="E10" s="456" t="s">
        <v>57</v>
      </c>
      <c r="F10" s="457"/>
      <c r="G10" s="457"/>
      <c r="H10" s="457"/>
      <c r="I10" s="457"/>
      <c r="J10" s="457"/>
      <c r="K10" s="458"/>
      <c r="M10" s="456" t="s">
        <v>58</v>
      </c>
      <c r="N10" s="457"/>
      <c r="O10" s="457"/>
      <c r="P10" s="457"/>
      <c r="Q10" s="457"/>
      <c r="R10" s="457"/>
      <c r="S10" s="458"/>
      <c r="U10" s="456" t="s">
        <v>59</v>
      </c>
      <c r="V10" s="457"/>
      <c r="W10" s="457"/>
      <c r="X10" s="457"/>
      <c r="Y10" s="457"/>
      <c r="Z10" s="457"/>
      <c r="AA10" s="458"/>
    </row>
    <row r="11" spans="1:27">
      <c r="E11" s="350" t="s">
        <v>31</v>
      </c>
      <c r="F11" s="442"/>
      <c r="G11" s="229" t="s">
        <v>31</v>
      </c>
      <c r="I11" s="442" t="s">
        <v>32</v>
      </c>
      <c r="K11" s="351" t="s">
        <v>33</v>
      </c>
      <c r="M11" s="350" t="s">
        <v>31</v>
      </c>
      <c r="N11" s="442"/>
      <c r="O11" s="229" t="s">
        <v>31</v>
      </c>
      <c r="Q11" s="442" t="s">
        <v>32</v>
      </c>
      <c r="S11" s="351" t="s">
        <v>33</v>
      </c>
      <c r="U11" s="350" t="s">
        <v>31</v>
      </c>
      <c r="V11" s="442"/>
      <c r="W11" s="442" t="s">
        <v>31</v>
      </c>
      <c r="Y11" s="442" t="s">
        <v>32</v>
      </c>
      <c r="AA11" s="351" t="s">
        <v>33</v>
      </c>
    </row>
    <row r="12" spans="1:27">
      <c r="E12" s="82" t="s">
        <v>34</v>
      </c>
      <c r="F12" s="442"/>
      <c r="G12" s="230" t="s">
        <v>33</v>
      </c>
      <c r="I12" s="5" t="s">
        <v>35</v>
      </c>
      <c r="K12" s="35" t="s">
        <v>36</v>
      </c>
      <c r="M12" s="82" t="s">
        <v>34</v>
      </c>
      <c r="N12" s="442"/>
      <c r="O12" s="230" t="s">
        <v>33</v>
      </c>
      <c r="Q12" s="5" t="s">
        <v>35</v>
      </c>
      <c r="S12" s="35" t="s">
        <v>36</v>
      </c>
      <c r="U12" s="82" t="s">
        <v>34</v>
      </c>
      <c r="V12" s="442"/>
      <c r="W12" s="5" t="s">
        <v>33</v>
      </c>
      <c r="Y12" s="5" t="s">
        <v>35</v>
      </c>
      <c r="AA12" s="35" t="s">
        <v>36</v>
      </c>
    </row>
    <row r="13" spans="1:27" ht="8.25" customHeight="1">
      <c r="E13" s="12"/>
      <c r="K13" s="13"/>
      <c r="M13" s="12"/>
      <c r="Q13" s="103"/>
      <c r="S13" s="13"/>
      <c r="U13" s="12"/>
      <c r="Y13" s="103"/>
      <c r="AA13" s="13"/>
    </row>
    <row r="14" spans="1:27">
      <c r="A14" s="57">
        <v>1</v>
      </c>
      <c r="B14" s="2" t="s">
        <v>38</v>
      </c>
      <c r="E14" s="69">
        <f>10327225+315357</f>
        <v>10642582</v>
      </c>
      <c r="F14" s="70"/>
      <c r="G14" s="70">
        <f>ROUND(SUM('Sch 4 PF IS'!L$20:L$39),0)</f>
        <v>9584595</v>
      </c>
      <c r="H14" s="70"/>
      <c r="I14" s="352">
        <v>4</v>
      </c>
      <c r="J14" s="70"/>
      <c r="K14" s="71">
        <f t="shared" ref="K14" si="0">+G14-E14</f>
        <v>-1057987</v>
      </c>
      <c r="M14" s="69">
        <f>+E14</f>
        <v>10642582</v>
      </c>
      <c r="N14" s="70"/>
      <c r="O14" s="70">
        <f>SUM('Sch 4 PF IS'!L65:L66)</f>
        <v>9684428</v>
      </c>
      <c r="P14" s="70"/>
      <c r="Q14" s="352">
        <v>4</v>
      </c>
      <c r="R14" s="70"/>
      <c r="S14" s="71">
        <f t="shared" ref="S14" si="1">+O14-M14</f>
        <v>-958154</v>
      </c>
      <c r="U14" s="69">
        <f>+M14</f>
        <v>10642582</v>
      </c>
      <c r="V14" s="70"/>
      <c r="W14" s="70">
        <f>SUM('Sch 4 PF IS'!L88:L89)</f>
        <v>9684428</v>
      </c>
      <c r="X14" s="70"/>
      <c r="Y14" s="352">
        <v>4</v>
      </c>
      <c r="Z14" s="70"/>
      <c r="AA14" s="71">
        <f t="shared" ref="AA14:AA19" si="2">+W14-U14</f>
        <v>-958154</v>
      </c>
    </row>
    <row r="15" spans="1:27">
      <c r="A15" s="57">
        <v>2</v>
      </c>
      <c r="B15" s="2" t="s">
        <v>40</v>
      </c>
      <c r="E15" s="72">
        <v>592692</v>
      </c>
      <c r="F15" s="55"/>
      <c r="G15" s="55">
        <f>ROUND('Sch 4 PF IS'!L42,0)</f>
        <v>592692</v>
      </c>
      <c r="H15" s="55"/>
      <c r="I15" s="353" t="s">
        <v>60</v>
      </c>
      <c r="J15" s="55"/>
      <c r="K15" s="73">
        <f t="shared" ref="K15:K19" si="3">+G15-E15</f>
        <v>0</v>
      </c>
      <c r="M15" s="72">
        <f>+E15</f>
        <v>592692</v>
      </c>
      <c r="N15" s="55"/>
      <c r="O15" s="55">
        <f>'Sch 4 PF IS'!L69</f>
        <v>592692</v>
      </c>
      <c r="P15" s="55"/>
      <c r="Q15" s="353" t="s">
        <v>60</v>
      </c>
      <c r="R15" s="55"/>
      <c r="S15" s="73">
        <f>+O15-M15</f>
        <v>0</v>
      </c>
      <c r="U15" s="72">
        <f>+E15</f>
        <v>592692</v>
      </c>
      <c r="V15" s="55"/>
      <c r="W15" s="55">
        <f>'Sch 4 PF IS'!L92</f>
        <v>592692</v>
      </c>
      <c r="X15" s="55"/>
      <c r="Y15" s="353" t="s">
        <v>61</v>
      </c>
      <c r="Z15" s="55"/>
      <c r="AA15" s="73">
        <f t="shared" si="2"/>
        <v>0</v>
      </c>
    </row>
    <row r="16" spans="1:27">
      <c r="A16" s="57">
        <v>3</v>
      </c>
      <c r="B16" s="2" t="s">
        <v>41</v>
      </c>
      <c r="E16" s="72">
        <v>1000000</v>
      </c>
      <c r="F16" s="55"/>
      <c r="G16" s="55">
        <f>E16</f>
        <v>1000000</v>
      </c>
      <c r="H16" s="55"/>
      <c r="I16" s="353" t="s">
        <v>60</v>
      </c>
      <c r="J16" s="55"/>
      <c r="K16" s="73">
        <f t="shared" si="3"/>
        <v>0</v>
      </c>
      <c r="M16" s="72">
        <v>1000000</v>
      </c>
      <c r="N16" s="55"/>
      <c r="O16" s="55">
        <f>M16</f>
        <v>1000000</v>
      </c>
      <c r="P16" s="55"/>
      <c r="Q16" s="353" t="s">
        <v>60</v>
      </c>
      <c r="R16" s="55"/>
      <c r="S16" s="73">
        <f t="shared" ref="S16:S19" si="4">+O16-M16</f>
        <v>0</v>
      </c>
      <c r="U16" s="72">
        <v>1000000</v>
      </c>
      <c r="V16" s="55"/>
      <c r="W16" s="55">
        <f>U16</f>
        <v>1000000</v>
      </c>
      <c r="X16" s="55"/>
      <c r="Y16" s="360" t="s">
        <v>61</v>
      </c>
      <c r="Z16" s="55"/>
      <c r="AA16" s="73">
        <f t="shared" si="2"/>
        <v>0</v>
      </c>
    </row>
    <row r="17" spans="1:27">
      <c r="A17" s="57">
        <v>4</v>
      </c>
      <c r="B17" s="2" t="s">
        <v>42</v>
      </c>
      <c r="E17" s="72">
        <f>150000+1306190</f>
        <v>1456190</v>
      </c>
      <c r="F17" s="55"/>
      <c r="G17" s="55">
        <f>'Sch 10 - Debt Service'!D37</f>
        <v>1306190</v>
      </c>
      <c r="H17" s="55"/>
      <c r="I17" s="353">
        <v>10</v>
      </c>
      <c r="J17" s="55"/>
      <c r="K17" s="73">
        <f t="shared" si="3"/>
        <v>-150000</v>
      </c>
      <c r="M17" s="72">
        <f>1000+1315090+73826</f>
        <v>1389916</v>
      </c>
      <c r="N17" s="55"/>
      <c r="O17" s="55">
        <f>'Sch 10 - Debt Service'!F37</f>
        <v>1316090</v>
      </c>
      <c r="P17" s="55"/>
      <c r="Q17" s="353">
        <v>10</v>
      </c>
      <c r="R17" s="55"/>
      <c r="S17" s="73">
        <f t="shared" si="4"/>
        <v>-73826</v>
      </c>
      <c r="U17" s="72">
        <f>937680+1166150+2138063</f>
        <v>4241893</v>
      </c>
      <c r="V17" s="55"/>
      <c r="W17" s="55">
        <f>'Sch 10 - Debt Service'!H37</f>
        <v>2523157</v>
      </c>
      <c r="X17" s="55"/>
      <c r="Y17" s="360">
        <v>10</v>
      </c>
      <c r="Z17" s="55"/>
      <c r="AA17" s="73">
        <f t="shared" si="2"/>
        <v>-1718736</v>
      </c>
    </row>
    <row r="18" spans="1:27">
      <c r="A18" s="57">
        <v>5</v>
      </c>
      <c r="B18" s="2" t="s">
        <v>43</v>
      </c>
      <c r="E18" s="72">
        <v>0</v>
      </c>
      <c r="F18" s="55"/>
      <c r="G18" s="55">
        <f>'Sch 11 - Debt Service Reserve'!D35</f>
        <v>582950</v>
      </c>
      <c r="H18" s="55"/>
      <c r="I18" s="353">
        <v>11</v>
      </c>
      <c r="J18" s="55"/>
      <c r="K18" s="73">
        <f t="shared" si="3"/>
        <v>582950</v>
      </c>
      <c r="M18" s="72">
        <v>582950</v>
      </c>
      <c r="N18" s="55"/>
      <c r="O18" s="55">
        <f>'Sch 11 - Debt Service Reserve'!F35</f>
        <v>582950</v>
      </c>
      <c r="P18" s="55"/>
      <c r="Q18" s="353">
        <v>11</v>
      </c>
      <c r="R18" s="55"/>
      <c r="S18" s="73">
        <f t="shared" si="4"/>
        <v>0</v>
      </c>
      <c r="U18" s="72">
        <f>582950+624600</f>
        <v>1207550</v>
      </c>
      <c r="V18" s="55"/>
      <c r="W18" s="55">
        <f>'Sch 11 - Debt Service Reserve'!H35</f>
        <v>678165</v>
      </c>
      <c r="X18" s="55"/>
      <c r="Y18" s="360">
        <v>11</v>
      </c>
      <c r="Z18" s="55"/>
      <c r="AA18" s="73">
        <f t="shared" si="2"/>
        <v>-529385</v>
      </c>
    </row>
    <row r="19" spans="1:27">
      <c r="A19" s="57">
        <v>6</v>
      </c>
      <c r="B19" s="2" t="s">
        <v>44</v>
      </c>
      <c r="E19" s="72">
        <v>0</v>
      </c>
      <c r="F19" s="55"/>
      <c r="G19" s="55">
        <v>0</v>
      </c>
      <c r="H19" s="55"/>
      <c r="I19" s="353">
        <v>9</v>
      </c>
      <c r="J19" s="55"/>
      <c r="K19" s="73">
        <f t="shared" si="3"/>
        <v>0</v>
      </c>
      <c r="M19" s="72">
        <v>185126</v>
      </c>
      <c r="N19" s="55"/>
      <c r="O19" s="55"/>
      <c r="P19" s="55"/>
      <c r="Q19" s="353">
        <v>9</v>
      </c>
      <c r="R19" s="55"/>
      <c r="S19" s="73">
        <f t="shared" si="4"/>
        <v>-185126</v>
      </c>
      <c r="U19" s="72">
        <f>+M19</f>
        <v>185126</v>
      </c>
      <c r="V19" s="55"/>
      <c r="W19" s="55"/>
      <c r="X19" s="55"/>
      <c r="Y19" s="353">
        <v>9</v>
      </c>
      <c r="Z19" s="55"/>
      <c r="AA19" s="73">
        <f t="shared" si="2"/>
        <v>-185126</v>
      </c>
    </row>
    <row r="20" spans="1:27" ht="6" customHeight="1">
      <c r="A20" s="57"/>
      <c r="E20" s="354"/>
      <c r="F20" s="55"/>
      <c r="G20" s="43"/>
      <c r="H20" s="55"/>
      <c r="I20" s="353"/>
      <c r="J20" s="55"/>
      <c r="K20" s="355"/>
      <c r="M20" s="354"/>
      <c r="N20" s="55"/>
      <c r="O20" s="43"/>
      <c r="P20" s="55"/>
      <c r="Q20" s="353"/>
      <c r="R20" s="55"/>
      <c r="S20" s="355"/>
      <c r="U20" s="354"/>
      <c r="V20" s="55"/>
      <c r="W20" s="43"/>
      <c r="X20" s="55"/>
      <c r="Y20" s="353"/>
      <c r="Z20" s="55"/>
      <c r="AA20" s="355"/>
    </row>
    <row r="21" spans="1:27">
      <c r="A21" s="57">
        <v>7</v>
      </c>
      <c r="B21" s="2" t="s">
        <v>45</v>
      </c>
      <c r="E21" s="72">
        <f>SUM(E14:E20)</f>
        <v>13691464</v>
      </c>
      <c r="F21" s="55"/>
      <c r="G21" s="55">
        <f>SUM(G14:G19)</f>
        <v>13066427</v>
      </c>
      <c r="H21" s="55"/>
      <c r="I21" s="353"/>
      <c r="J21" s="55"/>
      <c r="K21" s="73">
        <f>SUM(K14:K18)</f>
        <v>-625037</v>
      </c>
      <c r="M21" s="72">
        <f>SUM(M14:M20)</f>
        <v>14393266</v>
      </c>
      <c r="N21" s="55"/>
      <c r="O21" s="55">
        <f>SUM(O14:O19)</f>
        <v>13176160</v>
      </c>
      <c r="P21" s="55"/>
      <c r="Q21" s="353"/>
      <c r="R21" s="55"/>
      <c r="S21" s="73">
        <f>SUM(S14:S19)</f>
        <v>-1217106</v>
      </c>
      <c r="U21" s="72">
        <f>SUM(U14:U20)</f>
        <v>17869843</v>
      </c>
      <c r="V21" s="55"/>
      <c r="W21" s="55">
        <f>SUM(W14:W19)</f>
        <v>14478442</v>
      </c>
      <c r="X21" s="55"/>
      <c r="Y21" s="353"/>
      <c r="Z21" s="55"/>
      <c r="AA21" s="73">
        <f>SUM(AA14:AA19)</f>
        <v>-3391401</v>
      </c>
    </row>
    <row r="22" spans="1:27">
      <c r="A22" s="57">
        <v>8</v>
      </c>
      <c r="B22" t="s">
        <v>46</v>
      </c>
      <c r="E22" s="72"/>
      <c r="F22" s="55"/>
      <c r="G22" s="55"/>
      <c r="H22" s="55"/>
      <c r="I22" s="353"/>
      <c r="J22" s="55"/>
      <c r="K22" s="73"/>
      <c r="M22" s="72"/>
      <c r="N22" s="55"/>
      <c r="O22" s="55"/>
      <c r="P22" s="55"/>
      <c r="Q22" s="353"/>
      <c r="R22" s="55"/>
      <c r="S22" s="73"/>
      <c r="U22" s="72"/>
      <c r="V22" s="55"/>
      <c r="W22" s="55"/>
      <c r="X22" s="55"/>
      <c r="Y22" s="353"/>
      <c r="Z22" s="55"/>
      <c r="AA22" s="73"/>
    </row>
    <row r="23" spans="1:27">
      <c r="A23" s="57">
        <v>9</v>
      </c>
      <c r="C23" s="2" t="s">
        <v>47</v>
      </c>
      <c r="E23" s="72">
        <v>0</v>
      </c>
      <c r="F23" s="55"/>
      <c r="G23" s="55">
        <f>-'Sch 3 - IS'!F60</f>
        <v>-65119</v>
      </c>
      <c r="H23" s="55"/>
      <c r="I23" s="353">
        <v>3</v>
      </c>
      <c r="J23" s="55"/>
      <c r="K23" s="73">
        <f>+G23-E23</f>
        <v>-65119</v>
      </c>
      <c r="M23" s="72">
        <v>0</v>
      </c>
      <c r="N23" s="55"/>
      <c r="O23" s="55">
        <f>G23</f>
        <v>-65119</v>
      </c>
      <c r="P23" s="55"/>
      <c r="Q23" s="353">
        <v>3</v>
      </c>
      <c r="R23" s="55"/>
      <c r="S23" s="73">
        <f>+O23-M23</f>
        <v>-65119</v>
      </c>
      <c r="U23" s="72">
        <v>0</v>
      </c>
      <c r="V23" s="55"/>
      <c r="W23" s="55">
        <f>O23</f>
        <v>-65119</v>
      </c>
      <c r="X23" s="55"/>
      <c r="Y23" s="353">
        <v>3</v>
      </c>
      <c r="Z23" s="55"/>
      <c r="AA23" s="73">
        <f>+W23-U23</f>
        <v>-65119</v>
      </c>
    </row>
    <row r="24" spans="1:27">
      <c r="A24" s="57">
        <v>10</v>
      </c>
      <c r="C24" s="2" t="s">
        <v>48</v>
      </c>
      <c r="E24" s="72">
        <v>0</v>
      </c>
      <c r="F24" s="55"/>
      <c r="G24" s="55">
        <f>ROUND(+'WP-3 IS TB Map'!I161+'WP-3 IS TB Map'!I163,0)</f>
        <v>-2285</v>
      </c>
      <c r="H24" s="55"/>
      <c r="I24" s="353">
        <v>3</v>
      </c>
      <c r="J24" s="55"/>
      <c r="K24" s="73">
        <f>+G24-E24</f>
        <v>-2285</v>
      </c>
      <c r="M24" s="72">
        <v>0</v>
      </c>
      <c r="N24" s="55"/>
      <c r="O24" s="55">
        <f>G24</f>
        <v>-2285</v>
      </c>
      <c r="P24" s="55"/>
      <c r="Q24" s="353">
        <v>3</v>
      </c>
      <c r="R24" s="55"/>
      <c r="S24" s="73">
        <f>+O24-M24</f>
        <v>-2285</v>
      </c>
      <c r="U24" s="72">
        <v>0</v>
      </c>
      <c r="V24" s="55"/>
      <c r="W24" s="55">
        <f>O24</f>
        <v>-2285</v>
      </c>
      <c r="X24" s="55"/>
      <c r="Y24" s="353">
        <v>3</v>
      </c>
      <c r="Z24" s="55"/>
      <c r="AA24" s="73">
        <f>+W24-U24</f>
        <v>-2285</v>
      </c>
    </row>
    <row r="25" spans="1:27" ht="6" customHeight="1">
      <c r="A25" s="57"/>
      <c r="E25" s="354"/>
      <c r="F25" s="55"/>
      <c r="G25" s="43"/>
      <c r="H25" s="55"/>
      <c r="I25" s="353"/>
      <c r="J25" s="55"/>
      <c r="K25" s="355"/>
      <c r="M25" s="354"/>
      <c r="N25" s="55"/>
      <c r="O25" s="43"/>
      <c r="P25" s="55"/>
      <c r="Q25" s="353"/>
      <c r="R25" s="55"/>
      <c r="S25" s="355"/>
      <c r="U25" s="354"/>
      <c r="V25" s="55"/>
      <c r="W25" s="43"/>
      <c r="X25" s="55"/>
      <c r="Y25" s="353"/>
      <c r="Z25" s="55"/>
      <c r="AA25" s="355"/>
    </row>
    <row r="26" spans="1:27">
      <c r="A26" s="57">
        <v>11</v>
      </c>
      <c r="B26" t="s">
        <v>49</v>
      </c>
      <c r="E26" s="72">
        <f>SUM(E21:E25)</f>
        <v>13691464</v>
      </c>
      <c r="F26" s="55"/>
      <c r="G26" s="55">
        <f>SUM(G21:G24)</f>
        <v>12999023</v>
      </c>
      <c r="H26" s="55"/>
      <c r="I26" s="353"/>
      <c r="J26" s="55"/>
      <c r="K26" s="73">
        <f>SUM(K21:K24)</f>
        <v>-692441</v>
      </c>
      <c r="M26" s="72">
        <f>SUM(M21:M25)</f>
        <v>14393266</v>
      </c>
      <c r="N26" s="55"/>
      <c r="O26" s="55">
        <f>SUM(O21:O24)</f>
        <v>13108756</v>
      </c>
      <c r="P26" s="55"/>
      <c r="Q26" s="353"/>
      <c r="R26" s="55"/>
      <c r="S26" s="73">
        <f>SUM(S21:S24)</f>
        <v>-1284510</v>
      </c>
      <c r="U26" s="72">
        <f>SUM(U21:U25)</f>
        <v>17869843</v>
      </c>
      <c r="V26" s="55"/>
      <c r="W26" s="55">
        <f>SUM(W21:W24)</f>
        <v>14411038</v>
      </c>
      <c r="X26" s="55"/>
      <c r="Y26" s="353"/>
      <c r="Z26" s="55"/>
      <c r="AA26" s="73">
        <f>SUM(AA21:AA24)</f>
        <v>-3458805</v>
      </c>
    </row>
    <row r="27" spans="1:27">
      <c r="A27" s="57">
        <v>12</v>
      </c>
      <c r="B27" t="s">
        <v>62</v>
      </c>
      <c r="E27" s="72"/>
      <c r="F27" s="55"/>
      <c r="G27" s="55"/>
      <c r="H27" s="55"/>
      <c r="I27" s="353"/>
      <c r="J27" s="55"/>
      <c r="K27" s="73"/>
      <c r="M27" s="72">
        <f>13695373+M28+M29</f>
        <v>0</v>
      </c>
      <c r="N27" s="55"/>
      <c r="O27" s="55"/>
      <c r="P27" s="55"/>
      <c r="Q27" s="353"/>
      <c r="R27" s="55"/>
      <c r="S27" s="73"/>
      <c r="U27" s="72"/>
      <c r="V27" s="55"/>
      <c r="W27" s="55"/>
      <c r="X27" s="55"/>
      <c r="Y27" s="353"/>
      <c r="Z27" s="55"/>
      <c r="AA27" s="73"/>
    </row>
    <row r="28" spans="1:27">
      <c r="A28" s="57">
        <v>13</v>
      </c>
      <c r="C28" s="446" t="s">
        <v>63</v>
      </c>
      <c r="E28" s="72">
        <f>-11074869+57115+144294</f>
        <v>-10873460</v>
      </c>
      <c r="F28" s="55"/>
      <c r="G28" s="55">
        <f>ROUND(-SUM('Sch 4 PF IS'!L15:L15),0)</f>
        <v>-10961131</v>
      </c>
      <c r="H28" s="55"/>
      <c r="I28" s="353">
        <v>4</v>
      </c>
      <c r="J28" s="55"/>
      <c r="K28" s="73">
        <f>+G28-E28</f>
        <v>-87671</v>
      </c>
      <c r="M28" s="72">
        <f>+E28-E31-3909</f>
        <v>-13493964</v>
      </c>
      <c r="N28" s="55"/>
      <c r="O28" s="55">
        <f>-SUM('Sch 4 PF IS'!L61:L61)</f>
        <v>-12885286</v>
      </c>
      <c r="P28" s="55"/>
      <c r="Q28" s="353">
        <v>4</v>
      </c>
      <c r="R28" s="55"/>
      <c r="S28" s="73">
        <f>+O28-M28</f>
        <v>608678</v>
      </c>
      <c r="U28" s="72">
        <f>+M28-M31-3793</f>
        <v>-14195650</v>
      </c>
      <c r="V28" s="55"/>
      <c r="W28" s="55">
        <f>-SUM('Sch 4 PF IS'!L84:L84)</f>
        <v>-12995019</v>
      </c>
      <c r="X28" s="55"/>
      <c r="Y28" s="353">
        <v>4</v>
      </c>
      <c r="Z28" s="55"/>
      <c r="AA28" s="73">
        <f>+W28-U28</f>
        <v>1200631</v>
      </c>
    </row>
    <row r="29" spans="1:27" s="407" customFormat="1" ht="31.5">
      <c r="A29" s="406">
        <v>14</v>
      </c>
      <c r="C29" s="449" t="s">
        <v>51</v>
      </c>
      <c r="E29" s="408">
        <f>-57115-144294</f>
        <v>-201409</v>
      </c>
      <c r="F29" s="409"/>
      <c r="G29" s="409">
        <f>-SUM('Sch 4 PF IS'!F16:F16)</f>
        <v>-113737</v>
      </c>
      <c r="H29" s="409"/>
      <c r="I29" s="410">
        <v>4</v>
      </c>
      <c r="J29" s="409"/>
      <c r="K29" s="411">
        <f>+G29-E29</f>
        <v>87672</v>
      </c>
      <c r="M29" s="408">
        <f>+E29</f>
        <v>-201409</v>
      </c>
      <c r="N29" s="409"/>
      <c r="O29" s="409">
        <f>-SUM('Sch 4 PF IS'!L62:L62)</f>
        <v>-113737</v>
      </c>
      <c r="P29" s="409"/>
      <c r="Q29" s="410">
        <v>4</v>
      </c>
      <c r="R29" s="409"/>
      <c r="S29" s="411">
        <f>+O29-M29</f>
        <v>87672</v>
      </c>
      <c r="U29" s="408">
        <f>+E29</f>
        <v>-201409</v>
      </c>
      <c r="V29" s="409"/>
      <c r="W29" s="409">
        <f>-SUM('Sch 4 PF IS'!L85:L85)</f>
        <v>-113737</v>
      </c>
      <c r="X29" s="409"/>
      <c r="Y29" s="410">
        <v>4</v>
      </c>
      <c r="Z29" s="409"/>
      <c r="AA29" s="411">
        <f>+W29-U29</f>
        <v>87672</v>
      </c>
    </row>
    <row r="30" spans="1:27" ht="6" customHeight="1">
      <c r="A30" s="57"/>
      <c r="E30" s="354"/>
      <c r="F30" s="55"/>
      <c r="G30" s="43"/>
      <c r="H30" s="55"/>
      <c r="I30" s="353"/>
      <c r="J30" s="55"/>
      <c r="K30" s="355"/>
      <c r="M30" s="354"/>
      <c r="N30" s="55"/>
      <c r="O30" s="43"/>
      <c r="P30" s="55"/>
      <c r="Q30" s="353"/>
      <c r="R30" s="55"/>
      <c r="S30" s="355"/>
      <c r="U30" s="354"/>
      <c r="V30" s="55"/>
      <c r="W30" s="43"/>
      <c r="X30" s="55"/>
      <c r="Y30" s="353"/>
      <c r="Z30" s="55"/>
      <c r="AA30" s="355"/>
    </row>
    <row r="31" spans="1:27" ht="16.5" thickBot="1">
      <c r="A31" s="57">
        <v>15</v>
      </c>
      <c r="B31" s="2" t="s">
        <v>52</v>
      </c>
      <c r="E31" s="76">
        <f>SUM(E26:E29)</f>
        <v>2616595</v>
      </c>
      <c r="G31" s="51">
        <f>SUM(G26:G29)</f>
        <v>1924155</v>
      </c>
      <c r="K31" s="77">
        <f>SUM(K26:K29)</f>
        <v>-692440</v>
      </c>
      <c r="M31" s="76">
        <f>SUM(M26:M29)</f>
        <v>697893</v>
      </c>
      <c r="O31" s="51">
        <f>SUM(O26:O29)</f>
        <v>109733</v>
      </c>
      <c r="Q31" s="103"/>
      <c r="S31" s="77">
        <f>SUM(S26:S29)</f>
        <v>-588160</v>
      </c>
      <c r="U31" s="76">
        <f>SUM(U26:U29)</f>
        <v>3472784</v>
      </c>
      <c r="W31" s="51">
        <f>SUM(W26:W29)</f>
        <v>1302282</v>
      </c>
      <c r="Y31" s="103"/>
      <c r="AA31" s="77">
        <f>SUM(AA26:AA29)</f>
        <v>-2170502</v>
      </c>
    </row>
    <row r="32" spans="1:27" ht="6" customHeight="1" thickTop="1">
      <c r="A32" s="57"/>
      <c r="E32" s="12"/>
      <c r="K32" s="13"/>
      <c r="M32" s="12"/>
      <c r="Q32" s="103"/>
      <c r="S32" s="13"/>
      <c r="U32" s="12"/>
      <c r="Y32" s="103"/>
      <c r="AA32" s="13"/>
    </row>
    <row r="33" spans="1:30" ht="16.5" thickBot="1">
      <c r="A33" s="57">
        <v>16</v>
      </c>
      <c r="B33" s="2" t="s">
        <v>53</v>
      </c>
      <c r="E33" s="359">
        <f>ROUND(E31/-E28,3)</f>
        <v>0.24099999999999999</v>
      </c>
      <c r="F33" s="356"/>
      <c r="G33" s="44">
        <f>ROUND(G31/-G28,6)</f>
        <v>0.175543</v>
      </c>
      <c r="H33" s="356"/>
      <c r="I33" s="357"/>
      <c r="J33" s="356"/>
      <c r="K33" s="358">
        <f>+G33-E33</f>
        <v>-6.5456999999999987E-2</v>
      </c>
      <c r="M33" s="359">
        <f>ROUND(M31/-M28,3)</f>
        <v>5.1999999999999998E-2</v>
      </c>
      <c r="N33" s="356"/>
      <c r="O33" s="44">
        <f>ROUND(O31/-O28,4)</f>
        <v>8.5000000000000006E-3</v>
      </c>
      <c r="P33" s="356"/>
      <c r="Q33" s="357"/>
      <c r="R33" s="356"/>
      <c r="S33" s="358">
        <f>+O33-M33</f>
        <v>-4.3499999999999997E-2</v>
      </c>
      <c r="U33" s="359">
        <f>ROUND(U31/-U28,3)</f>
        <v>0.245</v>
      </c>
      <c r="V33" s="356"/>
      <c r="W33" s="44">
        <f>ROUND(W31/-W28,4)</f>
        <v>0.1002</v>
      </c>
      <c r="X33" s="356"/>
      <c r="Y33" s="357"/>
      <c r="Z33" s="356"/>
      <c r="AA33" s="358">
        <f>+W33-U33</f>
        <v>-0.14479999999999998</v>
      </c>
      <c r="AD33" s="364"/>
    </row>
    <row r="34" spans="1:30" ht="17.25" thickTop="1" thickBot="1">
      <c r="A34" s="57"/>
      <c r="E34" s="14"/>
      <c r="F34" s="15"/>
      <c r="G34" s="402"/>
      <c r="H34" s="15"/>
      <c r="I34" s="112"/>
      <c r="J34" s="15"/>
      <c r="K34" s="16"/>
      <c r="M34" s="14"/>
      <c r="N34" s="15"/>
      <c r="O34" s="402"/>
      <c r="P34" s="15"/>
      <c r="Q34" s="112"/>
      <c r="R34" s="15"/>
      <c r="S34" s="16"/>
      <c r="U34" s="14"/>
      <c r="V34" s="15"/>
      <c r="W34" s="15"/>
      <c r="X34" s="15"/>
      <c r="Y34" s="112"/>
      <c r="Z34" s="15"/>
      <c r="AA34" s="16"/>
    </row>
    <row r="35" spans="1:30">
      <c r="A35" s="57"/>
      <c r="Q35" s="103"/>
      <c r="Y35" s="103"/>
    </row>
    <row r="36" spans="1:30">
      <c r="E36" s="405"/>
      <c r="W36" s="455" t="str">
        <f>W1</f>
        <v>OUCC Attachment CFS-1</v>
      </c>
      <c r="X36" s="455"/>
      <c r="Y36" s="455"/>
      <c r="Z36" s="455"/>
      <c r="AA36" s="455"/>
      <c r="AC36" s="2" t="s">
        <v>64</v>
      </c>
    </row>
    <row r="37" spans="1:30">
      <c r="U37" s="8"/>
      <c r="AA37" s="443" t="s">
        <v>65</v>
      </c>
    </row>
    <row r="38" spans="1:30">
      <c r="AA38" s="443" t="s">
        <v>66</v>
      </c>
    </row>
    <row r="39" spans="1:30" s="3" customFormat="1" ht="20.25">
      <c r="A39" s="453" t="str">
        <f>+Inputs!$C$5</f>
        <v>City of Anderson</v>
      </c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</row>
    <row r="40" spans="1:30" s="4" customFormat="1" ht="18.75">
      <c r="A40" s="454" t="str">
        <f>"CAUSE NUMBER "&amp;Inputs!$C$6</f>
        <v>CAUSE NUMBER 46171</v>
      </c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  <c r="AA40" s="454"/>
    </row>
    <row r="42" spans="1:30">
      <c r="A42" s="452" t="s">
        <v>29</v>
      </c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</row>
    <row r="43" spans="1:30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</row>
    <row r="44" spans="1:30" ht="16.5" thickBot="1"/>
    <row r="45" spans="1:30">
      <c r="E45" s="456" t="s">
        <v>67</v>
      </c>
      <c r="F45" s="457"/>
      <c r="G45" s="457"/>
      <c r="H45" s="457"/>
      <c r="I45" s="457"/>
      <c r="J45" s="457"/>
      <c r="K45" s="458"/>
      <c r="M45" s="456" t="s">
        <v>68</v>
      </c>
      <c r="N45" s="457"/>
      <c r="O45" s="457"/>
      <c r="P45" s="457"/>
      <c r="Q45" s="457"/>
      <c r="R45" s="457"/>
      <c r="S45" s="458"/>
    </row>
    <row r="46" spans="1:30">
      <c r="E46" s="350" t="s">
        <v>31</v>
      </c>
      <c r="F46" s="442"/>
      <c r="G46" s="229" t="s">
        <v>31</v>
      </c>
      <c r="I46" s="442" t="s">
        <v>32</v>
      </c>
      <c r="K46" s="351" t="s">
        <v>33</v>
      </c>
      <c r="M46" s="350" t="s">
        <v>31</v>
      </c>
      <c r="N46" s="442"/>
      <c r="O46" s="229" t="s">
        <v>31</v>
      </c>
      <c r="Q46" s="442" t="s">
        <v>32</v>
      </c>
      <c r="S46" s="351" t="s">
        <v>33</v>
      </c>
    </row>
    <row r="47" spans="1:30">
      <c r="E47" s="82" t="s">
        <v>34</v>
      </c>
      <c r="F47" s="442"/>
      <c r="G47" s="230" t="s">
        <v>33</v>
      </c>
      <c r="I47" s="5" t="s">
        <v>35</v>
      </c>
      <c r="K47" s="35" t="s">
        <v>36</v>
      </c>
      <c r="M47" s="82" t="s">
        <v>34</v>
      </c>
      <c r="N47" s="442"/>
      <c r="O47" s="230" t="s">
        <v>33</v>
      </c>
      <c r="Q47" s="5" t="s">
        <v>35</v>
      </c>
      <c r="S47" s="35" t="s">
        <v>36</v>
      </c>
    </row>
    <row r="48" spans="1:30" ht="6" customHeight="1">
      <c r="E48" s="12"/>
      <c r="K48" s="13"/>
      <c r="M48" s="12"/>
      <c r="Q48" s="103"/>
      <c r="S48" s="13"/>
    </row>
    <row r="49" spans="1:19">
      <c r="A49" s="57">
        <v>1</v>
      </c>
      <c r="B49" s="2" t="s">
        <v>38</v>
      </c>
      <c r="E49" s="69">
        <f>+E14</f>
        <v>10642582</v>
      </c>
      <c r="F49" s="70"/>
      <c r="G49" s="70">
        <f>SUM('Sch 4 PF IS'!L116:L117)</f>
        <v>9684428</v>
      </c>
      <c r="H49" s="70"/>
      <c r="I49" s="352">
        <v>4</v>
      </c>
      <c r="J49" s="70"/>
      <c r="K49" s="71">
        <f t="shared" ref="K49:K54" si="5">+G49-E49</f>
        <v>-958154</v>
      </c>
      <c r="M49" s="69">
        <f>+E49</f>
        <v>10642582</v>
      </c>
      <c r="N49" s="70"/>
      <c r="O49" s="70">
        <f>SUM('Sch 4 PF IS'!L139:L140)</f>
        <v>9584595</v>
      </c>
      <c r="P49" s="70"/>
      <c r="Q49" s="352">
        <v>4</v>
      </c>
      <c r="R49" s="70"/>
      <c r="S49" s="71">
        <f t="shared" ref="S49" si="6">+O49-M49</f>
        <v>-1057987</v>
      </c>
    </row>
    <row r="50" spans="1:19">
      <c r="A50" s="57">
        <v>2</v>
      </c>
      <c r="B50" s="2" t="s">
        <v>40</v>
      </c>
      <c r="E50" s="72">
        <f>+E15</f>
        <v>592692</v>
      </c>
      <c r="F50" s="55"/>
      <c r="G50" s="55">
        <f>'Sch 4 PF IS'!L120</f>
        <v>592692</v>
      </c>
      <c r="H50" s="55"/>
      <c r="I50" s="353" t="s">
        <v>61</v>
      </c>
      <c r="J50" s="55"/>
      <c r="K50" s="73">
        <f t="shared" si="5"/>
        <v>0</v>
      </c>
      <c r="M50" s="72">
        <f>+E50</f>
        <v>592692</v>
      </c>
      <c r="N50" s="55"/>
      <c r="O50" s="55">
        <f>'Sch 4 PF IS'!L143</f>
        <v>592692</v>
      </c>
      <c r="P50" s="55"/>
      <c r="Q50" s="353" t="s">
        <v>61</v>
      </c>
      <c r="R50" s="55"/>
      <c r="S50" s="73">
        <f t="shared" ref="S50:S54" si="7">+O50-M50</f>
        <v>0</v>
      </c>
    </row>
    <row r="51" spans="1:19">
      <c r="A51" s="57">
        <v>3</v>
      </c>
      <c r="B51" s="2" t="s">
        <v>41</v>
      </c>
      <c r="E51" s="72">
        <v>1000000</v>
      </c>
      <c r="F51" s="55"/>
      <c r="G51" s="55">
        <f>E51</f>
        <v>1000000</v>
      </c>
      <c r="H51" s="55"/>
      <c r="I51" s="360" t="s">
        <v>61</v>
      </c>
      <c r="J51" s="55"/>
      <c r="K51" s="73">
        <f t="shared" si="5"/>
        <v>0</v>
      </c>
      <c r="M51" s="72">
        <v>2842400</v>
      </c>
      <c r="N51" s="55"/>
      <c r="O51" s="55">
        <f>M51</f>
        <v>2842400</v>
      </c>
      <c r="P51" s="55"/>
      <c r="Q51" s="353" t="s">
        <v>61</v>
      </c>
      <c r="R51" s="55"/>
      <c r="S51" s="73">
        <f t="shared" si="7"/>
        <v>0</v>
      </c>
    </row>
    <row r="52" spans="1:19">
      <c r="A52" s="57">
        <v>4</v>
      </c>
      <c r="B52" s="2" t="s">
        <v>42</v>
      </c>
      <c r="E52" s="72">
        <f>940890+2910250+1973650+1485167</f>
        <v>7309957</v>
      </c>
      <c r="F52" s="55"/>
      <c r="G52" s="55">
        <f>'Sch 10 - Debt Service'!J37</f>
        <v>5071582</v>
      </c>
      <c r="H52" s="55"/>
      <c r="I52" s="360">
        <v>10</v>
      </c>
      <c r="J52" s="55"/>
      <c r="K52" s="73">
        <f t="shared" si="5"/>
        <v>-2238375</v>
      </c>
      <c r="M52" s="72">
        <f>937140+2911250+3122550+1691950</f>
        <v>8662890</v>
      </c>
      <c r="N52" s="55"/>
      <c r="O52" s="55">
        <f>'Sch 10 - Debt Service'!L37+'Sch 10 - Debt Service'!N37</f>
        <v>5475335</v>
      </c>
      <c r="P52" s="55"/>
      <c r="Q52" s="360">
        <v>10</v>
      </c>
      <c r="R52" s="55"/>
      <c r="S52" s="73">
        <f t="shared" si="7"/>
        <v>-3187555</v>
      </c>
    </row>
    <row r="53" spans="1:19">
      <c r="A53" s="57">
        <v>5</v>
      </c>
      <c r="B53" s="2" t="s">
        <v>43</v>
      </c>
      <c r="E53" s="72">
        <f>582950+624600+358490</f>
        <v>1566040</v>
      </c>
      <c r="F53" s="55"/>
      <c r="G53" s="55">
        <f>'Sch 11 - Debt Service Reserve'!J35</f>
        <v>864681</v>
      </c>
      <c r="H53" s="55"/>
      <c r="I53" s="353">
        <v>11</v>
      </c>
      <c r="J53" s="55"/>
      <c r="K53" s="73">
        <f t="shared" si="5"/>
        <v>-701359</v>
      </c>
      <c r="M53" s="72">
        <f>582950+624600+338490</f>
        <v>1546040</v>
      </c>
      <c r="N53" s="55"/>
      <c r="O53" s="55">
        <f>'Sch 11 - Debt Service Reserve'!L35+'Sch 11 - Debt Service Reserve'!N35</f>
        <v>908395</v>
      </c>
      <c r="P53" s="55"/>
      <c r="Q53" s="360">
        <v>11</v>
      </c>
      <c r="R53" s="55"/>
      <c r="S53" s="73">
        <f t="shared" si="7"/>
        <v>-637645</v>
      </c>
    </row>
    <row r="54" spans="1:19">
      <c r="A54" s="57">
        <v>6</v>
      </c>
      <c r="B54" s="2" t="s">
        <v>44</v>
      </c>
      <c r="E54" s="72">
        <f>+M19</f>
        <v>185126</v>
      </c>
      <c r="F54" s="55"/>
      <c r="G54" s="55"/>
      <c r="H54" s="55"/>
      <c r="I54" s="353">
        <v>9</v>
      </c>
      <c r="J54" s="55"/>
      <c r="K54" s="73">
        <f t="shared" si="5"/>
        <v>-185126</v>
      </c>
      <c r="M54" s="72">
        <v>0</v>
      </c>
      <c r="N54" s="55"/>
      <c r="O54" s="55">
        <v>0</v>
      </c>
      <c r="P54" s="55"/>
      <c r="Q54" s="353">
        <v>9</v>
      </c>
      <c r="R54" s="55"/>
      <c r="S54" s="73">
        <f t="shared" si="7"/>
        <v>0</v>
      </c>
    </row>
    <row r="55" spans="1:19" ht="6" customHeight="1">
      <c r="A55" s="57"/>
      <c r="E55" s="354"/>
      <c r="F55" s="55"/>
      <c r="G55" s="43"/>
      <c r="H55" s="55"/>
      <c r="I55" s="353"/>
      <c r="J55" s="55"/>
      <c r="K55" s="355"/>
      <c r="M55" s="354"/>
      <c r="N55" s="55"/>
      <c r="O55" s="43"/>
      <c r="P55" s="55"/>
      <c r="Q55" s="353"/>
      <c r="R55" s="55"/>
      <c r="S55" s="355"/>
    </row>
    <row r="56" spans="1:19">
      <c r="A56" s="57">
        <v>7</v>
      </c>
      <c r="B56" s="2" t="s">
        <v>45</v>
      </c>
      <c r="E56" s="72">
        <f>SUM(E49:E55)</f>
        <v>21296397</v>
      </c>
      <c r="F56" s="55"/>
      <c r="G56" s="55">
        <f>SUM(G49:G54)</f>
        <v>17213383</v>
      </c>
      <c r="H56" s="55"/>
      <c r="I56" s="353"/>
      <c r="J56" s="55"/>
      <c r="K56" s="73">
        <f>SUM(K49:K54)</f>
        <v>-4083014</v>
      </c>
      <c r="M56" s="72">
        <f>SUM(M49:M55)</f>
        <v>24286604</v>
      </c>
      <c r="N56" s="55"/>
      <c r="O56" s="55">
        <f>SUM(O49:O54)</f>
        <v>19403417</v>
      </c>
      <c r="P56" s="55"/>
      <c r="Q56" s="353"/>
      <c r="R56" s="55"/>
      <c r="S56" s="73">
        <f>SUM(S49:S54)</f>
        <v>-4883187</v>
      </c>
    </row>
    <row r="57" spans="1:19">
      <c r="A57" s="57">
        <v>8</v>
      </c>
      <c r="B57" t="s">
        <v>46</v>
      </c>
      <c r="E57" s="72"/>
      <c r="F57" s="55"/>
      <c r="G57" s="55"/>
      <c r="H57" s="55"/>
      <c r="I57" s="353"/>
      <c r="J57" s="55"/>
      <c r="K57" s="73"/>
      <c r="M57" s="72"/>
      <c r="N57" s="55"/>
      <c r="O57" s="55"/>
      <c r="P57" s="55"/>
      <c r="Q57" s="353"/>
      <c r="R57" s="55"/>
      <c r="S57" s="73"/>
    </row>
    <row r="58" spans="1:19">
      <c r="A58" s="57">
        <v>9</v>
      </c>
      <c r="C58" s="2" t="s">
        <v>47</v>
      </c>
      <c r="E58" s="72">
        <v>0</v>
      </c>
      <c r="F58" s="55"/>
      <c r="G58" s="55">
        <f>W23</f>
        <v>-65119</v>
      </c>
      <c r="H58" s="55"/>
      <c r="I58" s="353">
        <v>3</v>
      </c>
      <c r="J58" s="55"/>
      <c r="K58" s="73">
        <f>+G58-E58</f>
        <v>-65119</v>
      </c>
      <c r="M58" s="72">
        <v>0</v>
      </c>
      <c r="N58" s="55"/>
      <c r="O58" s="55">
        <f>G58</f>
        <v>-65119</v>
      </c>
      <c r="P58" s="55"/>
      <c r="Q58" s="353">
        <v>3</v>
      </c>
      <c r="R58" s="55"/>
      <c r="S58" s="73">
        <f>+O58-M58</f>
        <v>-65119</v>
      </c>
    </row>
    <row r="59" spans="1:19">
      <c r="A59" s="57">
        <v>10</v>
      </c>
      <c r="C59" s="2" t="s">
        <v>48</v>
      </c>
      <c r="E59" s="72">
        <v>0</v>
      </c>
      <c r="F59" s="55"/>
      <c r="G59" s="55">
        <f>W24</f>
        <v>-2285</v>
      </c>
      <c r="H59" s="55"/>
      <c r="I59" s="353">
        <v>3</v>
      </c>
      <c r="J59" s="55"/>
      <c r="K59" s="73">
        <f>+G59-E59</f>
        <v>-2285</v>
      </c>
      <c r="M59" s="72">
        <v>0</v>
      </c>
      <c r="N59" s="55"/>
      <c r="O59" s="55">
        <f>G59</f>
        <v>-2285</v>
      </c>
      <c r="P59" s="55"/>
      <c r="Q59" s="353">
        <v>3</v>
      </c>
      <c r="R59" s="55"/>
      <c r="S59" s="73">
        <f>+O59-M59</f>
        <v>-2285</v>
      </c>
    </row>
    <row r="60" spans="1:19" ht="6" customHeight="1">
      <c r="A60" s="57"/>
      <c r="E60" s="354"/>
      <c r="F60" s="55"/>
      <c r="G60" s="43"/>
      <c r="H60" s="55"/>
      <c r="I60" s="353"/>
      <c r="J60" s="55"/>
      <c r="K60" s="355"/>
      <c r="M60" s="354"/>
      <c r="N60" s="55"/>
      <c r="O60" s="43"/>
      <c r="P60" s="55"/>
      <c r="Q60" s="353"/>
      <c r="R60" s="55"/>
      <c r="S60" s="355"/>
    </row>
    <row r="61" spans="1:19">
      <c r="A61" s="57">
        <v>11</v>
      </c>
      <c r="B61" t="s">
        <v>49</v>
      </c>
      <c r="E61" s="72">
        <f>SUM(E56:E60)</f>
        <v>21296397</v>
      </c>
      <c r="F61" s="55"/>
      <c r="G61" s="55">
        <f>SUM(G56:G59)</f>
        <v>17145979</v>
      </c>
      <c r="H61" s="55"/>
      <c r="I61" s="353"/>
      <c r="J61" s="55"/>
      <c r="K61" s="73">
        <f>SUM(K56:K59)</f>
        <v>-4150418</v>
      </c>
      <c r="M61" s="72">
        <f>SUM(M56:M60)</f>
        <v>24286604</v>
      </c>
      <c r="N61" s="55"/>
      <c r="O61" s="55">
        <f>SUM(O56:O59)</f>
        <v>19336013</v>
      </c>
      <c r="P61" s="55"/>
      <c r="Q61" s="353"/>
      <c r="R61" s="55"/>
      <c r="S61" s="73">
        <f>SUM(S56:S59)</f>
        <v>-4950591</v>
      </c>
    </row>
    <row r="62" spans="1:19">
      <c r="A62" s="57">
        <v>12</v>
      </c>
      <c r="B62" s="2" t="s">
        <v>62</v>
      </c>
      <c r="E62" s="72"/>
      <c r="F62" s="55"/>
      <c r="G62" s="55"/>
      <c r="H62" s="55"/>
      <c r="I62" s="353"/>
      <c r="J62" s="55"/>
      <c r="K62" s="73"/>
      <c r="M62" s="72"/>
      <c r="N62" s="55"/>
      <c r="O62" s="55"/>
      <c r="P62" s="55"/>
      <c r="Q62" s="353"/>
      <c r="R62" s="55"/>
      <c r="S62" s="73"/>
    </row>
    <row r="63" spans="1:19">
      <c r="A63" s="57">
        <v>13</v>
      </c>
      <c r="C63" s="2" t="s">
        <v>63</v>
      </c>
      <c r="E63" s="72">
        <f>+U28-U31-25150</f>
        <v>-17693584</v>
      </c>
      <c r="F63" s="55"/>
      <c r="G63" s="55">
        <f>-SUM('Sch 4 PF IS'!L112:L112)</f>
        <v>-14297301</v>
      </c>
      <c r="H63" s="55"/>
      <c r="I63" s="353">
        <v>4</v>
      </c>
      <c r="J63" s="55"/>
      <c r="K63" s="73">
        <f>+G63-E63</f>
        <v>3396283</v>
      </c>
      <c r="M63" s="72">
        <f>+E63-E66+28076</f>
        <v>-21066912</v>
      </c>
      <c r="N63" s="55"/>
      <c r="O63" s="55">
        <f>-SUM('Sch 4 PF IS'!L135:L135)</f>
        <v>-17032242</v>
      </c>
      <c r="P63" s="55"/>
      <c r="Q63" s="353">
        <v>4</v>
      </c>
      <c r="R63" s="55"/>
      <c r="S63" s="73">
        <f>+O63-M63</f>
        <v>4034670</v>
      </c>
    </row>
    <row r="64" spans="1:19" ht="31.5">
      <c r="A64" s="57">
        <v>14</v>
      </c>
      <c r="C64" s="446" t="s">
        <v>51</v>
      </c>
      <c r="E64" s="361">
        <f>+E29</f>
        <v>-201409</v>
      </c>
      <c r="F64" s="55"/>
      <c r="G64" s="125">
        <f>-SUM('Sch 4 PF IS'!L113:L113)</f>
        <v>-113737</v>
      </c>
      <c r="H64" s="55"/>
      <c r="I64" s="353">
        <v>4</v>
      </c>
      <c r="J64" s="55"/>
      <c r="K64" s="130">
        <f>+G64-E64</f>
        <v>87672</v>
      </c>
      <c r="M64" s="72">
        <f>+E64</f>
        <v>-201409</v>
      </c>
      <c r="N64" s="55"/>
      <c r="O64" s="55">
        <f>-SUM('Sch 4 PF IS'!L136:L136)</f>
        <v>-113737</v>
      </c>
      <c r="P64" s="55"/>
      <c r="Q64" s="353">
        <v>4</v>
      </c>
      <c r="R64" s="55"/>
      <c r="S64" s="73">
        <f>+O64-M64</f>
        <v>87672</v>
      </c>
    </row>
    <row r="65" spans="1:19" ht="6" customHeight="1">
      <c r="A65" s="57"/>
      <c r="E65" s="72"/>
      <c r="F65" s="55"/>
      <c r="G65" s="55"/>
      <c r="H65" s="55"/>
      <c r="I65" s="353"/>
      <c r="J65" s="55"/>
      <c r="K65" s="73"/>
      <c r="M65" s="354"/>
      <c r="N65" s="55"/>
      <c r="O65" s="43"/>
      <c r="P65" s="55"/>
      <c r="Q65" s="353"/>
      <c r="R65" s="55"/>
      <c r="S65" s="355"/>
    </row>
    <row r="66" spans="1:19" ht="16.5" thickBot="1">
      <c r="A66" s="57">
        <v>15</v>
      </c>
      <c r="B66" s="2" t="s">
        <v>52</v>
      </c>
      <c r="E66" s="76">
        <f>SUM(E61:E64)</f>
        <v>3401404</v>
      </c>
      <c r="G66" s="401">
        <f>SUM(G61:G64)</f>
        <v>2734941</v>
      </c>
      <c r="K66" s="77">
        <f>SUM(K61:K64)</f>
        <v>-666463</v>
      </c>
      <c r="M66" s="76">
        <f>SUM(M61:M64)</f>
        <v>3018283</v>
      </c>
      <c r="O66" s="401">
        <f>SUM(O61:O64)</f>
        <v>2190034</v>
      </c>
      <c r="Q66" s="103"/>
      <c r="S66" s="77">
        <f>SUM(S61:S64)</f>
        <v>-828249</v>
      </c>
    </row>
    <row r="67" spans="1:19" ht="6" customHeight="1" thickTop="1">
      <c r="A67" s="57"/>
      <c r="E67" s="12"/>
      <c r="K67" s="13"/>
      <c r="M67" s="12"/>
      <c r="Q67" s="103"/>
      <c r="S67" s="13"/>
    </row>
    <row r="68" spans="1:19" ht="16.5" thickBot="1">
      <c r="A68" s="57">
        <v>16</v>
      </c>
      <c r="B68" s="2" t="s">
        <v>53</v>
      </c>
      <c r="E68" s="359">
        <f>ROUND(E66/-E63,3)</f>
        <v>0.192</v>
      </c>
      <c r="F68" s="356"/>
      <c r="G68" s="44">
        <f>ROUND(G66/-G63,4)</f>
        <v>0.1913</v>
      </c>
      <c r="H68" s="356"/>
      <c r="I68" s="357"/>
      <c r="J68" s="356"/>
      <c r="K68" s="358">
        <f>+G68-E68</f>
        <v>-7.0000000000000617E-4</v>
      </c>
      <c r="M68" s="359">
        <v>0.14299999999999999</v>
      </c>
      <c r="N68" s="356"/>
      <c r="O68" s="44">
        <f>ROUND(O66/-O63,4)</f>
        <v>0.12859999999999999</v>
      </c>
      <c r="P68" s="356"/>
      <c r="Q68" s="357"/>
      <c r="R68" s="356"/>
      <c r="S68" s="358">
        <f>+O68-M68</f>
        <v>-1.4399999999999996E-2</v>
      </c>
    </row>
    <row r="69" spans="1:19" ht="17.25" thickTop="1" thickBot="1">
      <c r="A69" s="57"/>
      <c r="E69" s="14"/>
      <c r="F69" s="15"/>
      <c r="G69" s="402"/>
      <c r="H69" s="15"/>
      <c r="I69" s="112"/>
      <c r="J69" s="15"/>
      <c r="K69" s="16"/>
      <c r="M69" s="14"/>
      <c r="N69" s="15"/>
      <c r="O69" s="402"/>
      <c r="P69" s="15"/>
      <c r="Q69" s="112"/>
      <c r="R69" s="15"/>
      <c r="S69" s="16"/>
    </row>
    <row r="70" spans="1:19">
      <c r="E70" s="405">
        <f>+E66/-E63</f>
        <v>0.19223940158195196</v>
      </c>
      <c r="M70" s="118">
        <f>3018283-M66</f>
        <v>0</v>
      </c>
    </row>
    <row r="71" spans="1:19">
      <c r="E71" s="2" t="s">
        <v>37</v>
      </c>
    </row>
    <row r="73" spans="1:19" s="3" customFormat="1" ht="20.25">
      <c r="A73" s="2"/>
      <c r="B73" s="2"/>
      <c r="C73" s="2"/>
      <c r="D73" s="2"/>
      <c r="E73" s="118">
        <f>G14-SUM('Sch 4 PF IS'!L20:L39)</f>
        <v>0</v>
      </c>
      <c r="F73" s="2"/>
      <c r="G73" s="6"/>
      <c r="H73" s="2"/>
      <c r="I73" s="103"/>
      <c r="J73" s="2"/>
      <c r="K73" s="2"/>
      <c r="O73" s="403"/>
    </row>
    <row r="74" spans="1:19" s="4" customFormat="1" ht="18.75">
      <c r="A74" s="2"/>
      <c r="B74" s="2"/>
      <c r="C74" s="2"/>
      <c r="D74" s="2"/>
      <c r="E74" s="2"/>
      <c r="F74" s="2"/>
      <c r="G74" s="6"/>
      <c r="H74" s="2"/>
      <c r="I74" s="103"/>
      <c r="J74" s="2"/>
      <c r="K74" s="2"/>
      <c r="O74" s="404"/>
    </row>
    <row r="75" spans="1:19">
      <c r="E75" s="118"/>
      <c r="I75" s="233"/>
    </row>
    <row r="79" spans="1:19">
      <c r="L79" s="8"/>
    </row>
    <row r="105" spans="1:15" s="3" customFormat="1" ht="20.25">
      <c r="A105" s="2"/>
      <c r="B105" s="2"/>
      <c r="C105" s="2"/>
      <c r="D105" s="2"/>
      <c r="E105" s="2"/>
      <c r="F105" s="2"/>
      <c r="G105" s="6"/>
      <c r="H105" s="2"/>
      <c r="I105" s="103"/>
      <c r="J105" s="2"/>
      <c r="K105" s="2"/>
      <c r="O105" s="403"/>
    </row>
    <row r="106" spans="1:15" s="4" customFormat="1" ht="18.75">
      <c r="A106" s="2"/>
      <c r="B106" s="2"/>
      <c r="C106" s="2"/>
      <c r="D106" s="2"/>
      <c r="E106" s="2"/>
      <c r="F106" s="2"/>
      <c r="G106" s="6"/>
      <c r="H106" s="2"/>
      <c r="I106" s="103"/>
      <c r="J106" s="2"/>
      <c r="K106" s="2"/>
      <c r="O106" s="404"/>
    </row>
    <row r="137" spans="1:15" s="3" customFormat="1" ht="20.25">
      <c r="A137" s="2"/>
      <c r="B137" s="2"/>
      <c r="C137" s="2"/>
      <c r="D137" s="2"/>
      <c r="E137" s="2"/>
      <c r="F137" s="2"/>
      <c r="G137" s="6"/>
      <c r="H137" s="2"/>
      <c r="I137" s="103"/>
      <c r="J137" s="2"/>
      <c r="K137" s="2"/>
      <c r="O137" s="403"/>
    </row>
    <row r="138" spans="1:15" s="4" customFormat="1" ht="18.75">
      <c r="A138" s="2"/>
      <c r="B138" s="2"/>
      <c r="C138" s="2"/>
      <c r="D138" s="2"/>
      <c r="E138" s="2"/>
      <c r="F138" s="2"/>
      <c r="G138" s="6"/>
      <c r="H138" s="2"/>
      <c r="I138" s="103"/>
      <c r="J138" s="2"/>
      <c r="K138" s="2"/>
      <c r="O138" s="404"/>
    </row>
    <row r="146" spans="13:13">
      <c r="M146" s="118"/>
    </row>
  </sheetData>
  <mergeCells count="15">
    <mergeCell ref="W1:AA1"/>
    <mergeCell ref="W36:AA36"/>
    <mergeCell ref="M10:S10"/>
    <mergeCell ref="U10:AA10"/>
    <mergeCell ref="E45:K45"/>
    <mergeCell ref="M45:S45"/>
    <mergeCell ref="A4:AA4"/>
    <mergeCell ref="A5:AA5"/>
    <mergeCell ref="A7:AA7"/>
    <mergeCell ref="A8:AA8"/>
    <mergeCell ref="A39:AA39"/>
    <mergeCell ref="A40:AA40"/>
    <mergeCell ref="A42:AA42"/>
    <mergeCell ref="A43:AA43"/>
    <mergeCell ref="E10:K10"/>
  </mergeCells>
  <phoneticPr fontId="7" type="noConversion"/>
  <printOptions horizontalCentered="1"/>
  <pageMargins left="0.5" right="0.5" top="0.5" bottom="0.75" header="0.5" footer="0.5"/>
  <pageSetup scale="68" fitToHeight="2" orientation="landscape" r:id="rId1"/>
  <headerFooter alignWithMargins="0"/>
  <rowBreaks count="1" manualBreakCount="1">
    <brk id="3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2BF3-2A0A-4251-9AB8-CB7883EFB5E9}">
  <sheetPr>
    <tabColor indexed="34"/>
  </sheetPr>
  <dimension ref="A1:W1048576"/>
  <sheetViews>
    <sheetView view="pageBreakPreview" zoomScale="160" zoomScaleNormal="100" zoomScaleSheetLayoutView="160" workbookViewId="0">
      <selection activeCell="A39" sqref="A39"/>
    </sheetView>
  </sheetViews>
  <sheetFormatPr defaultColWidth="9" defaultRowHeight="15.75"/>
  <cols>
    <col min="1" max="1" width="2.375" style="2" customWidth="1"/>
    <col min="2" max="2" width="1.625" style="2" customWidth="1"/>
    <col min="3" max="3" width="32.25" style="2" customWidth="1"/>
    <col min="4" max="4" width="12.125" style="2" customWidth="1"/>
    <col min="5" max="5" width="1.5" style="2" customWidth="1"/>
    <col min="6" max="6" width="4" style="378" bestFit="1" customWidth="1"/>
    <col min="7" max="7" width="1.5" style="2" customWidth="1"/>
    <col min="8" max="8" width="12.125" style="2" customWidth="1"/>
    <col min="9" max="9" width="1.625" style="2" customWidth="1"/>
    <col min="10" max="10" width="5.875" style="103" customWidth="1"/>
    <col min="11" max="11" width="1.625" style="2" customWidth="1"/>
    <col min="12" max="12" width="12.125" style="2" customWidth="1"/>
    <col min="13" max="13" width="11.5" style="2" bestFit="1" customWidth="1"/>
    <col min="14" max="14" width="12.125" style="2" bestFit="1" customWidth="1"/>
    <col min="15" max="15" width="43.25" style="2" bestFit="1" customWidth="1"/>
    <col min="16" max="16" width="1.625" style="2" customWidth="1"/>
    <col min="17" max="17" width="9" style="2"/>
    <col min="18" max="18" width="1.625" style="2" customWidth="1"/>
    <col min="19" max="20" width="11.75" style="2" bestFit="1" customWidth="1"/>
    <col min="21" max="16384" width="9" style="2"/>
  </cols>
  <sheetData>
    <row r="1" spans="1:23">
      <c r="A1" s="113"/>
      <c r="F1" s="2"/>
      <c r="L1" s="443" t="str">
        <f>+'Sch 1 - Overall'!J1</f>
        <v>OUCC Attachment CFS-1</v>
      </c>
      <c r="N1" s="57"/>
      <c r="U1" s="103"/>
    </row>
    <row r="2" spans="1:23">
      <c r="A2" s="113"/>
      <c r="F2" s="2"/>
      <c r="L2" s="443" t="s">
        <v>65</v>
      </c>
      <c r="N2" s="57"/>
      <c r="P2" s="110"/>
      <c r="Q2" s="111"/>
      <c r="S2" s="111"/>
      <c r="U2" s="103"/>
      <c r="W2" s="111"/>
    </row>
    <row r="3" spans="1:23">
      <c r="A3" s="113"/>
      <c r="F3" s="2"/>
      <c r="L3" s="443" t="s">
        <v>69</v>
      </c>
      <c r="N3" s="57"/>
      <c r="U3" s="103"/>
    </row>
    <row r="4" spans="1:23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</row>
    <row r="5" spans="1:23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</row>
    <row r="6" spans="1:23">
      <c r="A6" s="113"/>
      <c r="F6" s="2"/>
    </row>
    <row r="7" spans="1:23">
      <c r="A7" s="452" t="s">
        <v>70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</row>
    <row r="8" spans="1:23">
      <c r="A8" s="459" t="s">
        <v>71</v>
      </c>
      <c r="B8" s="459"/>
      <c r="C8" s="459"/>
      <c r="D8" s="459"/>
      <c r="E8" s="459"/>
      <c r="F8" s="459"/>
      <c r="G8" s="459"/>
      <c r="H8" s="459"/>
      <c r="I8" s="459"/>
      <c r="J8" s="459"/>
      <c r="K8" s="459"/>
      <c r="L8" s="459"/>
    </row>
    <row r="9" spans="1:23">
      <c r="A9" s="113"/>
      <c r="F9" s="2"/>
    </row>
    <row r="10" spans="1:23">
      <c r="A10" s="113"/>
      <c r="C10" s="103"/>
      <c r="D10" s="442" t="s">
        <v>31</v>
      </c>
      <c r="E10" s="442"/>
      <c r="F10" s="442" t="s">
        <v>72</v>
      </c>
      <c r="G10" s="442"/>
      <c r="H10" s="442" t="s">
        <v>31</v>
      </c>
      <c r="I10" s="442"/>
      <c r="J10" s="442" t="s">
        <v>72</v>
      </c>
      <c r="K10" s="442"/>
      <c r="L10" s="442" t="s">
        <v>33</v>
      </c>
    </row>
    <row r="11" spans="1:23">
      <c r="A11" s="113"/>
      <c r="C11" s="103"/>
      <c r="D11" s="5" t="s">
        <v>34</v>
      </c>
      <c r="E11" s="442"/>
      <c r="F11" s="5" t="s">
        <v>35</v>
      </c>
      <c r="G11" s="442"/>
      <c r="H11" s="5" t="s">
        <v>33</v>
      </c>
      <c r="I11" s="442"/>
      <c r="J11" s="5" t="s">
        <v>35</v>
      </c>
      <c r="K11" s="442"/>
      <c r="L11" s="5" t="s">
        <v>36</v>
      </c>
    </row>
    <row r="12" spans="1:23">
      <c r="A12" s="57">
        <v>1</v>
      </c>
      <c r="B12" t="s">
        <v>73</v>
      </c>
      <c r="C12"/>
      <c r="D12"/>
      <c r="F12" s="2"/>
    </row>
    <row r="13" spans="1:23">
      <c r="A13" s="57">
        <f>+A12+1</f>
        <v>2</v>
      </c>
      <c r="B13"/>
      <c r="C13" t="s">
        <v>74</v>
      </c>
      <c r="D13" s="70">
        <v>0</v>
      </c>
      <c r="E13" s="70"/>
      <c r="F13" s="198"/>
      <c r="G13" s="70"/>
      <c r="H13" s="70">
        <v>0</v>
      </c>
      <c r="I13" s="70"/>
      <c r="J13" s="198"/>
      <c r="K13" s="70"/>
      <c r="L13" s="70">
        <v>0</v>
      </c>
    </row>
    <row r="14" spans="1:23">
      <c r="A14" s="57">
        <v>3</v>
      </c>
      <c r="B14"/>
      <c r="C14" t="s">
        <v>75</v>
      </c>
      <c r="D14" s="46">
        <v>0</v>
      </c>
      <c r="E14" s="55"/>
      <c r="F14" s="199"/>
      <c r="G14" s="55"/>
      <c r="H14" s="46">
        <f>'Sch 4 PF IS'!H16</f>
        <v>0</v>
      </c>
      <c r="I14" s="55"/>
      <c r="J14" s="199"/>
      <c r="K14" s="55"/>
      <c r="L14" s="55">
        <f t="shared" ref="L14" si="0">H14-D14</f>
        <v>0</v>
      </c>
    </row>
    <row r="15" spans="1:23">
      <c r="A15" s="57">
        <f t="shared" ref="A15" si="1">+A14+1</f>
        <v>4</v>
      </c>
      <c r="B15"/>
      <c r="C15" s="46" t="s">
        <v>76</v>
      </c>
      <c r="D15" s="94">
        <v>0</v>
      </c>
      <c r="E15" s="55"/>
      <c r="F15" s="199"/>
      <c r="G15" s="55"/>
      <c r="H15" s="94">
        <f>SUM(H14:H14)</f>
        <v>0</v>
      </c>
      <c r="I15" s="55"/>
      <c r="J15" s="199"/>
      <c r="K15" s="55"/>
      <c r="L15" s="47">
        <f>SUM(L14:L14)</f>
        <v>0</v>
      </c>
    </row>
    <row r="16" spans="1:23">
      <c r="A16" s="57"/>
      <c r="B16"/>
      <c r="C16"/>
      <c r="D16" s="46"/>
      <c r="E16" s="55"/>
      <c r="F16" s="199"/>
      <c r="G16" s="55"/>
      <c r="H16" s="46"/>
      <c r="I16" s="55"/>
      <c r="J16" s="199"/>
      <c r="K16" s="55"/>
      <c r="L16" s="55"/>
    </row>
    <row r="17" spans="1:12">
      <c r="A17" s="57">
        <v>5</v>
      </c>
      <c r="B17" t="s">
        <v>77</v>
      </c>
      <c r="C17"/>
      <c r="D17" s="46"/>
      <c r="E17" s="55"/>
      <c r="F17" s="199"/>
      <c r="G17" s="55"/>
      <c r="H17" s="46"/>
      <c r="I17" s="55"/>
      <c r="J17" s="199"/>
      <c r="K17" s="55"/>
      <c r="L17" s="55"/>
    </row>
    <row r="18" spans="1:12">
      <c r="A18" s="57">
        <v>6</v>
      </c>
      <c r="B18"/>
      <c r="C18" t="s">
        <v>78</v>
      </c>
      <c r="D18" s="46"/>
      <c r="E18" s="55"/>
      <c r="F18" s="199"/>
      <c r="G18" s="55"/>
      <c r="H18" s="46"/>
      <c r="I18" s="55"/>
      <c r="J18" s="199"/>
      <c r="K18" s="55"/>
      <c r="L18" s="55"/>
    </row>
    <row r="19" spans="1:12">
      <c r="A19" s="57">
        <v>7</v>
      </c>
      <c r="B19"/>
      <c r="C19" s="195" t="s">
        <v>79</v>
      </c>
      <c r="D19" s="46">
        <v>73492</v>
      </c>
      <c r="E19" s="55"/>
      <c r="F19" s="341" t="s">
        <v>80</v>
      </c>
      <c r="G19" s="55"/>
      <c r="H19" s="46">
        <f>ROUND('Sch 4 PF IS'!H21,0)</f>
        <v>201961</v>
      </c>
      <c r="I19" s="55"/>
      <c r="J19" s="199" t="str">
        <f>'Sch 4 PF IS'!J21</f>
        <v>6-1</v>
      </c>
      <c r="K19" s="55"/>
      <c r="L19" s="55">
        <f>H19-D19</f>
        <v>128469</v>
      </c>
    </row>
    <row r="20" spans="1:12">
      <c r="A20" s="57">
        <v>8</v>
      </c>
      <c r="B20"/>
      <c r="C20" s="281" t="s">
        <v>81</v>
      </c>
      <c r="D20" s="46">
        <v>49015</v>
      </c>
      <c r="E20" s="55"/>
      <c r="F20" s="341" t="s">
        <v>82</v>
      </c>
      <c r="G20" s="55"/>
      <c r="H20" s="46">
        <f>'WP-4 Salaries &amp; Wages Expense'!Q1091+'WP-4 Salaries &amp; Wages Expense'!Q1092</f>
        <v>63411</v>
      </c>
      <c r="I20" s="55"/>
      <c r="J20" s="199" t="str">
        <f>'Sch 4 PF IS'!J22</f>
        <v>6-2</v>
      </c>
      <c r="K20" s="55"/>
      <c r="L20" s="55">
        <f>H20-D20</f>
        <v>14396</v>
      </c>
    </row>
    <row r="21" spans="1:12">
      <c r="A21" s="57">
        <v>9</v>
      </c>
      <c r="B21"/>
      <c r="C21" s="281" t="s">
        <v>83</v>
      </c>
      <c r="D21" s="46">
        <v>32101</v>
      </c>
      <c r="E21" s="55"/>
      <c r="F21" s="341" t="s">
        <v>84</v>
      </c>
      <c r="G21" s="55"/>
      <c r="H21" s="42">
        <f>'WP-4 Salaries &amp; Wages Expense'!Q1093</f>
        <v>34254</v>
      </c>
      <c r="I21" s="55"/>
      <c r="K21" s="55"/>
      <c r="L21" s="55">
        <f>H21-D21</f>
        <v>2153</v>
      </c>
    </row>
    <row r="22" spans="1:12">
      <c r="A22" s="58">
        <v>10</v>
      </c>
      <c r="B22"/>
      <c r="C22" s="196" t="s">
        <v>85</v>
      </c>
      <c r="D22" s="46">
        <v>515898</v>
      </c>
      <c r="F22" s="341" t="s">
        <v>86</v>
      </c>
      <c r="H22" s="46">
        <f>ROUND('Sch 4 PF IS'!H24,0)</f>
        <v>0</v>
      </c>
      <c r="J22" s="199">
        <f>'Sch 4 PF IS'!J24</f>
        <v>0</v>
      </c>
      <c r="L22" s="55">
        <f t="shared" ref="L22" si="2">H22-D22</f>
        <v>-515898</v>
      </c>
    </row>
    <row r="23" spans="1:12">
      <c r="A23" s="58">
        <v>11</v>
      </c>
      <c r="B23"/>
      <c r="C23" s="196" t="s">
        <v>87</v>
      </c>
      <c r="D23" s="46">
        <v>0</v>
      </c>
      <c r="F23" s="341"/>
      <c r="H23" s="46">
        <f>ROUND('Sch 4 PF IS'!H23,0)</f>
        <v>-201887</v>
      </c>
      <c r="J23" s="199" t="str">
        <f>'Sch 4 PF IS'!J23</f>
        <v>6-3</v>
      </c>
      <c r="L23" s="55">
        <f>H23-D23</f>
        <v>-201887</v>
      </c>
    </row>
    <row r="24" spans="1:12">
      <c r="A24" s="58">
        <v>12</v>
      </c>
      <c r="B24"/>
      <c r="C24" t="s">
        <v>88</v>
      </c>
      <c r="D24" s="46"/>
      <c r="F24" s="103"/>
      <c r="J24" s="199"/>
      <c r="L24" s="55"/>
    </row>
    <row r="25" spans="1:12">
      <c r="A25" s="58">
        <v>13</v>
      </c>
      <c r="B25"/>
      <c r="C25" s="194" t="s">
        <v>89</v>
      </c>
      <c r="D25" s="46">
        <v>179432</v>
      </c>
      <c r="F25" s="341" t="s">
        <v>90</v>
      </c>
      <c r="H25" s="46">
        <v>0</v>
      </c>
      <c r="J25" s="199">
        <v>0</v>
      </c>
      <c r="L25" s="55">
        <f>H25-D25</f>
        <v>-179432</v>
      </c>
    </row>
    <row r="26" spans="1:12">
      <c r="A26" s="58">
        <v>14</v>
      </c>
      <c r="B26"/>
      <c r="C26" s="194" t="s">
        <v>91</v>
      </c>
      <c r="D26" s="46">
        <v>74590</v>
      </c>
      <c r="F26" s="341" t="s">
        <v>92</v>
      </c>
      <c r="H26" s="46">
        <f>+ROUND('Sch 6 - Exp Adj'!I63,0)</f>
        <v>10440</v>
      </c>
      <c r="J26" s="341" t="s">
        <v>93</v>
      </c>
      <c r="L26" s="55">
        <f>H26-D26</f>
        <v>-64150</v>
      </c>
    </row>
    <row r="27" spans="1:12">
      <c r="A27" s="58">
        <v>15</v>
      </c>
      <c r="C27" s="2" t="s">
        <v>94</v>
      </c>
      <c r="D27" s="46">
        <v>58092</v>
      </c>
      <c r="F27" s="341" t="s">
        <v>95</v>
      </c>
      <c r="H27" s="46">
        <f>+ROUND('Sch 6 - Exp Adj'!I75,0)</f>
        <v>14275</v>
      </c>
      <c r="J27" s="199" t="str">
        <f>'Sch 4 PF IS'!J26</f>
        <v>6-5</v>
      </c>
      <c r="L27" s="55">
        <f>H27-D27</f>
        <v>-43817</v>
      </c>
    </row>
    <row r="28" spans="1:12">
      <c r="A28" s="58">
        <v>16</v>
      </c>
      <c r="C28" s="2" t="s">
        <v>96</v>
      </c>
      <c r="D28" s="46"/>
      <c r="F28" s="103"/>
      <c r="H28" s="46"/>
      <c r="J28" s="199"/>
      <c r="L28" s="55"/>
    </row>
    <row r="29" spans="1:12">
      <c r="A29" s="58">
        <v>17</v>
      </c>
      <c r="C29" s="194" t="s">
        <v>97</v>
      </c>
      <c r="D29" s="46">
        <v>176486</v>
      </c>
      <c r="F29" s="214" t="s">
        <v>98</v>
      </c>
      <c r="H29" s="46">
        <f>ROUND('Sch 4 PF IS'!H31,0)</f>
        <v>80209</v>
      </c>
      <c r="J29" s="199" t="str">
        <f>'Sch 4 PF IS'!J31</f>
        <v>6-6</v>
      </c>
      <c r="L29" s="55">
        <f t="shared" ref="L29:L34" si="3">H29-D29</f>
        <v>-96277</v>
      </c>
    </row>
    <row r="30" spans="1:12">
      <c r="A30" s="58">
        <v>18</v>
      </c>
      <c r="C30" s="194" t="s">
        <v>99</v>
      </c>
      <c r="D30" s="46">
        <v>-15364</v>
      </c>
      <c r="F30" s="214" t="s">
        <v>100</v>
      </c>
      <c r="H30" s="46">
        <f>ROUND('Sch 4 PF IS'!H32,0)</f>
        <v>-15364</v>
      </c>
      <c r="J30" s="199" t="str">
        <f>'Sch 4 PF IS'!J32</f>
        <v>PET</v>
      </c>
      <c r="L30" s="55">
        <f t="shared" si="3"/>
        <v>0</v>
      </c>
    </row>
    <row r="31" spans="1:12">
      <c r="A31" s="58">
        <v>19</v>
      </c>
      <c r="C31" s="194" t="s">
        <v>101</v>
      </c>
      <c r="D31" s="46">
        <v>-105986</v>
      </c>
      <c r="F31" s="214" t="s">
        <v>102</v>
      </c>
      <c r="H31" s="46">
        <f>ROUND('Sch 4 PF IS'!H33,0)</f>
        <v>-105986</v>
      </c>
      <c r="J31" s="199" t="str">
        <f>'Sch 4 PF IS'!J33</f>
        <v>PET</v>
      </c>
      <c r="L31" s="55">
        <f t="shared" si="3"/>
        <v>0</v>
      </c>
    </row>
    <row r="32" spans="1:12">
      <c r="A32" s="58">
        <v>20</v>
      </c>
      <c r="C32" s="2" t="s">
        <v>103</v>
      </c>
      <c r="D32" s="46">
        <v>35000</v>
      </c>
      <c r="F32" s="214" t="s">
        <v>104</v>
      </c>
      <c r="H32" s="46">
        <f>ROUND('Sch 4 PF IS'!H34,0)</f>
        <v>35000</v>
      </c>
      <c r="J32" s="199" t="str">
        <f>'Sch 4 PF IS'!J34</f>
        <v>PET</v>
      </c>
      <c r="L32" s="55">
        <f t="shared" si="3"/>
        <v>0</v>
      </c>
    </row>
    <row r="33" spans="1:19">
      <c r="A33" s="58">
        <v>22</v>
      </c>
      <c r="C33" s="2" t="s">
        <v>105</v>
      </c>
      <c r="D33" s="46">
        <v>85001</v>
      </c>
      <c r="F33" s="214" t="s">
        <v>106</v>
      </c>
      <c r="H33" s="46">
        <f>ROUND('Sch 4 PF IS'!H36,0)</f>
        <v>58333</v>
      </c>
      <c r="J33" s="199" t="str">
        <f>'Sch 4 PF IS'!J36</f>
        <v>6-7</v>
      </c>
      <c r="L33" s="55">
        <f t="shared" si="3"/>
        <v>-26668</v>
      </c>
      <c r="N33" s="223" t="s">
        <v>80</v>
      </c>
      <c r="O33" s="2" t="s">
        <v>107</v>
      </c>
    </row>
    <row r="34" spans="1:19">
      <c r="A34" s="58">
        <v>23</v>
      </c>
      <c r="C34" s="2" t="s">
        <v>108</v>
      </c>
      <c r="D34" s="46">
        <v>74875</v>
      </c>
      <c r="F34" s="214" t="s">
        <v>109</v>
      </c>
      <c r="H34" s="46">
        <f>ROUND('Sch 4 PF IS'!H66,0)</f>
        <v>99833</v>
      </c>
      <c r="J34" s="341" t="s">
        <v>110</v>
      </c>
      <c r="L34" s="55">
        <f t="shared" si="3"/>
        <v>24958</v>
      </c>
      <c r="N34" s="223" t="s">
        <v>84</v>
      </c>
      <c r="O34" s="2" t="s">
        <v>111</v>
      </c>
    </row>
    <row r="35" spans="1:19">
      <c r="A35" s="58">
        <v>24</v>
      </c>
      <c r="C35" s="2" t="s">
        <v>112</v>
      </c>
      <c r="D35" s="46">
        <v>0</v>
      </c>
      <c r="F35" s="103"/>
      <c r="H35" s="46">
        <f>ROUND(+'Sch 4 PF IS'!H140,0)</f>
        <v>-99833</v>
      </c>
      <c r="J35" s="341" t="s">
        <v>110</v>
      </c>
      <c r="L35" s="55"/>
      <c r="N35" s="223" t="s">
        <v>86</v>
      </c>
      <c r="O35" s="2" t="s">
        <v>113</v>
      </c>
    </row>
    <row r="36" spans="1:19">
      <c r="A36" s="58">
        <v>25</v>
      </c>
      <c r="C36" s="2" t="s">
        <v>114</v>
      </c>
      <c r="D36" s="94">
        <f>SUM(D19:D35)</f>
        <v>1232632</v>
      </c>
      <c r="F36" s="103"/>
      <c r="H36" s="94">
        <f>SUM(H19:H35)</f>
        <v>174646</v>
      </c>
      <c r="J36" s="199"/>
      <c r="L36" s="47">
        <f>SUM(L19:L35)</f>
        <v>-958153</v>
      </c>
      <c r="M36" s="8">
        <f>+'Sch 1 - Overall'!J13-L36</f>
        <v>-99834</v>
      </c>
      <c r="N36" s="224" t="s">
        <v>92</v>
      </c>
      <c r="O36" s="2" t="s">
        <v>115</v>
      </c>
    </row>
    <row r="37" spans="1:19">
      <c r="A37" s="58"/>
      <c r="D37" s="45"/>
      <c r="F37" s="103"/>
      <c r="H37" s="45"/>
      <c r="N37" s="223" t="s">
        <v>95</v>
      </c>
      <c r="O37" s="2" t="s">
        <v>116</v>
      </c>
    </row>
    <row r="38" spans="1:19" ht="16.5" thickBot="1">
      <c r="A38" s="58">
        <v>26</v>
      </c>
      <c r="B38" s="197" t="s">
        <v>117</v>
      </c>
      <c r="D38" s="48">
        <f>D15-D36</f>
        <v>-1232632</v>
      </c>
      <c r="F38" s="103"/>
      <c r="H38" s="48">
        <f>H15-H36</f>
        <v>-174646</v>
      </c>
      <c r="L38" s="48">
        <f>L15-L36</f>
        <v>958153</v>
      </c>
    </row>
    <row r="39" spans="1:19" ht="16.5" thickTop="1">
      <c r="F39" s="103"/>
    </row>
    <row r="40" spans="1:19">
      <c r="F40" s="400"/>
      <c r="Q40" s="2" t="s">
        <v>118</v>
      </c>
      <c r="S40" s="6">
        <v>-55839</v>
      </c>
    </row>
    <row r="41" spans="1:19">
      <c r="D41" s="6">
        <f>-1637964+405332</f>
        <v>-1232632</v>
      </c>
      <c r="F41" s="400"/>
      <c r="H41" s="118">
        <f>+'Sch 4 PF IS'!H45+'Sch 4 PF IS'!H42</f>
        <v>-174646</v>
      </c>
      <c r="J41" s="394" t="s">
        <v>119</v>
      </c>
      <c r="N41" s="223" t="s">
        <v>98</v>
      </c>
      <c r="O41" s="2" t="s">
        <v>120</v>
      </c>
      <c r="Q41" s="2" t="s">
        <v>121</v>
      </c>
      <c r="S41" s="6">
        <v>-45029</v>
      </c>
    </row>
    <row r="42" spans="1:19">
      <c r="D42" s="118">
        <f>+D38-D41</f>
        <v>0</v>
      </c>
      <c r="F42" s="400"/>
      <c r="H42" s="118">
        <f>+H38-H41</f>
        <v>0</v>
      </c>
      <c r="N42" s="223" t="s">
        <v>100</v>
      </c>
      <c r="O42" s="2" t="s">
        <v>122</v>
      </c>
      <c r="Q42" s="2" t="s">
        <v>123</v>
      </c>
      <c r="S42" s="123">
        <v>-5118</v>
      </c>
    </row>
    <row r="43" spans="1:19" ht="6" customHeight="1">
      <c r="F43" s="400"/>
    </row>
    <row r="44" spans="1:19">
      <c r="F44" s="400"/>
      <c r="N44" s="223" t="s">
        <v>102</v>
      </c>
      <c r="O44" s="2" t="s">
        <v>124</v>
      </c>
      <c r="S44" s="6">
        <f>SUM(S40:S42)</f>
        <v>-105986</v>
      </c>
    </row>
    <row r="45" spans="1:19" ht="6" customHeight="1">
      <c r="F45" s="400"/>
    </row>
    <row r="46" spans="1:19">
      <c r="F46" s="400"/>
      <c r="N46" s="223" t="s">
        <v>104</v>
      </c>
      <c r="O46" s="2" t="s">
        <v>125</v>
      </c>
    </row>
    <row r="47" spans="1:19" ht="6" customHeight="1">
      <c r="F47" s="400"/>
    </row>
    <row r="48" spans="1:19">
      <c r="F48" s="400"/>
      <c r="N48" s="223" t="s">
        <v>106</v>
      </c>
      <c r="O48" s="2" t="s">
        <v>126</v>
      </c>
    </row>
    <row r="49" spans="6:19" ht="6" customHeight="1">
      <c r="F49" s="400"/>
    </row>
    <row r="50" spans="6:19">
      <c r="F50" s="400"/>
      <c r="N50" s="223" t="s">
        <v>90</v>
      </c>
      <c r="O50" s="2" t="s">
        <v>127</v>
      </c>
      <c r="Q50" s="2" t="s">
        <v>128</v>
      </c>
      <c r="S50" s="6">
        <v>125000</v>
      </c>
    </row>
    <row r="51" spans="6:19">
      <c r="F51" s="400"/>
      <c r="N51" s="223" t="s">
        <v>109</v>
      </c>
      <c r="O51" s="2" t="s">
        <v>129</v>
      </c>
      <c r="Q51" s="2" t="s">
        <v>130</v>
      </c>
      <c r="S51" s="6">
        <v>29500</v>
      </c>
    </row>
    <row r="52" spans="6:19">
      <c r="F52" s="400"/>
    </row>
    <row r="53" spans="6:19">
      <c r="F53" s="400"/>
      <c r="Q53" s="2" t="s">
        <v>131</v>
      </c>
      <c r="S53" s="123">
        <v>145000</v>
      </c>
    </row>
    <row r="54" spans="6:19">
      <c r="F54" s="400"/>
      <c r="N54" s="8"/>
    </row>
    <row r="55" spans="6:19">
      <c r="F55" s="400"/>
      <c r="Q55" s="2" t="s">
        <v>132</v>
      </c>
      <c r="S55" s="8">
        <f>SUM(S50:S53)</f>
        <v>299500</v>
      </c>
    </row>
    <row r="56" spans="6:19">
      <c r="F56" s="400"/>
      <c r="N56" s="223" t="s">
        <v>133</v>
      </c>
      <c r="O56" s="2" t="s">
        <v>134</v>
      </c>
      <c r="Q56" s="2" t="s">
        <v>135</v>
      </c>
      <c r="S56" s="123">
        <v>4</v>
      </c>
    </row>
    <row r="57" spans="6:19">
      <c r="F57" s="400"/>
      <c r="S57" s="6">
        <f>S55/S56</f>
        <v>74875</v>
      </c>
    </row>
    <row r="58" spans="6:19">
      <c r="F58" s="400"/>
    </row>
    <row r="59" spans="6:19">
      <c r="F59" s="400"/>
    </row>
    <row r="60" spans="6:19">
      <c r="F60" s="400"/>
      <c r="N60" s="2" t="s">
        <v>136</v>
      </c>
    </row>
    <row r="61" spans="6:19">
      <c r="F61" s="400"/>
      <c r="N61" s="247">
        <f>H36-SUM('Sch 4 PF IS'!H20:H39)</f>
        <v>0</v>
      </c>
    </row>
    <row r="62" spans="6:19">
      <c r="F62" s="400"/>
    </row>
    <row r="63" spans="6:19">
      <c r="F63" s="400"/>
    </row>
    <row r="64" spans="6:19">
      <c r="F64" s="400"/>
    </row>
    <row r="65" spans="6:21">
      <c r="F65" s="400"/>
    </row>
    <row r="67" spans="6:21">
      <c r="O67" s="2" t="s">
        <v>96</v>
      </c>
      <c r="R67" s="2">
        <v>425000</v>
      </c>
      <c r="T67" s="6">
        <v>176486</v>
      </c>
      <c r="U67" s="2" t="s">
        <v>98</v>
      </c>
    </row>
    <row r="68" spans="6:21">
      <c r="O68" s="2" t="s">
        <v>137</v>
      </c>
      <c r="R68" s="2">
        <v>572700</v>
      </c>
      <c r="T68" s="6">
        <v>9288</v>
      </c>
      <c r="U68" s="2" t="s">
        <v>80</v>
      </c>
    </row>
    <row r="69" spans="6:21">
      <c r="T69" s="6">
        <v>315718</v>
      </c>
      <c r="U69" s="2" t="s">
        <v>86</v>
      </c>
    </row>
    <row r="70" spans="6:21">
      <c r="O70" s="2" t="s">
        <v>137</v>
      </c>
      <c r="R70" s="2">
        <v>1367847</v>
      </c>
      <c r="T70" s="6">
        <v>48097</v>
      </c>
      <c r="U70" s="2" t="s">
        <v>80</v>
      </c>
    </row>
    <row r="71" spans="6:21">
      <c r="T71" s="6">
        <v>35061</v>
      </c>
      <c r="U71" s="2" t="s">
        <v>82</v>
      </c>
    </row>
    <row r="72" spans="6:21">
      <c r="T72" s="6">
        <v>634</v>
      </c>
      <c r="U72" s="2" t="s">
        <v>84</v>
      </c>
    </row>
    <row r="73" spans="6:21">
      <c r="T73" s="6">
        <v>200180</v>
      </c>
      <c r="U73" s="2" t="s">
        <v>86</v>
      </c>
    </row>
    <row r="74" spans="6:21">
      <c r="O74" s="2" t="s">
        <v>137</v>
      </c>
      <c r="R74" s="2">
        <v>40126</v>
      </c>
      <c r="T74" s="6">
        <v>3444</v>
      </c>
      <c r="U74" s="2" t="s">
        <v>80</v>
      </c>
    </row>
    <row r="75" spans="6:21">
      <c r="T75" s="6">
        <v>1097</v>
      </c>
      <c r="U75" s="2" t="s">
        <v>82</v>
      </c>
    </row>
    <row r="76" spans="6:21">
      <c r="O76" s="2" t="s">
        <v>137</v>
      </c>
      <c r="R76" s="2">
        <v>1471131</v>
      </c>
      <c r="T76" s="6">
        <v>12663</v>
      </c>
      <c r="U76" s="2" t="s">
        <v>80</v>
      </c>
    </row>
    <row r="77" spans="6:21">
      <c r="T77" s="6">
        <v>12857</v>
      </c>
      <c r="U77" s="2" t="s">
        <v>82</v>
      </c>
    </row>
    <row r="78" spans="6:21">
      <c r="T78" s="6">
        <v>31467</v>
      </c>
      <c r="U78" s="2" t="s">
        <v>84</v>
      </c>
    </row>
    <row r="79" spans="6:21">
      <c r="O79" s="2" t="s">
        <v>138</v>
      </c>
      <c r="R79" s="2">
        <v>387109</v>
      </c>
      <c r="T79" s="6">
        <v>74590</v>
      </c>
      <c r="U79" s="2" t="s">
        <v>92</v>
      </c>
    </row>
    <row r="80" spans="6:21">
      <c r="O80" s="2" t="s">
        <v>96</v>
      </c>
      <c r="R80" s="2">
        <v>973318</v>
      </c>
      <c r="T80" s="6">
        <v>-15364</v>
      </c>
      <c r="U80" s="2" t="s">
        <v>100</v>
      </c>
    </row>
    <row r="81" spans="14:21">
      <c r="T81" s="6">
        <v>-105986</v>
      </c>
      <c r="U81" s="2" t="s">
        <v>102</v>
      </c>
    </row>
    <row r="82" spans="14:21">
      <c r="T82" s="6">
        <v>74875</v>
      </c>
      <c r="U82" s="2" t="s">
        <v>109</v>
      </c>
    </row>
    <row r="83" spans="14:21">
      <c r="O83" s="2" t="s">
        <v>139</v>
      </c>
      <c r="R83" s="2">
        <v>92116</v>
      </c>
      <c r="T83" s="6">
        <v>35000</v>
      </c>
      <c r="U83" s="2" t="s">
        <v>104</v>
      </c>
    </row>
    <row r="84" spans="14:21">
      <c r="O84" s="2" t="s">
        <v>105</v>
      </c>
      <c r="R84" s="2">
        <v>174999</v>
      </c>
      <c r="T84" s="6">
        <v>85001</v>
      </c>
      <c r="U84" s="2" t="s">
        <v>106</v>
      </c>
    </row>
    <row r="85" spans="14:21">
      <c r="O85" s="2" t="s">
        <v>140</v>
      </c>
      <c r="R85" s="2">
        <v>901334</v>
      </c>
      <c r="T85" s="6">
        <v>179432</v>
      </c>
      <c r="U85" s="2" t="s">
        <v>90</v>
      </c>
    </row>
    <row r="86" spans="14:21">
      <c r="N86" s="2" t="s">
        <v>141</v>
      </c>
      <c r="R86" s="2">
        <v>187360</v>
      </c>
      <c r="T86" s="6">
        <v>405332</v>
      </c>
      <c r="U86" s="2" t="s">
        <v>133</v>
      </c>
    </row>
    <row r="87" spans="14:21">
      <c r="N87" s="2" t="s">
        <v>142</v>
      </c>
      <c r="R87" s="2">
        <v>257265</v>
      </c>
      <c r="T87" s="6">
        <v>58092</v>
      </c>
      <c r="U87" s="2" t="s">
        <v>95</v>
      </c>
    </row>
    <row r="88" spans="14:21">
      <c r="T88" s="8">
        <f>SUM(T67:T87)</f>
        <v>1637964</v>
      </c>
    </row>
    <row r="1048576" spans="6:6">
      <c r="F1048576" s="412"/>
    </row>
  </sheetData>
  <mergeCells count="4">
    <mergeCell ref="A5:L5"/>
    <mergeCell ref="A7:L7"/>
    <mergeCell ref="A8:L8"/>
    <mergeCell ref="A4:L4"/>
  </mergeCells>
  <printOptions horizontalCentered="1"/>
  <pageMargins left="0.5" right="0.5" top="0.5" bottom="0.75" header="0.5" footer="0.5"/>
  <pageSetup fitToHeight="2" orientation="portrait" r:id="rId1"/>
  <headerFooter alignWithMargins="0"/>
  <ignoredErrors>
    <ignoredError sqref="F24:F35 F19:F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39"/>
  </sheetPr>
  <dimension ref="A1:AB109"/>
  <sheetViews>
    <sheetView view="pageBreakPreview" zoomScale="98" zoomScaleNormal="100" zoomScaleSheetLayoutView="98" workbookViewId="0">
      <selection activeCell="B27" sqref="B27"/>
    </sheetView>
  </sheetViews>
  <sheetFormatPr defaultColWidth="9" defaultRowHeight="15.75"/>
  <cols>
    <col min="1" max="1" width="2.375" style="57" bestFit="1" customWidth="1"/>
    <col min="2" max="2" width="1.625" style="2" customWidth="1"/>
    <col min="3" max="3" width="2.5" style="2" customWidth="1"/>
    <col min="4" max="4" width="36.75" style="2" customWidth="1"/>
    <col min="5" max="5" width="1.625" style="2" customWidth="1"/>
    <col min="6" max="6" width="13.875" style="2" customWidth="1"/>
    <col min="7" max="7" width="1.625" style="2" customWidth="1"/>
    <col min="8" max="8" width="13.875" style="2" customWidth="1"/>
    <col min="9" max="9" width="1.625" style="2" customWidth="1"/>
    <col min="10" max="10" width="13.875" style="2" customWidth="1"/>
    <col min="11" max="11" width="1.625" style="2" customWidth="1"/>
    <col min="12" max="12" width="12.625" style="2" customWidth="1"/>
    <col min="13" max="13" width="1.625" style="2" customWidth="1"/>
    <col min="14" max="14" width="12.625" style="2" customWidth="1"/>
    <col min="15" max="15" width="1.625" style="2" customWidth="1"/>
    <col min="16" max="16" width="14" style="2" bestFit="1" customWidth="1"/>
    <col min="17" max="17" width="1.625" style="2" customWidth="1"/>
    <col min="18" max="19" width="12.125" style="2" customWidth="1"/>
    <col min="20" max="20" width="11.375" style="2" bestFit="1" customWidth="1"/>
    <col min="21" max="21" width="1.625" style="2" customWidth="1"/>
    <col min="22" max="22" width="11.375" style="2" bestFit="1" customWidth="1"/>
    <col min="23" max="23" width="1.625" style="2" customWidth="1"/>
    <col min="24" max="24" width="12" style="2" bestFit="1" customWidth="1"/>
    <col min="25" max="25" width="1.625" style="2" customWidth="1"/>
    <col min="26" max="26" width="11.375" style="2" bestFit="1" customWidth="1"/>
    <col min="27" max="27" width="1.625" style="2" customWidth="1"/>
    <col min="28" max="28" width="12.375" style="2" bestFit="1" customWidth="1"/>
    <col min="29" max="16384" width="9" style="2"/>
  </cols>
  <sheetData>
    <row r="1" spans="1:28">
      <c r="J1" s="443" t="str">
        <f>+'Sch 1 - Phased'!$W$1</f>
        <v>OUCC Attachment CFS-1</v>
      </c>
    </row>
    <row r="2" spans="1:28">
      <c r="J2" s="443" t="s">
        <v>143</v>
      </c>
    </row>
    <row r="3" spans="1:28">
      <c r="J3" s="443" t="s">
        <v>144</v>
      </c>
    </row>
    <row r="4" spans="1:28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  <c r="K4" s="9"/>
      <c r="L4" s="9"/>
      <c r="M4" s="9"/>
      <c r="N4" s="9"/>
    </row>
    <row r="5" spans="1:28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  <c r="K5" s="10"/>
      <c r="L5" s="10"/>
      <c r="M5" s="10"/>
      <c r="N5" s="10"/>
      <c r="P5" s="6"/>
    </row>
    <row r="6" spans="1:28">
      <c r="A6" s="2"/>
      <c r="P6" s="8"/>
    </row>
    <row r="7" spans="1:28">
      <c r="A7" s="452" t="s">
        <v>145</v>
      </c>
      <c r="B7" s="452"/>
      <c r="C7" s="452"/>
      <c r="D7" s="452"/>
      <c r="E7" s="452"/>
      <c r="F7" s="452"/>
      <c r="G7" s="452"/>
      <c r="H7" s="452"/>
      <c r="I7" s="452"/>
      <c r="J7" s="452"/>
      <c r="K7" s="33"/>
      <c r="L7" s="33"/>
      <c r="M7" s="33"/>
      <c r="N7" s="33"/>
    </row>
    <row r="8" spans="1:28" ht="16.5" thickBot="1">
      <c r="A8" s="452" t="str">
        <f>"As of "&amp;Inputs!C8&amp;","</f>
        <v>As of December 31,</v>
      </c>
      <c r="B8" s="452"/>
      <c r="C8" s="452"/>
      <c r="D8" s="452"/>
      <c r="E8" s="452"/>
      <c r="F8" s="452"/>
      <c r="G8" s="452"/>
      <c r="H8" s="452"/>
      <c r="I8" s="452"/>
      <c r="J8" s="452"/>
      <c r="K8" s="33"/>
      <c r="L8" s="33"/>
      <c r="M8" s="33"/>
      <c r="N8" s="33"/>
    </row>
    <row r="9" spans="1:28">
      <c r="T9" s="17"/>
      <c r="U9" s="11"/>
      <c r="V9" s="11"/>
      <c r="W9" s="11"/>
      <c r="X9" s="11"/>
      <c r="Y9" s="11"/>
      <c r="Z9" s="11"/>
      <c r="AA9" s="11"/>
      <c r="AB9" s="81"/>
    </row>
    <row r="10" spans="1:28">
      <c r="B10" s="462" t="s">
        <v>146</v>
      </c>
      <c r="C10" s="463"/>
      <c r="D10" s="463"/>
      <c r="E10" s="1"/>
      <c r="F10" s="5">
        <v>2023</v>
      </c>
      <c r="G10" s="1"/>
      <c r="H10" s="5">
        <v>2022</v>
      </c>
      <c r="J10" s="5">
        <v>2021</v>
      </c>
      <c r="L10" s="5">
        <v>2020</v>
      </c>
      <c r="M10" s="442"/>
      <c r="N10" s="5">
        <v>2019</v>
      </c>
      <c r="P10" s="5">
        <v>2018</v>
      </c>
      <c r="Q10" s="442"/>
      <c r="R10" s="442"/>
      <c r="S10" s="442"/>
      <c r="T10" s="82" t="s">
        <v>147</v>
      </c>
      <c r="V10" s="5" t="s">
        <v>148</v>
      </c>
      <c r="X10" s="5" t="s">
        <v>149</v>
      </c>
      <c r="Z10" s="5" t="s">
        <v>150</v>
      </c>
      <c r="AB10" s="35" t="s">
        <v>151</v>
      </c>
    </row>
    <row r="11" spans="1:28" ht="6" customHeight="1">
      <c r="T11" s="12"/>
      <c r="AB11" s="13"/>
    </row>
    <row r="12" spans="1:28">
      <c r="A12" s="57">
        <v>1</v>
      </c>
      <c r="B12" s="2" t="s">
        <v>152</v>
      </c>
      <c r="T12" s="12"/>
      <c r="AB12" s="13"/>
    </row>
    <row r="13" spans="1:28">
      <c r="A13" s="57">
        <v>2</v>
      </c>
      <c r="C13" s="2" t="s">
        <v>153</v>
      </c>
      <c r="F13" s="41">
        <f>64784220-F14-F15</f>
        <v>63074765</v>
      </c>
      <c r="H13" s="41">
        <f>63384450-H14-H15</f>
        <v>61921935</v>
      </c>
      <c r="J13" s="41">
        <f>62509126-J14-J15</f>
        <v>61860812</v>
      </c>
      <c r="L13" s="41">
        <f>62128864-L14-L15</f>
        <v>61628474</v>
      </c>
      <c r="N13" s="41">
        <f>61978467-N14-N15</f>
        <v>61478077</v>
      </c>
      <c r="P13" s="41">
        <f>62558961-P14-P15</f>
        <v>48232370</v>
      </c>
      <c r="Q13" s="41"/>
      <c r="R13" s="41"/>
      <c r="S13" s="41"/>
      <c r="T13" s="69">
        <f t="shared" ref="T13" si="0">F13-H13</f>
        <v>1152830</v>
      </c>
      <c r="V13" s="70">
        <f t="shared" ref="V13" si="1">H13-J13</f>
        <v>61123</v>
      </c>
      <c r="X13" s="70">
        <f>J13-L13</f>
        <v>232338</v>
      </c>
      <c r="Z13" s="70">
        <f>L13-N13</f>
        <v>150397</v>
      </c>
      <c r="AB13" s="71">
        <f>N13-P13</f>
        <v>13245707</v>
      </c>
    </row>
    <row r="14" spans="1:28">
      <c r="A14" s="57">
        <v>3</v>
      </c>
      <c r="C14" s="2" t="s">
        <v>154</v>
      </c>
      <c r="F14" s="42">
        <v>526377</v>
      </c>
      <c r="H14" s="42">
        <v>526377</v>
      </c>
      <c r="I14" s="6"/>
      <c r="J14" s="42">
        <v>500390</v>
      </c>
      <c r="K14" s="6"/>
      <c r="L14" s="42">
        <v>500390</v>
      </c>
      <c r="M14" s="42"/>
      <c r="N14" s="42">
        <v>500390</v>
      </c>
      <c r="O14" s="6"/>
      <c r="P14" s="42">
        <v>500390</v>
      </c>
      <c r="Q14" s="41"/>
      <c r="R14" s="41"/>
      <c r="S14" s="41"/>
      <c r="T14" s="69"/>
      <c r="V14" s="70"/>
      <c r="X14" s="70"/>
      <c r="Z14" s="70"/>
      <c r="AB14" s="71"/>
    </row>
    <row r="15" spans="1:28">
      <c r="A15" s="57">
        <v>4</v>
      </c>
      <c r="C15" s="2" t="s">
        <v>155</v>
      </c>
      <c r="F15" s="42">
        <v>1183078</v>
      </c>
      <c r="H15" s="42">
        <v>936138</v>
      </c>
      <c r="J15" s="42">
        <v>147924</v>
      </c>
      <c r="L15" s="42"/>
      <c r="M15" s="42"/>
      <c r="N15" s="42"/>
      <c r="P15" s="42">
        <v>13826201</v>
      </c>
      <c r="Q15" s="42"/>
      <c r="R15" s="42"/>
      <c r="S15" s="42"/>
      <c r="T15" s="72"/>
      <c r="V15" s="55"/>
      <c r="X15" s="55"/>
      <c r="Z15" s="55"/>
      <c r="AB15" s="73"/>
    </row>
    <row r="16" spans="1:28">
      <c r="A16" s="57">
        <v>5</v>
      </c>
      <c r="D16" s="2" t="s">
        <v>156</v>
      </c>
      <c r="F16" s="43">
        <f>SUM(F13:F15)</f>
        <v>64784220</v>
      </c>
      <c r="H16" s="43">
        <f>SUM(H13:H15)</f>
        <v>63384450</v>
      </c>
      <c r="J16" s="43">
        <f>SUM(J13:J15)</f>
        <v>62509126</v>
      </c>
      <c r="L16" s="42"/>
      <c r="M16" s="42"/>
      <c r="N16" s="42"/>
      <c r="P16" s="42"/>
      <c r="Q16" s="42"/>
      <c r="R16" s="42"/>
      <c r="S16" s="42"/>
      <c r="T16" s="72"/>
      <c r="V16" s="55"/>
      <c r="X16" s="55"/>
      <c r="Z16" s="55"/>
      <c r="AB16" s="73"/>
    </row>
    <row r="17" spans="1:28">
      <c r="A17" s="57">
        <v>6</v>
      </c>
      <c r="C17" s="2" t="s">
        <v>157</v>
      </c>
      <c r="F17" s="42">
        <v>-31140640</v>
      </c>
      <c r="H17" s="42">
        <v>-29983995</v>
      </c>
      <c r="J17" s="42">
        <v>-29296299</v>
      </c>
      <c r="L17" s="42">
        <v>-28392614</v>
      </c>
      <c r="M17" s="42"/>
      <c r="N17" s="42">
        <v>-27506279</v>
      </c>
      <c r="P17" s="42">
        <v>-28129970</v>
      </c>
      <c r="Q17" s="42"/>
      <c r="R17" s="42"/>
      <c r="S17" s="42"/>
      <c r="T17" s="72">
        <f t="shared" ref="T17" si="2">F17-H17</f>
        <v>-1156645</v>
      </c>
      <c r="V17" s="55">
        <f t="shared" ref="V17" si="3">H17-J17</f>
        <v>-687696</v>
      </c>
      <c r="X17" s="55">
        <f>J17-L17</f>
        <v>-903685</v>
      </c>
      <c r="Z17" s="55">
        <f>L17-N17</f>
        <v>-886335</v>
      </c>
      <c r="AB17" s="73">
        <f>N17-P17</f>
        <v>623691</v>
      </c>
    </row>
    <row r="18" spans="1:28">
      <c r="A18" s="57">
        <v>7</v>
      </c>
      <c r="D18" s="2" t="s">
        <v>158</v>
      </c>
      <c r="F18" s="47">
        <f>+F16+F17</f>
        <v>33643580</v>
      </c>
      <c r="H18" s="47">
        <f>+H16+H17</f>
        <v>33400455</v>
      </c>
      <c r="J18" s="47">
        <f>+J16+J17</f>
        <v>33212827</v>
      </c>
      <c r="L18" s="47">
        <f>SUM(L13:L17)</f>
        <v>33736250</v>
      </c>
      <c r="M18" s="42"/>
      <c r="N18" s="47">
        <f>SUM(N13:N17)</f>
        <v>34472188</v>
      </c>
      <c r="P18" s="47">
        <f>SUM(P13:P17)</f>
        <v>34428991</v>
      </c>
      <c r="Q18" s="55"/>
      <c r="R18" s="55"/>
      <c r="S18" s="55"/>
      <c r="T18" s="74">
        <f t="shared" ref="T18" si="4">SUM(T13:T17)</f>
        <v>-3815</v>
      </c>
      <c r="V18" s="47">
        <f t="shared" ref="V18" si="5">SUM(V13:V17)</f>
        <v>-626573</v>
      </c>
      <c r="X18" s="47">
        <f>SUM(X13:X17)</f>
        <v>-671347</v>
      </c>
      <c r="Z18" s="47">
        <f t="shared" ref="Z18" si="6">SUM(Z13:Z17)</f>
        <v>-735938</v>
      </c>
      <c r="AB18" s="75">
        <f t="shared" ref="AB18" si="7">SUM(AB13:AB17)</f>
        <v>13869398</v>
      </c>
    </row>
    <row r="19" spans="1:28">
      <c r="F19" s="42"/>
      <c r="H19" s="42"/>
      <c r="J19" s="42"/>
      <c r="L19" s="42"/>
      <c r="M19" s="42"/>
      <c r="N19" s="42"/>
      <c r="P19" s="42"/>
      <c r="Q19" s="42"/>
      <c r="R19" s="42"/>
      <c r="S19" s="42"/>
      <c r="T19" s="72"/>
      <c r="V19" s="55"/>
      <c r="X19" s="55"/>
      <c r="Z19" s="55"/>
      <c r="AB19" s="73"/>
    </row>
    <row r="20" spans="1:28">
      <c r="A20" s="57">
        <v>8</v>
      </c>
      <c r="B20" s="2" t="s">
        <v>159</v>
      </c>
      <c r="F20" s="42"/>
      <c r="H20" s="42"/>
      <c r="J20" s="42"/>
      <c r="L20" s="42"/>
      <c r="M20" s="42"/>
      <c r="N20" s="42"/>
      <c r="P20" s="42"/>
      <c r="Q20" s="42"/>
      <c r="R20" s="42"/>
      <c r="S20" s="42"/>
      <c r="T20" s="72"/>
      <c r="V20" s="55"/>
      <c r="X20" s="55"/>
      <c r="Z20" s="55"/>
      <c r="AB20" s="73"/>
    </row>
    <row r="21" spans="1:28">
      <c r="A21" s="57">
        <v>9</v>
      </c>
      <c r="C21" s="2" t="s">
        <v>43</v>
      </c>
      <c r="F21" s="42">
        <v>1015419</v>
      </c>
      <c r="H21" s="42">
        <v>1002896</v>
      </c>
      <c r="J21" s="42">
        <v>988531</v>
      </c>
      <c r="L21" s="42">
        <v>987939</v>
      </c>
      <c r="M21" s="42"/>
      <c r="N21" s="42">
        <v>982889</v>
      </c>
      <c r="P21" s="42">
        <v>961700</v>
      </c>
      <c r="Q21" s="42"/>
      <c r="R21" s="42"/>
      <c r="S21" s="42"/>
      <c r="T21" s="72">
        <f t="shared" ref="T21:T26" si="8">F21-H21</f>
        <v>12523</v>
      </c>
      <c r="V21" s="55">
        <f t="shared" ref="V21" si="9">H21-J21</f>
        <v>14365</v>
      </c>
      <c r="X21" s="55">
        <f>J21-L21</f>
        <v>592</v>
      </c>
      <c r="Z21" s="55">
        <f>L21-N21</f>
        <v>5050</v>
      </c>
      <c r="AB21" s="73">
        <f>N21-P21</f>
        <v>21189</v>
      </c>
    </row>
    <row r="22" spans="1:28">
      <c r="A22" s="57">
        <v>10</v>
      </c>
      <c r="C22" s="2" t="s">
        <v>160</v>
      </c>
      <c r="F22" s="42">
        <v>319369</v>
      </c>
      <c r="H22" s="42">
        <v>196367</v>
      </c>
      <c r="J22" s="42">
        <v>339783</v>
      </c>
      <c r="L22" s="42">
        <v>278593</v>
      </c>
      <c r="M22" s="42"/>
      <c r="N22" s="42">
        <v>48990</v>
      </c>
      <c r="P22" s="42">
        <v>385024</v>
      </c>
      <c r="Q22" s="42"/>
      <c r="R22" s="42"/>
      <c r="S22" s="42"/>
      <c r="T22" s="72">
        <f t="shared" si="8"/>
        <v>123002</v>
      </c>
      <c r="V22" s="55"/>
      <c r="X22" s="55"/>
      <c r="Z22" s="55"/>
      <c r="AB22" s="73"/>
    </row>
    <row r="23" spans="1:28">
      <c r="A23" s="57">
        <v>11</v>
      </c>
      <c r="C23" s="2" t="s">
        <v>161</v>
      </c>
      <c r="F23" s="42">
        <v>639660</v>
      </c>
      <c r="H23" s="42">
        <v>568540</v>
      </c>
      <c r="J23" s="42">
        <v>568540</v>
      </c>
      <c r="L23" s="42">
        <v>568539</v>
      </c>
      <c r="M23" s="42"/>
      <c r="N23" s="42">
        <v>730117</v>
      </c>
      <c r="P23" s="42">
        <v>730117</v>
      </c>
      <c r="Q23" s="42"/>
      <c r="R23" s="42"/>
      <c r="S23" s="42"/>
      <c r="T23" s="72">
        <f t="shared" si="8"/>
        <v>71120</v>
      </c>
      <c r="V23" s="55"/>
      <c r="X23" s="55"/>
      <c r="Z23" s="55"/>
      <c r="AB23" s="73"/>
    </row>
    <row r="24" spans="1:28">
      <c r="A24" s="57">
        <v>12</v>
      </c>
      <c r="C24" s="2" t="s">
        <v>162</v>
      </c>
      <c r="F24" s="42">
        <v>719404</v>
      </c>
      <c r="H24" s="42">
        <v>725793</v>
      </c>
      <c r="J24" s="42">
        <v>739368</v>
      </c>
      <c r="L24" s="42">
        <v>750658</v>
      </c>
      <c r="M24" s="42"/>
      <c r="N24" s="42">
        <v>726386</v>
      </c>
      <c r="P24" s="42">
        <v>700580</v>
      </c>
      <c r="Q24" s="42"/>
      <c r="R24" s="42"/>
      <c r="S24" s="42"/>
      <c r="T24" s="72">
        <f t="shared" si="8"/>
        <v>-6389</v>
      </c>
      <c r="V24" s="55"/>
      <c r="X24" s="55"/>
      <c r="Z24" s="55"/>
      <c r="AB24" s="73"/>
    </row>
    <row r="25" spans="1:28">
      <c r="A25" s="57">
        <v>13</v>
      </c>
      <c r="C25" s="2" t="s">
        <v>163</v>
      </c>
      <c r="F25" s="42">
        <v>170488</v>
      </c>
      <c r="H25" s="42">
        <v>210289</v>
      </c>
      <c r="J25" s="42">
        <v>234630</v>
      </c>
      <c r="L25" s="42">
        <v>131310</v>
      </c>
      <c r="M25" s="42"/>
      <c r="N25" s="42">
        <v>310463</v>
      </c>
      <c r="P25" s="42">
        <v>251639</v>
      </c>
      <c r="Q25" s="42"/>
      <c r="R25" s="42"/>
      <c r="S25" s="42"/>
      <c r="T25" s="72">
        <f t="shared" si="8"/>
        <v>-39801</v>
      </c>
      <c r="V25" s="55"/>
      <c r="X25" s="55"/>
      <c r="Z25" s="55"/>
      <c r="AB25" s="73"/>
    </row>
    <row r="26" spans="1:28">
      <c r="A26" s="57">
        <v>14</v>
      </c>
      <c r="C26" s="2" t="s">
        <v>164</v>
      </c>
      <c r="F26" s="42">
        <v>38521</v>
      </c>
      <c r="H26" s="42">
        <v>346097</v>
      </c>
      <c r="J26" s="42">
        <v>410859</v>
      </c>
      <c r="L26" s="42">
        <v>0</v>
      </c>
      <c r="M26" s="42"/>
      <c r="N26" s="42">
        <v>0</v>
      </c>
      <c r="P26" s="42">
        <v>350884</v>
      </c>
      <c r="Q26" s="42"/>
      <c r="R26" s="42"/>
      <c r="S26" s="42"/>
      <c r="T26" s="72">
        <f t="shared" si="8"/>
        <v>-307576</v>
      </c>
      <c r="V26" s="55"/>
      <c r="X26" s="55"/>
      <c r="Z26" s="55"/>
      <c r="AB26" s="73"/>
    </row>
    <row r="27" spans="1:28">
      <c r="A27" s="57">
        <v>15</v>
      </c>
      <c r="D27" s="2" t="s">
        <v>165</v>
      </c>
      <c r="F27" s="47">
        <f>SUM(F21:F26)</f>
        <v>2902861</v>
      </c>
      <c r="H27" s="47">
        <f>SUM(H21:H26)</f>
        <v>3049982</v>
      </c>
      <c r="J27" s="47">
        <f>SUM(J21:J26)</f>
        <v>3281711</v>
      </c>
      <c r="L27" s="47">
        <f>SUM(L21:L26)</f>
        <v>2717039</v>
      </c>
      <c r="M27" s="42"/>
      <c r="N27" s="47">
        <f>SUM(N21:N26)</f>
        <v>2798845</v>
      </c>
      <c r="P27" s="47">
        <f>SUM(P21:P26)</f>
        <v>3379944</v>
      </c>
      <c r="Q27" s="55"/>
      <c r="R27" s="55"/>
      <c r="S27" s="55"/>
      <c r="T27" s="74">
        <f>SUM(T21:T26)</f>
        <v>-147121</v>
      </c>
      <c r="V27" s="47">
        <f>SUM(V21:V26)</f>
        <v>14365</v>
      </c>
      <c r="X27" s="47">
        <f>SUM(X21:X26)</f>
        <v>592</v>
      </c>
      <c r="Z27" s="47">
        <f>SUM(Z21:Z26)</f>
        <v>5050</v>
      </c>
      <c r="AB27" s="75">
        <f>SUM(AB21:AB26)</f>
        <v>21189</v>
      </c>
    </row>
    <row r="28" spans="1:28">
      <c r="F28" s="42"/>
      <c r="H28" s="42"/>
      <c r="J28" s="42"/>
      <c r="L28" s="42"/>
      <c r="M28" s="42"/>
      <c r="N28" s="42"/>
      <c r="P28" s="42"/>
      <c r="Q28" s="42"/>
      <c r="R28" s="42"/>
      <c r="S28" s="42"/>
      <c r="T28" s="72"/>
      <c r="V28" s="55"/>
      <c r="X28" s="55"/>
      <c r="Z28" s="55"/>
      <c r="AB28" s="73"/>
    </row>
    <row r="29" spans="1:28">
      <c r="A29" s="57">
        <v>16</v>
      </c>
      <c r="B29" s="2" t="s">
        <v>166</v>
      </c>
      <c r="F29" s="42"/>
      <c r="H29" s="42"/>
      <c r="J29" s="42"/>
      <c r="L29" s="42"/>
      <c r="M29" s="42"/>
      <c r="N29" s="42"/>
      <c r="P29" s="42"/>
      <c r="Q29" s="42"/>
      <c r="R29" s="42"/>
      <c r="S29" s="42"/>
      <c r="T29" s="72"/>
      <c r="V29" s="55"/>
      <c r="X29" s="55"/>
      <c r="Z29" s="55"/>
      <c r="AB29" s="73"/>
    </row>
    <row r="30" spans="1:28">
      <c r="A30" s="57">
        <v>17</v>
      </c>
      <c r="C30" s="2" t="s">
        <v>167</v>
      </c>
      <c r="F30" s="42">
        <v>507019</v>
      </c>
      <c r="H30" s="42">
        <v>1237975</v>
      </c>
      <c r="J30" s="42">
        <v>1468258</v>
      </c>
      <c r="L30" s="42">
        <v>928699</v>
      </c>
      <c r="M30" s="42"/>
      <c r="N30" s="42">
        <v>830482</v>
      </c>
      <c r="P30" s="42">
        <f>665508+67000</f>
        <v>732508</v>
      </c>
      <c r="Q30" s="42"/>
      <c r="R30" s="42"/>
      <c r="S30" s="42"/>
      <c r="T30" s="72">
        <f t="shared" ref="T30" si="10">F30-H30</f>
        <v>-730956</v>
      </c>
      <c r="V30" s="55">
        <f t="shared" ref="V30" si="11">H30-J30</f>
        <v>-230283</v>
      </c>
      <c r="X30" s="55">
        <f>J30-L30</f>
        <v>539559</v>
      </c>
      <c r="Z30" s="55">
        <f>L30-N30</f>
        <v>98217</v>
      </c>
      <c r="AB30" s="73">
        <f>N30-P30</f>
        <v>97974</v>
      </c>
    </row>
    <row r="31" spans="1:28">
      <c r="A31" s="57">
        <v>18</v>
      </c>
      <c r="C31" t="s">
        <v>168</v>
      </c>
      <c r="F31" s="42">
        <v>1414053</v>
      </c>
      <c r="H31" s="42">
        <v>1344460</v>
      </c>
      <c r="J31" s="42">
        <v>1266413</v>
      </c>
      <c r="L31" s="42">
        <v>1139344</v>
      </c>
      <c r="M31" s="42"/>
      <c r="N31" s="42">
        <v>908668</v>
      </c>
      <c r="P31" s="42">
        <v>725359</v>
      </c>
      <c r="Q31" s="42"/>
      <c r="R31" s="42"/>
      <c r="S31" s="42"/>
      <c r="T31" s="72">
        <f t="shared" ref="T31" si="12">F31-H31</f>
        <v>69593</v>
      </c>
      <c r="V31" s="55">
        <f t="shared" ref="V31" si="13">H31-J31</f>
        <v>78047</v>
      </c>
      <c r="X31" s="55">
        <f>J31-L31</f>
        <v>127069</v>
      </c>
      <c r="Z31" s="55">
        <f>L31-N31</f>
        <v>230676</v>
      </c>
      <c r="AB31" s="73">
        <f>N31-P31</f>
        <v>183309</v>
      </c>
    </row>
    <row r="32" spans="1:28">
      <c r="A32" s="57">
        <v>19</v>
      </c>
      <c r="C32" t="s">
        <v>169</v>
      </c>
      <c r="F32" s="42">
        <v>-69458</v>
      </c>
      <c r="H32" s="42">
        <v>-118552</v>
      </c>
      <c r="J32" s="42">
        <v>-80811</v>
      </c>
      <c r="L32" s="42"/>
      <c r="M32" s="42"/>
      <c r="N32" s="42"/>
      <c r="P32" s="42"/>
      <c r="Q32" s="42"/>
      <c r="R32" s="42"/>
      <c r="S32" s="42"/>
      <c r="T32" s="72"/>
      <c r="V32" s="55"/>
      <c r="X32" s="55"/>
      <c r="Z32" s="55"/>
      <c r="AB32" s="73"/>
    </row>
    <row r="33" spans="1:28">
      <c r="A33" s="57">
        <v>20</v>
      </c>
      <c r="C33" s="2" t="s">
        <v>170</v>
      </c>
      <c r="F33" s="42">
        <v>2104388</v>
      </c>
      <c r="H33" s="42">
        <v>1352308</v>
      </c>
      <c r="J33" s="42">
        <v>973476</v>
      </c>
      <c r="L33" s="42">
        <v>680560</v>
      </c>
      <c r="M33" s="42"/>
      <c r="N33" s="42">
        <v>575853</v>
      </c>
      <c r="P33" s="42">
        <f>385090</f>
        <v>385090</v>
      </c>
      <c r="Q33" s="42"/>
      <c r="R33" s="42"/>
      <c r="S33" s="42"/>
      <c r="T33" s="72">
        <f t="shared" ref="T33" si="14">F33-H33</f>
        <v>752080</v>
      </c>
      <c r="V33" s="55">
        <f t="shared" ref="V33" si="15">H33-J33</f>
        <v>378832</v>
      </c>
      <c r="X33" s="55">
        <f>J33-L33</f>
        <v>292916</v>
      </c>
      <c r="Z33" s="55">
        <f>L33-N33</f>
        <v>104707</v>
      </c>
      <c r="AB33" s="73">
        <f>N33-P33</f>
        <v>190763</v>
      </c>
    </row>
    <row r="34" spans="1:28">
      <c r="A34" s="57">
        <v>21</v>
      </c>
      <c r="D34" s="2" t="s">
        <v>171</v>
      </c>
      <c r="F34" s="68">
        <f>SUM(F30:F33)</f>
        <v>3956002</v>
      </c>
      <c r="H34" s="68">
        <f>SUM(H30:H33)</f>
        <v>3816191</v>
      </c>
      <c r="J34" s="68">
        <f>SUM(J30:J33)</f>
        <v>3627336</v>
      </c>
      <c r="L34" s="68">
        <f>SUM(L30:L33)</f>
        <v>2748603</v>
      </c>
      <c r="M34" s="42"/>
      <c r="N34" s="68">
        <f>SUM(N30:N33)</f>
        <v>2315003</v>
      </c>
      <c r="P34" s="68">
        <f>SUM(P30:P33)</f>
        <v>1842957</v>
      </c>
      <c r="Q34" s="8"/>
      <c r="R34" s="8"/>
      <c r="S34" s="8"/>
      <c r="T34" s="83">
        <f>SUM(T30:T33)</f>
        <v>90717</v>
      </c>
      <c r="V34" s="68">
        <f>SUM(V30:V33)</f>
        <v>226596</v>
      </c>
      <c r="X34" s="68">
        <f>SUM(X30:X33)</f>
        <v>959544</v>
      </c>
      <c r="Z34" s="68">
        <f>SUM(Z30:Z33)</f>
        <v>433600</v>
      </c>
      <c r="AB34" s="84">
        <f>SUM(AB30:AB33)</f>
        <v>472046</v>
      </c>
    </row>
    <row r="35" spans="1:28">
      <c r="L35" s="42"/>
      <c r="M35" s="42"/>
      <c r="N35" s="42"/>
      <c r="P35" s="55"/>
      <c r="Q35" s="42"/>
      <c r="R35" s="42"/>
      <c r="S35" s="42"/>
      <c r="T35" s="72"/>
      <c r="V35" s="55"/>
      <c r="X35" s="55"/>
      <c r="Z35" s="55"/>
      <c r="AB35" s="73"/>
    </row>
    <row r="36" spans="1:28" ht="16.5" thickBot="1">
      <c r="A36" s="57">
        <v>22</v>
      </c>
      <c r="D36" s="33" t="s">
        <v>172</v>
      </c>
      <c r="E36" s="33"/>
      <c r="F36" s="51">
        <f>+F34+F27+F18</f>
        <v>40502443</v>
      </c>
      <c r="G36" s="70"/>
      <c r="H36" s="51">
        <f>+H35+H34+H27+H18</f>
        <v>40266628</v>
      </c>
      <c r="I36" s="70"/>
      <c r="J36" s="51">
        <f>+J35+J34+J27+J18</f>
        <v>40121874</v>
      </c>
      <c r="K36" s="70"/>
      <c r="L36" s="51">
        <f>+L35+L34+L27+L18</f>
        <v>39201892</v>
      </c>
      <c r="M36" s="70"/>
      <c r="N36" s="51">
        <f>+N35+N34+N27+N18</f>
        <v>39586036</v>
      </c>
      <c r="O36" s="70"/>
      <c r="P36" s="51">
        <f>+P35+P34+P27+P18</f>
        <v>39651892</v>
      </c>
      <c r="Q36" s="70"/>
      <c r="R36" s="70"/>
      <c r="S36" s="70"/>
      <c r="T36" s="76">
        <f>T34+T27+T18</f>
        <v>-60219</v>
      </c>
      <c r="V36" s="51">
        <f>V34+V27+V18</f>
        <v>-385612</v>
      </c>
      <c r="X36" s="51">
        <f>X34+X27+X18</f>
        <v>288789</v>
      </c>
      <c r="Z36" s="51">
        <f>Z34+Z27+Z18</f>
        <v>-297288</v>
      </c>
      <c r="AB36" s="77">
        <f>AB34+AB27+AB18</f>
        <v>14362633</v>
      </c>
    </row>
    <row r="37" spans="1:28" ht="16.5" thickTop="1">
      <c r="J37" s="443" t="str">
        <f>+'Sch 1 - Phased'!$W$1</f>
        <v>OUCC Attachment CFS-1</v>
      </c>
      <c r="T37" s="12"/>
      <c r="AB37" s="13"/>
    </row>
    <row r="38" spans="1:28">
      <c r="J38" s="443" t="s">
        <v>143</v>
      </c>
      <c r="T38" s="12"/>
      <c r="AB38" s="13"/>
    </row>
    <row r="39" spans="1:28">
      <c r="F39" s="8"/>
      <c r="H39" s="8"/>
      <c r="J39" s="443" t="s">
        <v>173</v>
      </c>
      <c r="T39" s="12"/>
      <c r="AB39" s="13"/>
    </row>
    <row r="40" spans="1:28" ht="20.25">
      <c r="A40" s="453" t="str">
        <f>+Inputs!$C$5</f>
        <v>City of Anderson</v>
      </c>
      <c r="B40" s="453"/>
      <c r="C40" s="453"/>
      <c r="D40" s="453"/>
      <c r="E40" s="453"/>
      <c r="F40" s="453"/>
      <c r="G40" s="453"/>
      <c r="H40" s="453"/>
      <c r="I40" s="453"/>
      <c r="J40" s="453"/>
      <c r="K40" s="9"/>
      <c r="L40" s="9"/>
      <c r="M40" s="9"/>
      <c r="N40" s="9"/>
      <c r="T40" s="12"/>
      <c r="AB40" s="13"/>
    </row>
    <row r="41" spans="1:28" ht="18.75">
      <c r="A41" s="454" t="str">
        <f>+A5</f>
        <v>CAUSE NUMBER 46171</v>
      </c>
      <c r="B41" s="454"/>
      <c r="C41" s="454"/>
      <c r="D41" s="454"/>
      <c r="E41" s="454"/>
      <c r="F41" s="454"/>
      <c r="G41" s="454"/>
      <c r="H41" s="454"/>
      <c r="I41" s="454"/>
      <c r="J41" s="454"/>
      <c r="K41" s="10"/>
      <c r="L41" s="10"/>
      <c r="M41" s="10"/>
      <c r="N41" s="10"/>
      <c r="T41" s="12"/>
      <c r="AB41" s="13"/>
    </row>
    <row r="42" spans="1:28">
      <c r="T42" s="12"/>
      <c r="AB42" s="13"/>
    </row>
    <row r="43" spans="1:28">
      <c r="A43" s="452" t="s">
        <v>145</v>
      </c>
      <c r="B43" s="452"/>
      <c r="C43" s="452"/>
      <c r="D43" s="452"/>
      <c r="E43" s="452"/>
      <c r="F43" s="452"/>
      <c r="G43" s="452"/>
      <c r="H43" s="452"/>
      <c r="I43" s="452"/>
      <c r="J43" s="452"/>
      <c r="K43" s="33"/>
      <c r="L43" s="33"/>
      <c r="M43" s="33"/>
      <c r="N43" s="33"/>
      <c r="T43" s="12"/>
      <c r="AB43" s="13"/>
    </row>
    <row r="44" spans="1:28">
      <c r="A44" s="452" t="str">
        <f>"As of "&amp;Inputs!C8&amp;","</f>
        <v>As of December 31,</v>
      </c>
      <c r="B44" s="452"/>
      <c r="C44" s="452"/>
      <c r="D44" s="452"/>
      <c r="E44" s="452"/>
      <c r="F44" s="452"/>
      <c r="G44" s="452"/>
      <c r="H44" s="452"/>
      <c r="I44" s="452"/>
      <c r="J44" s="452"/>
      <c r="K44" s="33"/>
      <c r="L44" s="33"/>
      <c r="M44" s="33"/>
      <c r="N44" s="33"/>
      <c r="T44" s="12"/>
      <c r="AB44" s="13"/>
    </row>
    <row r="45" spans="1:28">
      <c r="T45" s="12"/>
      <c r="AB45" s="13"/>
    </row>
    <row r="46" spans="1:28">
      <c r="B46" s="462" t="s">
        <v>174</v>
      </c>
      <c r="C46" s="463"/>
      <c r="D46" s="463"/>
      <c r="E46" s="1"/>
      <c r="F46" s="5">
        <v>2023</v>
      </c>
      <c r="G46" s="1"/>
      <c r="H46" s="5">
        <v>2022</v>
      </c>
      <c r="J46" s="5">
        <f>+J10</f>
        <v>2021</v>
      </c>
      <c r="L46" s="5">
        <f>+L10</f>
        <v>2020</v>
      </c>
      <c r="M46" s="442"/>
      <c r="N46" s="5">
        <f>+N10</f>
        <v>2019</v>
      </c>
      <c r="P46" s="5">
        <f>+P10</f>
        <v>2018</v>
      </c>
      <c r="Q46" s="442"/>
      <c r="R46" s="442"/>
      <c r="S46" s="442"/>
      <c r="T46" s="82" t="str">
        <f>T10</f>
        <v>2023 Δ 2022</v>
      </c>
      <c r="V46" s="5" t="str">
        <f>V10</f>
        <v>2022 Δ 2021</v>
      </c>
      <c r="X46" s="5" t="str">
        <f>X10</f>
        <v>2021 Δ 2020</v>
      </c>
      <c r="Z46" s="5" t="str">
        <f>Z10</f>
        <v>2020 Δ 2019</v>
      </c>
      <c r="AB46" s="35" t="str">
        <f>AB10</f>
        <v>2019 Δ 2018</v>
      </c>
    </row>
    <row r="47" spans="1:28">
      <c r="A47" s="57">
        <v>1</v>
      </c>
      <c r="B47" s="2" t="s">
        <v>175</v>
      </c>
      <c r="T47" s="12"/>
      <c r="AB47" s="13"/>
    </row>
    <row r="48" spans="1:28">
      <c r="A48" s="57">
        <v>2</v>
      </c>
      <c r="C48" s="2" t="s">
        <v>176</v>
      </c>
      <c r="F48" s="41">
        <v>22865064</v>
      </c>
      <c r="H48" s="41">
        <v>22559889</v>
      </c>
      <c r="J48" s="41">
        <v>21008342</v>
      </c>
      <c r="K48" s="41"/>
      <c r="L48" s="41">
        <v>18549097</v>
      </c>
      <c r="M48" s="41"/>
      <c r="N48" s="41">
        <v>17026015</v>
      </c>
      <c r="P48" s="41">
        <v>15092286</v>
      </c>
      <c r="Q48" s="41"/>
      <c r="R48" s="41"/>
      <c r="S48" s="41"/>
      <c r="T48" s="69">
        <f t="shared" ref="T48:T49" si="16">F48-H48</f>
        <v>305175</v>
      </c>
      <c r="V48" s="70">
        <f t="shared" ref="V48:V49" si="17">H48-J48</f>
        <v>1551547</v>
      </c>
      <c r="X48" s="70">
        <f>J48-L48</f>
        <v>2459245</v>
      </c>
      <c r="Z48" s="70">
        <f>L48-N48</f>
        <v>1523082</v>
      </c>
      <c r="AB48" s="71">
        <f>N48-P48</f>
        <v>1933729</v>
      </c>
    </row>
    <row r="49" spans="1:28">
      <c r="A49" s="57">
        <v>3</v>
      </c>
      <c r="C49" s="2" t="s">
        <v>177</v>
      </c>
      <c r="F49" s="42">
        <v>421044</v>
      </c>
      <c r="H49" s="42">
        <v>421044</v>
      </c>
      <c r="J49" s="42">
        <v>464384</v>
      </c>
      <c r="K49" s="42"/>
      <c r="L49" s="42">
        <v>464384</v>
      </c>
      <c r="M49" s="42"/>
      <c r="N49" s="42">
        <v>464384</v>
      </c>
      <c r="P49" s="42">
        <v>464384</v>
      </c>
      <c r="Q49" s="42"/>
      <c r="R49" s="42"/>
      <c r="S49" s="42"/>
      <c r="T49" s="72">
        <f t="shared" si="16"/>
        <v>0</v>
      </c>
      <c r="V49" s="55">
        <f t="shared" si="17"/>
        <v>-43340</v>
      </c>
      <c r="X49" s="55">
        <f>J49-L49</f>
        <v>0</v>
      </c>
      <c r="Z49" s="55">
        <f>L49-N49</f>
        <v>0</v>
      </c>
      <c r="AB49" s="73">
        <f>N49-P49</f>
        <v>0</v>
      </c>
    </row>
    <row r="50" spans="1:28">
      <c r="A50" s="57">
        <v>4</v>
      </c>
      <c r="D50" s="2" t="s">
        <v>178</v>
      </c>
      <c r="F50" s="47">
        <f>+F48+F49</f>
        <v>23286108</v>
      </c>
      <c r="H50" s="47">
        <f>+H48+H49</f>
        <v>22980933</v>
      </c>
      <c r="J50" s="47">
        <f>+J48+J49</f>
        <v>21472726</v>
      </c>
      <c r="K50" s="42"/>
      <c r="L50" s="47">
        <f>+L48+L49</f>
        <v>19013481</v>
      </c>
      <c r="M50" s="42"/>
      <c r="N50" s="47">
        <f>+N48+N49</f>
        <v>17490399</v>
      </c>
      <c r="P50" s="47">
        <f>+P48+P49</f>
        <v>15556670</v>
      </c>
      <c r="Q50" s="55"/>
      <c r="R50" s="55"/>
      <c r="S50" s="55"/>
      <c r="T50" s="74">
        <f t="shared" ref="T50" si="18">SUM(T48:T49)</f>
        <v>305175</v>
      </c>
      <c r="V50" s="47">
        <f t="shared" ref="V50" si="19">SUM(V48:V49)</f>
        <v>1508207</v>
      </c>
      <c r="X50" s="47">
        <f>SUM(X48:X49)</f>
        <v>2459245</v>
      </c>
      <c r="Z50" s="47">
        <f t="shared" ref="Z50" si="20">SUM(Z48:Z49)</f>
        <v>1523082</v>
      </c>
      <c r="AB50" s="75">
        <f t="shared" ref="AB50" si="21">SUM(AB48:AB49)</f>
        <v>1933729</v>
      </c>
    </row>
    <row r="51" spans="1:28">
      <c r="F51" s="42"/>
      <c r="H51" s="42"/>
      <c r="J51" s="42"/>
      <c r="K51" s="42"/>
      <c r="L51" s="42"/>
      <c r="M51" s="42"/>
      <c r="N51" s="42"/>
      <c r="P51" s="42"/>
      <c r="Q51" s="42"/>
      <c r="R51" s="42"/>
      <c r="S51" s="42"/>
      <c r="T51" s="72"/>
      <c r="V51" s="55"/>
      <c r="X51" s="55"/>
      <c r="Z51" s="55"/>
      <c r="AB51" s="73"/>
    </row>
    <row r="52" spans="1:28">
      <c r="A52" s="57">
        <v>5</v>
      </c>
      <c r="B52" t="s">
        <v>179</v>
      </c>
      <c r="F52" s="42"/>
      <c r="H52" s="42"/>
      <c r="J52" s="42"/>
      <c r="K52" s="42"/>
      <c r="L52" s="42"/>
      <c r="M52" s="42"/>
      <c r="N52" s="42"/>
      <c r="P52" s="42"/>
      <c r="Q52" s="42"/>
      <c r="R52" s="42"/>
      <c r="S52" s="42"/>
      <c r="T52" s="72"/>
      <c r="V52" s="55"/>
      <c r="X52" s="55"/>
      <c r="Z52" s="55"/>
      <c r="AB52" s="73"/>
    </row>
    <row r="53" spans="1:28">
      <c r="A53" s="57">
        <v>6</v>
      </c>
      <c r="B53"/>
      <c r="C53" t="s">
        <v>180</v>
      </c>
      <c r="F53" s="42">
        <f>5294156-F54</f>
        <v>4239669</v>
      </c>
      <c r="H53" s="42">
        <v>4239670</v>
      </c>
      <c r="J53" s="42">
        <v>3256582</v>
      </c>
      <c r="K53" s="42"/>
      <c r="L53" s="42">
        <v>3108658</v>
      </c>
      <c r="M53" s="42"/>
      <c r="N53" s="42">
        <v>3108658</v>
      </c>
      <c r="P53" s="42">
        <v>3108658</v>
      </c>
      <c r="Q53" s="42"/>
      <c r="R53" s="42"/>
      <c r="S53" s="42"/>
      <c r="T53" s="72">
        <f t="shared" ref="T53" si="22">F53-H53</f>
        <v>-1</v>
      </c>
      <c r="V53" s="55">
        <f t="shared" ref="V53" si="23">H53-J53</f>
        <v>983088</v>
      </c>
      <c r="X53" s="55">
        <f>J53-L53</f>
        <v>147924</v>
      </c>
      <c r="Z53" s="55">
        <f>L53-N53</f>
        <v>0</v>
      </c>
      <c r="AB53" s="73">
        <f>N53-P53</f>
        <v>0</v>
      </c>
    </row>
    <row r="54" spans="1:28">
      <c r="A54" s="57">
        <v>7</v>
      </c>
      <c r="B54"/>
      <c r="C54" s="2" t="s">
        <v>181</v>
      </c>
      <c r="F54" s="42">
        <v>1054487</v>
      </c>
      <c r="H54" s="42">
        <v>0</v>
      </c>
      <c r="J54" s="42">
        <v>0</v>
      </c>
      <c r="K54" s="42"/>
      <c r="L54" s="42"/>
      <c r="M54" s="42"/>
      <c r="N54" s="42"/>
      <c r="P54" s="42"/>
      <c r="Q54" s="42"/>
      <c r="R54" s="42"/>
      <c r="S54" s="42"/>
      <c r="T54" s="72"/>
      <c r="V54" s="55"/>
      <c r="X54" s="55"/>
      <c r="Z54" s="55"/>
      <c r="AB54" s="73"/>
    </row>
    <row r="55" spans="1:28">
      <c r="A55" s="57">
        <v>8</v>
      </c>
      <c r="B55"/>
      <c r="D55" t="s">
        <v>182</v>
      </c>
      <c r="E55"/>
      <c r="F55" s="47">
        <f>+F53+F54</f>
        <v>5294156</v>
      </c>
      <c r="G55"/>
      <c r="H55" s="47">
        <f>+H53+H54</f>
        <v>4239670</v>
      </c>
      <c r="I55"/>
      <c r="J55" s="47">
        <f t="shared" ref="J55" si="24">+J53+J54</f>
        <v>3256582</v>
      </c>
      <c r="K55"/>
      <c r="L55" s="47">
        <f t="shared" ref="L55" si="25">+L53+L54</f>
        <v>3108658</v>
      </c>
      <c r="M55"/>
      <c r="N55" s="47">
        <f t="shared" ref="N55" si="26">+N53+N54</f>
        <v>3108658</v>
      </c>
      <c r="O55"/>
      <c r="P55" s="47">
        <f t="shared" ref="P55" si="27">+P53+P54</f>
        <v>3108658</v>
      </c>
      <c r="Q55" s="55"/>
      <c r="R55" s="55"/>
      <c r="S55" s="55"/>
      <c r="T55" s="74">
        <f>SUM(T53:T54)</f>
        <v>-1</v>
      </c>
      <c r="V55" s="47">
        <f>SUM(V53:V54)</f>
        <v>983088</v>
      </c>
      <c r="X55" s="47">
        <f>SUM(X53:X54)</f>
        <v>147924</v>
      </c>
      <c r="Z55" s="47">
        <f>SUM(Z53:Z54)</f>
        <v>0</v>
      </c>
      <c r="AB55" s="75">
        <f>SUM(AB53:AB54)</f>
        <v>0</v>
      </c>
    </row>
    <row r="56" spans="1:28">
      <c r="F56" s="42"/>
      <c r="H56" s="42"/>
      <c r="J56" s="42"/>
      <c r="K56" s="42"/>
      <c r="L56" s="42"/>
      <c r="M56" s="42"/>
      <c r="N56" s="42"/>
      <c r="P56" s="42"/>
      <c r="Q56" s="42"/>
      <c r="R56" s="42"/>
      <c r="S56" s="42"/>
      <c r="T56" s="72"/>
      <c r="V56" s="55"/>
      <c r="X56" s="55"/>
      <c r="Z56" s="55"/>
      <c r="AB56" s="73"/>
    </row>
    <row r="57" spans="1:28">
      <c r="A57" s="57">
        <v>9</v>
      </c>
      <c r="B57" s="2" t="s">
        <v>183</v>
      </c>
      <c r="F57" s="42"/>
      <c r="H57" s="42"/>
      <c r="J57" s="42"/>
      <c r="K57" s="42"/>
      <c r="L57" s="42"/>
      <c r="M57" s="42"/>
      <c r="N57" s="42"/>
      <c r="P57" s="42"/>
      <c r="Q57" s="42"/>
      <c r="R57" s="42"/>
      <c r="S57" s="42"/>
      <c r="T57" s="72"/>
      <c r="V57" s="55"/>
      <c r="X57" s="55"/>
      <c r="Z57" s="55"/>
      <c r="AB57" s="73"/>
    </row>
    <row r="58" spans="1:28">
      <c r="A58" s="57">
        <v>10</v>
      </c>
      <c r="C58" s="2" t="s">
        <v>184</v>
      </c>
      <c r="F58" s="42">
        <v>9405000</v>
      </c>
      <c r="H58" s="42">
        <v>10070000</v>
      </c>
      <c r="J58" s="42">
        <v>12465000</v>
      </c>
      <c r="K58" s="42"/>
      <c r="L58" s="42">
        <v>13415000</v>
      </c>
      <c r="M58" s="42"/>
      <c r="N58" s="42">
        <v>14355000</v>
      </c>
      <c r="P58" s="42">
        <v>15270000</v>
      </c>
      <c r="Q58" s="42"/>
      <c r="R58" s="42"/>
      <c r="S58" s="42"/>
      <c r="T58" s="72">
        <f t="shared" ref="T58:T60" si="28">F58-H58</f>
        <v>-665000</v>
      </c>
      <c r="V58" s="55">
        <f t="shared" ref="V58:V60" si="29">H58-J58</f>
        <v>-2395000</v>
      </c>
      <c r="X58" s="55">
        <f>J58-L58</f>
        <v>-950000</v>
      </c>
      <c r="Z58" s="55">
        <f>L58-N58</f>
        <v>-940000</v>
      </c>
      <c r="AB58" s="73">
        <f>N58-P58</f>
        <v>-915000</v>
      </c>
    </row>
    <row r="59" spans="1:28">
      <c r="A59" s="57">
        <v>11</v>
      </c>
      <c r="C59" s="2" t="s">
        <v>185</v>
      </c>
      <c r="F59" s="42">
        <v>1085000</v>
      </c>
      <c r="H59" s="42">
        <v>1420000</v>
      </c>
      <c r="J59" s="42">
        <v>0</v>
      </c>
      <c r="K59" s="42"/>
      <c r="L59" s="42"/>
      <c r="M59" s="42"/>
      <c r="N59" s="42"/>
      <c r="P59" s="42"/>
      <c r="Q59" s="42"/>
      <c r="R59" s="42"/>
      <c r="S59" s="42"/>
      <c r="T59" s="72">
        <f t="shared" si="28"/>
        <v>-335000</v>
      </c>
      <c r="V59" s="55">
        <f t="shared" si="29"/>
        <v>1420000</v>
      </c>
      <c r="X59" s="55">
        <f>J59-L59</f>
        <v>0</v>
      </c>
      <c r="Z59" s="55">
        <f>L59-N59</f>
        <v>0</v>
      </c>
      <c r="AB59" s="73">
        <f>N59-P59</f>
        <v>0</v>
      </c>
    </row>
    <row r="60" spans="1:28">
      <c r="A60" s="57">
        <v>12</v>
      </c>
      <c r="C60" s="2" t="s">
        <v>186</v>
      </c>
      <c r="F60" s="42">
        <v>215413</v>
      </c>
      <c r="H60" s="42">
        <v>0</v>
      </c>
      <c r="J60" s="42">
        <v>390000</v>
      </c>
      <c r="K60" s="42"/>
      <c r="L60" s="42">
        <v>1217876</v>
      </c>
      <c r="M60" s="42"/>
      <c r="N60" s="42">
        <v>2386922</v>
      </c>
      <c r="P60" s="42">
        <v>3551459</v>
      </c>
      <c r="Q60" s="42"/>
      <c r="R60" s="42"/>
      <c r="S60" s="42"/>
      <c r="T60" s="72">
        <f t="shared" si="28"/>
        <v>215413</v>
      </c>
      <c r="V60" s="55">
        <f t="shared" si="29"/>
        <v>-390000</v>
      </c>
      <c r="X60" s="55">
        <f>J60-L60</f>
        <v>-827876</v>
      </c>
      <c r="Z60" s="55">
        <f>L60-N60</f>
        <v>-1169046</v>
      </c>
      <c r="AB60" s="73">
        <f>N60-P60</f>
        <v>-1164537</v>
      </c>
    </row>
    <row r="61" spans="1:28">
      <c r="A61" s="57">
        <v>13</v>
      </c>
      <c r="D61" s="2" t="s">
        <v>187</v>
      </c>
      <c r="F61" s="47">
        <f>SUM(F58:F60)</f>
        <v>10705413</v>
      </c>
      <c r="H61" s="47">
        <f>SUM(H58:H60)</f>
        <v>11490000</v>
      </c>
      <c r="J61" s="47">
        <f>SUM(J58:J60)</f>
        <v>12855000</v>
      </c>
      <c r="K61" s="42"/>
      <c r="L61" s="47">
        <f>SUM(L58:L60)</f>
        <v>14632876</v>
      </c>
      <c r="M61" s="42"/>
      <c r="N61" s="47">
        <f>SUM(N58:N60)</f>
        <v>16741922</v>
      </c>
      <c r="P61" s="47">
        <f>SUM(P58:P60)</f>
        <v>18821459</v>
      </c>
      <c r="Q61" s="55"/>
      <c r="R61" s="55"/>
      <c r="S61" s="55"/>
      <c r="T61" s="74">
        <f>SUM(T58:T60)</f>
        <v>-784587</v>
      </c>
      <c r="V61" s="47">
        <f>SUM(V58:V60)</f>
        <v>-1365000</v>
      </c>
      <c r="X61" s="47">
        <f>SUM(X58:X60)</f>
        <v>-1777876</v>
      </c>
      <c r="Z61" s="47">
        <f>SUM(Z58:Z60)</f>
        <v>-2109046</v>
      </c>
      <c r="AB61" s="75">
        <f>SUM(AB58:AB60)</f>
        <v>-2079537</v>
      </c>
    </row>
    <row r="62" spans="1:28">
      <c r="F62" s="42"/>
      <c r="H62" s="42"/>
      <c r="J62" s="42"/>
      <c r="K62" s="42"/>
      <c r="L62" s="42"/>
      <c r="M62" s="42"/>
      <c r="N62" s="42"/>
      <c r="P62" s="42"/>
      <c r="Q62" s="42"/>
      <c r="R62" s="42"/>
      <c r="S62" s="42"/>
      <c r="T62" s="72"/>
      <c r="V62" s="55"/>
      <c r="X62" s="55"/>
      <c r="Z62" s="55"/>
      <c r="AB62" s="73"/>
    </row>
    <row r="63" spans="1:28">
      <c r="A63" s="57">
        <v>14</v>
      </c>
      <c r="B63" s="2" t="s">
        <v>188</v>
      </c>
      <c r="F63" s="42"/>
      <c r="H63" s="42"/>
      <c r="J63" s="42"/>
      <c r="K63" s="42"/>
      <c r="L63" s="42"/>
      <c r="M63" s="42"/>
      <c r="N63" s="42"/>
      <c r="P63" s="42"/>
      <c r="Q63" s="42"/>
      <c r="R63" s="42"/>
      <c r="S63" s="42"/>
      <c r="T63" s="72"/>
      <c r="V63" s="55"/>
      <c r="X63" s="55"/>
      <c r="Z63" s="55"/>
      <c r="AB63" s="73"/>
    </row>
    <row r="64" spans="1:28">
      <c r="A64" s="57">
        <v>15</v>
      </c>
      <c r="C64" s="2" t="s">
        <v>189</v>
      </c>
      <c r="F64" s="42">
        <v>258566</v>
      </c>
      <c r="H64" s="42">
        <v>246899</v>
      </c>
      <c r="J64" s="42">
        <v>223286</v>
      </c>
      <c r="K64" s="42"/>
      <c r="L64" s="42">
        <v>211053</v>
      </c>
      <c r="M64" s="42"/>
      <c r="N64" s="42">
        <v>48441</v>
      </c>
      <c r="P64" s="42">
        <v>161823</v>
      </c>
      <c r="Q64" s="42"/>
      <c r="R64" s="42"/>
      <c r="S64" s="42"/>
      <c r="T64" s="72">
        <f t="shared" ref="T64:T67" si="30">F64-H64</f>
        <v>11667</v>
      </c>
      <c r="V64" s="55">
        <f t="shared" ref="V64:V67" si="31">H64-J64</f>
        <v>23613</v>
      </c>
      <c r="X64" s="55">
        <f t="shared" ref="X64:X67" si="32">J64-L64</f>
        <v>12233</v>
      </c>
      <c r="Z64" s="55">
        <f t="shared" ref="Z64:Z67" si="33">L64-N64</f>
        <v>162612</v>
      </c>
      <c r="AB64" s="73">
        <f t="shared" ref="AB64:AB67" si="34">N64-P64</f>
        <v>-113382</v>
      </c>
    </row>
    <row r="65" spans="1:28">
      <c r="A65" s="57">
        <v>16</v>
      </c>
      <c r="C65" t="s">
        <v>162</v>
      </c>
      <c r="F65" s="42">
        <v>719351</v>
      </c>
      <c r="H65" s="42">
        <v>725733</v>
      </c>
      <c r="J65" s="42">
        <v>739308</v>
      </c>
      <c r="K65" s="42"/>
      <c r="L65" s="42">
        <v>750658</v>
      </c>
      <c r="M65" s="42"/>
      <c r="N65" s="42">
        <v>726386</v>
      </c>
      <c r="P65" s="42">
        <v>700580</v>
      </c>
      <c r="Q65" s="42"/>
      <c r="R65" s="42"/>
      <c r="S65" s="42"/>
      <c r="T65" s="72">
        <f t="shared" si="30"/>
        <v>-6382</v>
      </c>
      <c r="V65" s="55">
        <f t="shared" si="31"/>
        <v>-13575</v>
      </c>
      <c r="X65" s="55">
        <f t="shared" si="32"/>
        <v>-11350</v>
      </c>
      <c r="Z65" s="55">
        <f t="shared" si="33"/>
        <v>24272</v>
      </c>
      <c r="AB65" s="73">
        <f t="shared" si="34"/>
        <v>25806</v>
      </c>
    </row>
    <row r="66" spans="1:28">
      <c r="A66" s="57">
        <v>17</v>
      </c>
      <c r="C66" t="s">
        <v>190</v>
      </c>
      <c r="F66" s="42">
        <v>47823</v>
      </c>
      <c r="H66" s="42">
        <v>47968</v>
      </c>
      <c r="J66" s="42">
        <v>48345</v>
      </c>
      <c r="K66" s="42"/>
      <c r="L66" s="42">
        <v>56880</v>
      </c>
      <c r="M66" s="42"/>
      <c r="N66" s="42">
        <v>58326</v>
      </c>
      <c r="P66" s="42">
        <v>56608</v>
      </c>
      <c r="Q66" s="42"/>
      <c r="R66" s="42"/>
      <c r="S66" s="42"/>
      <c r="T66" s="72">
        <f t="shared" si="30"/>
        <v>-145</v>
      </c>
      <c r="V66" s="55">
        <f t="shared" si="31"/>
        <v>-377</v>
      </c>
      <c r="X66" s="55">
        <f t="shared" si="32"/>
        <v>-8535</v>
      </c>
      <c r="Z66" s="55">
        <f t="shared" si="33"/>
        <v>-1446</v>
      </c>
      <c r="AB66" s="73">
        <f t="shared" si="34"/>
        <v>1718</v>
      </c>
    </row>
    <row r="67" spans="1:28">
      <c r="A67" s="57">
        <v>18</v>
      </c>
      <c r="C67" t="s">
        <v>191</v>
      </c>
      <c r="F67" s="42">
        <v>113069</v>
      </c>
      <c r="H67" s="42">
        <v>390900</v>
      </c>
      <c r="J67" s="42">
        <v>1297876</v>
      </c>
      <c r="K67" s="42"/>
      <c r="L67" s="42">
        <v>1169046</v>
      </c>
      <c r="M67" s="42"/>
      <c r="N67" s="42">
        <v>1122174</v>
      </c>
      <c r="P67" s="42">
        <v>1055365</v>
      </c>
      <c r="Q67" s="42"/>
      <c r="R67" s="42"/>
      <c r="S67" s="42"/>
      <c r="T67" s="72">
        <f t="shared" si="30"/>
        <v>-277831</v>
      </c>
      <c r="V67" s="55">
        <f t="shared" si="31"/>
        <v>-906976</v>
      </c>
      <c r="X67" s="55">
        <f t="shared" si="32"/>
        <v>128830</v>
      </c>
      <c r="Z67" s="55">
        <f t="shared" si="33"/>
        <v>46872</v>
      </c>
      <c r="AB67" s="73">
        <f t="shared" si="34"/>
        <v>66809</v>
      </c>
    </row>
    <row r="68" spans="1:28">
      <c r="A68" s="57">
        <v>19</v>
      </c>
      <c r="D68" t="s">
        <v>192</v>
      </c>
      <c r="E68"/>
      <c r="F68" s="47">
        <f>SUM(F64:F67)</f>
        <v>1138809</v>
      </c>
      <c r="G68"/>
      <c r="H68" s="47">
        <f>SUM(H64:H67)</f>
        <v>1411500</v>
      </c>
      <c r="J68" s="47">
        <f>SUM(J64:J67)</f>
        <v>2308815</v>
      </c>
      <c r="K68" s="42"/>
      <c r="L68" s="47">
        <f>SUM(L64:L67)</f>
        <v>2187637</v>
      </c>
      <c r="M68" s="42"/>
      <c r="N68" s="47">
        <f>SUM(N64:N67)</f>
        <v>1955327</v>
      </c>
      <c r="P68" s="47">
        <f>SUM(P64:P67)</f>
        <v>1974376</v>
      </c>
      <c r="Q68" s="55"/>
      <c r="R68" s="55"/>
      <c r="S68" s="55"/>
      <c r="T68" s="74">
        <f>SUM(T64:T67)</f>
        <v>-272691</v>
      </c>
      <c r="V68" s="47">
        <f>SUM(V64:V67)</f>
        <v>-897315</v>
      </c>
      <c r="X68" s="47">
        <f>SUM(X64:X67)</f>
        <v>121178</v>
      </c>
      <c r="Z68" s="47">
        <f>SUM(Z64:Z67)</f>
        <v>232310</v>
      </c>
      <c r="AB68" s="75">
        <f>SUM(AB64:AB67)</f>
        <v>-19049</v>
      </c>
    </row>
    <row r="69" spans="1:28">
      <c r="F69" s="42"/>
      <c r="H69" s="42"/>
      <c r="J69" s="42"/>
      <c r="K69" s="42"/>
      <c r="L69" s="42"/>
      <c r="M69" s="42"/>
      <c r="N69" s="42"/>
      <c r="P69" s="42"/>
      <c r="Q69" s="42"/>
      <c r="R69" s="42"/>
      <c r="S69" s="42"/>
      <c r="T69" s="72"/>
      <c r="V69" s="55"/>
      <c r="X69" s="55"/>
      <c r="Z69" s="55"/>
      <c r="AB69" s="73"/>
    </row>
    <row r="70" spans="1:28">
      <c r="A70" s="57">
        <v>20</v>
      </c>
      <c r="B70" t="s">
        <v>193</v>
      </c>
      <c r="F70" s="42"/>
      <c r="H70" s="42"/>
      <c r="J70" s="42"/>
      <c r="K70" s="42"/>
      <c r="L70" s="42"/>
      <c r="M70" s="42"/>
      <c r="N70" s="42"/>
      <c r="P70" s="42"/>
      <c r="Q70" s="42"/>
      <c r="R70" s="42"/>
      <c r="S70" s="42"/>
      <c r="T70" s="72"/>
      <c r="V70" s="55"/>
      <c r="X70" s="55"/>
      <c r="Z70" s="55"/>
      <c r="AB70" s="73"/>
    </row>
    <row r="71" spans="1:28">
      <c r="A71" s="57">
        <v>21</v>
      </c>
      <c r="C71" t="s">
        <v>194</v>
      </c>
      <c r="F71" s="42">
        <v>77957</v>
      </c>
      <c r="H71" s="42">
        <v>144525</v>
      </c>
      <c r="J71" s="42">
        <v>228751</v>
      </c>
      <c r="K71" s="42"/>
      <c r="L71" s="42">
        <v>259240</v>
      </c>
      <c r="M71" s="42"/>
      <c r="N71" s="42">
        <v>289730</v>
      </c>
      <c r="P71" s="42">
        <v>326298</v>
      </c>
      <c r="Q71" s="42"/>
      <c r="R71" s="42"/>
      <c r="S71" s="42"/>
      <c r="T71" s="72">
        <f t="shared" ref="T71" si="35">F71-H71</f>
        <v>-66568</v>
      </c>
      <c r="V71" s="55">
        <f t="shared" ref="V71" si="36">H71-J71</f>
        <v>-84226</v>
      </c>
      <c r="X71" s="55">
        <f>J71-L71</f>
        <v>-30489</v>
      </c>
      <c r="Z71" s="55">
        <f>L71-N71</f>
        <v>-30490</v>
      </c>
      <c r="AB71" s="73">
        <f>N71-P71</f>
        <v>-36568</v>
      </c>
    </row>
    <row r="72" spans="1:28">
      <c r="A72" s="57">
        <v>22</v>
      </c>
      <c r="D72" t="s">
        <v>195</v>
      </c>
      <c r="E72"/>
      <c r="F72" s="47">
        <f>SUM(F71:F71)</f>
        <v>77957</v>
      </c>
      <c r="G72"/>
      <c r="H72" s="47">
        <f>SUM(H71:H71)</f>
        <v>144525</v>
      </c>
      <c r="J72" s="47">
        <f>SUM(J71:J71)</f>
        <v>228751</v>
      </c>
      <c r="K72" s="42"/>
      <c r="L72" s="47">
        <f>SUM(L71:L71)</f>
        <v>259240</v>
      </c>
      <c r="M72" s="42"/>
      <c r="N72" s="47">
        <f>SUM(N71:N71)</f>
        <v>289730</v>
      </c>
      <c r="P72" s="47">
        <f>SUM(P71:P71)</f>
        <v>326298</v>
      </c>
      <c r="Q72" s="55"/>
      <c r="R72" s="55"/>
      <c r="S72" s="55"/>
      <c r="T72" s="74">
        <f>SUM(T71:T71)</f>
        <v>-66568</v>
      </c>
      <c r="V72" s="47">
        <f>SUM(V71:V71)</f>
        <v>-84226</v>
      </c>
      <c r="X72" s="47">
        <f>SUM(X71:X71)</f>
        <v>-30489</v>
      </c>
      <c r="Z72" s="47">
        <f>SUM(Z71:Z71)</f>
        <v>-30490</v>
      </c>
      <c r="AB72" s="75">
        <f>SUM(AB71:AB71)</f>
        <v>-36568</v>
      </c>
    </row>
    <row r="73" spans="1:28">
      <c r="D73"/>
      <c r="E73"/>
      <c r="F73" s="42"/>
      <c r="G73"/>
      <c r="H73" s="42"/>
      <c r="J73" s="42"/>
      <c r="K73" s="42"/>
      <c r="L73" s="42"/>
      <c r="M73" s="42"/>
      <c r="N73" s="42"/>
      <c r="P73" s="42"/>
      <c r="Q73" s="42"/>
      <c r="R73" s="42"/>
      <c r="S73" s="42"/>
      <c r="T73" s="72"/>
      <c r="V73" s="55"/>
      <c r="X73" s="55"/>
      <c r="Z73" s="55"/>
      <c r="AB73" s="73"/>
    </row>
    <row r="74" spans="1:28" ht="16.5" thickBot="1">
      <c r="A74" s="57">
        <v>23</v>
      </c>
      <c r="D74" s="33" t="s">
        <v>196</v>
      </c>
      <c r="E74" s="33"/>
      <c r="F74" s="51">
        <f>+F68+F61+F55+F50+F72</f>
        <v>40502443</v>
      </c>
      <c r="G74" s="33"/>
      <c r="H74" s="51">
        <f>+H68+H61+H55+H50+H72</f>
        <v>40266628</v>
      </c>
      <c r="J74" s="51">
        <f>+J68+J61+J55+J50+J72</f>
        <v>40121874</v>
      </c>
      <c r="K74" s="42"/>
      <c r="L74" s="51">
        <f>+L68+L61+L55+L50+L72</f>
        <v>39201892</v>
      </c>
      <c r="M74" s="42"/>
      <c r="N74" s="51">
        <f>+N68+N61+N55+N50+N72</f>
        <v>39586036</v>
      </c>
      <c r="P74" s="51">
        <f>+P68+P61+P55+P50+P72</f>
        <v>39787461</v>
      </c>
      <c r="Q74" s="70"/>
      <c r="R74" s="70"/>
      <c r="S74" s="70"/>
      <c r="T74" s="76">
        <f>+T68+T61+T55+T50+T72</f>
        <v>-818672</v>
      </c>
      <c r="V74" s="51">
        <f>+V68+V61+V55+V50+V72</f>
        <v>144754</v>
      </c>
      <c r="X74" s="51">
        <f>+X68+X61+X55+X50+X72</f>
        <v>919982</v>
      </c>
      <c r="Z74" s="51">
        <f>+Z68+Z61+Z55+Z50+Z72</f>
        <v>-384144</v>
      </c>
      <c r="AB74" s="77">
        <f>+AB68+AB61+AB55+AB50+AB72</f>
        <v>-201425</v>
      </c>
    </row>
    <row r="75" spans="1:28" ht="16.5" thickTop="1">
      <c r="F75" s="42"/>
      <c r="H75" s="42"/>
      <c r="J75" s="42"/>
      <c r="K75" s="42"/>
      <c r="L75" s="42"/>
      <c r="M75" s="42"/>
      <c r="N75" s="42"/>
      <c r="P75" s="42"/>
      <c r="Q75" s="42"/>
      <c r="R75" s="42"/>
      <c r="S75" s="42"/>
      <c r="T75" s="72"/>
      <c r="V75" s="55"/>
      <c r="X75" s="55"/>
      <c r="Z75" s="55"/>
      <c r="AB75" s="73"/>
    </row>
    <row r="76" spans="1:28">
      <c r="J76" s="42"/>
      <c r="K76" s="42"/>
      <c r="L76" s="42"/>
      <c r="M76" s="42"/>
      <c r="N76" s="42"/>
      <c r="P76" s="42"/>
      <c r="Q76" s="42"/>
      <c r="R76" s="42"/>
      <c r="S76" s="42"/>
      <c r="T76" s="72"/>
      <c r="V76" s="55"/>
      <c r="X76" s="55"/>
      <c r="Z76" s="55"/>
      <c r="AB76" s="73"/>
    </row>
    <row r="77" spans="1:28" ht="16.5" thickBot="1">
      <c r="D77" s="2" t="s">
        <v>197</v>
      </c>
      <c r="F77" s="42">
        <f>+F74-F36</f>
        <v>0</v>
      </c>
      <c r="G77" s="42"/>
      <c r="H77" s="42">
        <f>+H74-H36</f>
        <v>0</v>
      </c>
      <c r="I77" s="42"/>
      <c r="J77" s="42">
        <f>+J74-J36</f>
        <v>0</v>
      </c>
      <c r="K77" s="42"/>
      <c r="L77" s="42">
        <f>+L74-L36</f>
        <v>0</v>
      </c>
      <c r="M77" s="42"/>
      <c r="N77" s="42">
        <f>+N74-N36</f>
        <v>0</v>
      </c>
      <c r="P77" s="42">
        <f>+P74-P36</f>
        <v>135569</v>
      </c>
      <c r="Q77" s="42"/>
      <c r="R77" s="42"/>
      <c r="S77" s="42"/>
      <c r="T77" s="78">
        <f>T36-T74</f>
        <v>758453</v>
      </c>
      <c r="U77" s="15"/>
      <c r="V77" s="79">
        <f>V36-V74</f>
        <v>-530366</v>
      </c>
      <c r="W77" s="15"/>
      <c r="X77" s="79">
        <f>X36-X74</f>
        <v>-631193</v>
      </c>
      <c r="Y77" s="15"/>
      <c r="Z77" s="79">
        <f>Z36-Z74</f>
        <v>86856</v>
      </c>
      <c r="AA77" s="15"/>
      <c r="AB77" s="80">
        <f>AB36-AB74</f>
        <v>14564058</v>
      </c>
    </row>
    <row r="78" spans="1:28">
      <c r="J78" s="42"/>
      <c r="K78" s="42"/>
      <c r="L78" s="42"/>
      <c r="M78" s="42"/>
      <c r="N78" s="42"/>
      <c r="P78" s="42"/>
      <c r="Q78" s="42"/>
      <c r="R78" s="42"/>
      <c r="S78" s="42"/>
      <c r="T78" s="42"/>
      <c r="U78" s="42"/>
      <c r="V78" s="42"/>
    </row>
    <row r="79" spans="1:28">
      <c r="D79" s="2" t="s">
        <v>198</v>
      </c>
      <c r="F79" s="118">
        <f>(F48-H48)-'Sch 3 - IS'!F70</f>
        <v>-1992</v>
      </c>
      <c r="H79" s="118">
        <f>(H48-J48)-'Sch 3 - IS'!H70</f>
        <v>0</v>
      </c>
      <c r="J79" s="118">
        <f>(J48-L48)-'Sch 3 - IS'!J70</f>
        <v>0</v>
      </c>
      <c r="L79" s="118">
        <f>(L48-N48)-'Sch 3 - IS'!L70</f>
        <v>0</v>
      </c>
      <c r="N79" s="118">
        <f>(N48-P48)-'Sch 3 - IS'!N70</f>
        <v>-230336</v>
      </c>
      <c r="P79" s="118"/>
    </row>
    <row r="80" spans="1:28">
      <c r="D80" s="2" t="s">
        <v>199</v>
      </c>
      <c r="F80" s="8">
        <f>(F17-H17)+'Sch 4 PF IS'!F41</f>
        <v>-175842</v>
      </c>
      <c r="H80" s="8">
        <f>(H17-J17)+'Sch 4 PF IS'!H41</f>
        <v>-687696</v>
      </c>
      <c r="J80" s="8">
        <f>(J17-L17)+'Sch 4 PF IS'!J41</f>
        <v>-903685</v>
      </c>
      <c r="L80" s="8">
        <f>(L17-N17)+'Sch 4 PF IS'!L41</f>
        <v>94468</v>
      </c>
      <c r="N80" s="8">
        <f>(N17-P17)+'Sch 4 PF IS'!N41</f>
        <v>623691</v>
      </c>
      <c r="P80" s="8"/>
    </row>
    <row r="81" spans="1:18" ht="16.5" thickBot="1">
      <c r="J81" s="42"/>
      <c r="K81" s="42"/>
      <c r="L81" s="42"/>
      <c r="M81" s="42"/>
      <c r="N81" s="42"/>
    </row>
    <row r="82" spans="1:18">
      <c r="D82" s="17" t="s">
        <v>200</v>
      </c>
      <c r="E82" s="11"/>
      <c r="F82" s="121">
        <f>F13*0.02</f>
        <v>1261495.3</v>
      </c>
      <c r="G82" s="11"/>
      <c r="H82" s="365">
        <f>H13*0.02</f>
        <v>1238438.7</v>
      </c>
      <c r="I82" s="11"/>
      <c r="J82" s="121">
        <f>J13*0.02</f>
        <v>1237216.24</v>
      </c>
      <c r="K82" s="11"/>
      <c r="L82" s="121">
        <f>L13*0.02</f>
        <v>1232569.48</v>
      </c>
      <c r="M82" s="11"/>
      <c r="N82" s="121">
        <f>N13*0.02</f>
        <v>1229561.54</v>
      </c>
      <c r="O82" s="81"/>
    </row>
    <row r="83" spans="1:18">
      <c r="D83" s="12" t="s">
        <v>201</v>
      </c>
      <c r="E83" s="53"/>
      <c r="F83" s="53">
        <f>'Sch 3 - IS'!F51</f>
        <v>980803</v>
      </c>
      <c r="G83" s="53"/>
      <c r="H83" s="55">
        <f>'Sch 3 - IS'!H51</f>
        <v>909870</v>
      </c>
      <c r="I83" s="53"/>
      <c r="J83" s="53">
        <f>'Sch 3 - IS'!J51</f>
        <v>910195</v>
      </c>
      <c r="K83" s="53"/>
      <c r="L83" s="53">
        <f>'Sch 3 - IS'!L51</f>
        <v>886335</v>
      </c>
      <c r="M83" s="53"/>
      <c r="N83" s="53">
        <f>'Sch 3 - IS'!N51</f>
        <v>890157</v>
      </c>
      <c r="O83" s="13"/>
    </row>
    <row r="84" spans="1:18" ht="16.5" thickBot="1">
      <c r="D84" s="14" t="s">
        <v>202</v>
      </c>
      <c r="E84" s="15"/>
      <c r="F84" s="122">
        <f>F82-F83</f>
        <v>280692.30000000005</v>
      </c>
      <c r="G84" s="15"/>
      <c r="H84" s="122">
        <f t="shared" ref="H84" si="37">H82-H83</f>
        <v>328568.69999999995</v>
      </c>
      <c r="I84" s="15"/>
      <c r="J84" s="122">
        <f t="shared" ref="J84" si="38">J82-J83</f>
        <v>327021.24</v>
      </c>
      <c r="K84" s="15"/>
      <c r="L84" s="122">
        <f t="shared" ref="L84" si="39">L82-L83</f>
        <v>346234.48</v>
      </c>
      <c r="M84" s="15"/>
      <c r="N84" s="122">
        <f t="shared" ref="N84" si="40">N82-N83</f>
        <v>339404.54000000004</v>
      </c>
      <c r="O84" s="16"/>
    </row>
    <row r="85" spans="1:18" ht="16.5" thickBot="1">
      <c r="J85" s="42"/>
      <c r="K85" s="42"/>
      <c r="L85" s="42"/>
      <c r="M85" s="42"/>
      <c r="N85" s="42"/>
    </row>
    <row r="86" spans="1:18">
      <c r="A86" s="127"/>
      <c r="B86" s="11"/>
      <c r="C86" s="11"/>
      <c r="D86" s="11"/>
      <c r="E86" s="11"/>
      <c r="F86" s="464">
        <v>2023</v>
      </c>
      <c r="G86" s="464"/>
      <c r="H86" s="464"/>
      <c r="I86" s="464"/>
      <c r="J86" s="464"/>
      <c r="K86" s="464"/>
      <c r="L86" s="464"/>
      <c r="M86" s="464"/>
      <c r="N86" s="464"/>
      <c r="O86" s="464"/>
      <c r="P86" s="465"/>
    </row>
    <row r="87" spans="1:18">
      <c r="A87" s="128"/>
      <c r="F87" s="5" t="s">
        <v>203</v>
      </c>
      <c r="H87" s="5" t="s">
        <v>204</v>
      </c>
      <c r="J87" s="5" t="s">
        <v>205</v>
      </c>
      <c r="L87" s="126" t="s">
        <v>206</v>
      </c>
      <c r="M87" s="55"/>
      <c r="N87" s="5" t="s">
        <v>207</v>
      </c>
      <c r="O87" s="55"/>
      <c r="P87" s="129" t="s">
        <v>208</v>
      </c>
    </row>
    <row r="88" spans="1:18">
      <c r="A88" s="460">
        <v>303</v>
      </c>
      <c r="B88" s="461"/>
      <c r="D88" s="2" t="s">
        <v>209</v>
      </c>
      <c r="F88" s="53">
        <v>526377</v>
      </c>
      <c r="H88" s="8">
        <f>J88-F88</f>
        <v>0</v>
      </c>
      <c r="J88" s="53">
        <v>526377</v>
      </c>
      <c r="L88" s="55"/>
      <c r="M88" s="55"/>
      <c r="N88" s="8">
        <v>0</v>
      </c>
      <c r="O88" s="55"/>
      <c r="P88" s="73"/>
    </row>
    <row r="89" spans="1:18">
      <c r="A89" s="460">
        <v>304</v>
      </c>
      <c r="B89" s="461"/>
      <c r="D89" s="2" t="s">
        <v>210</v>
      </c>
      <c r="F89" s="53">
        <v>6690093</v>
      </c>
      <c r="H89" s="8">
        <f t="shared" ref="H89:H103" si="41">J89-F89</f>
        <v>199700</v>
      </c>
      <c r="J89" s="53">
        <v>6889793</v>
      </c>
      <c r="L89" s="55">
        <v>944792</v>
      </c>
      <c r="M89" s="55"/>
      <c r="N89" s="8">
        <f>(F89+(H89/2))*0.02</f>
        <v>135798.86000000002</v>
      </c>
      <c r="O89" s="55"/>
      <c r="P89" s="73">
        <v>153372</v>
      </c>
      <c r="R89" s="6">
        <f>L89+P89</f>
        <v>1098164</v>
      </c>
    </row>
    <row r="90" spans="1:18">
      <c r="A90" s="460">
        <v>307</v>
      </c>
      <c r="B90" s="461"/>
      <c r="D90" s="2" t="s">
        <v>211</v>
      </c>
      <c r="F90" s="53">
        <v>2686468</v>
      </c>
      <c r="H90" s="8">
        <f t="shared" si="41"/>
        <v>150800</v>
      </c>
      <c r="J90" s="53">
        <v>2837268</v>
      </c>
      <c r="L90" s="55">
        <v>1140848</v>
      </c>
      <c r="M90" s="55"/>
      <c r="N90" s="8">
        <f t="shared" ref="N90:N103" si="42">(F90+(H90/2))*0.02</f>
        <v>55237.36</v>
      </c>
      <c r="O90" s="55"/>
      <c r="P90" s="73">
        <v>41829</v>
      </c>
      <c r="R90" s="6">
        <f t="shared" ref="R90:R103" si="43">L90+P90</f>
        <v>1182677</v>
      </c>
    </row>
    <row r="91" spans="1:18">
      <c r="A91" s="460">
        <v>311</v>
      </c>
      <c r="B91" s="461"/>
      <c r="D91" s="2" t="s">
        <v>212</v>
      </c>
      <c r="F91" s="53">
        <v>943913</v>
      </c>
      <c r="H91" s="8">
        <f t="shared" si="41"/>
        <v>0</v>
      </c>
      <c r="J91" s="53">
        <v>943913</v>
      </c>
      <c r="L91" s="55">
        <v>540254</v>
      </c>
      <c r="M91" s="55"/>
      <c r="N91" s="8">
        <f t="shared" si="42"/>
        <v>18878.260000000002</v>
      </c>
      <c r="O91" s="55"/>
      <c r="P91" s="73">
        <v>12894</v>
      </c>
      <c r="R91" s="6">
        <f t="shared" si="43"/>
        <v>553148</v>
      </c>
    </row>
    <row r="92" spans="1:18">
      <c r="A92" s="460">
        <v>320</v>
      </c>
      <c r="B92" s="461"/>
      <c r="D92" s="2" t="s">
        <v>213</v>
      </c>
      <c r="F92" s="53">
        <v>7932581</v>
      </c>
      <c r="H92" s="8">
        <f t="shared" si="41"/>
        <v>0</v>
      </c>
      <c r="J92" s="53">
        <v>7932581</v>
      </c>
      <c r="L92" s="55">
        <v>1677450</v>
      </c>
      <c r="M92" s="55"/>
      <c r="N92" s="8">
        <f t="shared" si="42"/>
        <v>158651.62</v>
      </c>
      <c r="O92" s="55"/>
      <c r="P92" s="73">
        <v>149501</v>
      </c>
      <c r="R92" s="6">
        <f t="shared" si="43"/>
        <v>1826951</v>
      </c>
    </row>
    <row r="93" spans="1:18">
      <c r="A93" s="460">
        <v>330</v>
      </c>
      <c r="B93" s="461"/>
      <c r="D93" s="2" t="s">
        <v>214</v>
      </c>
      <c r="F93" s="53">
        <v>8379217</v>
      </c>
      <c r="H93" s="8">
        <f t="shared" si="41"/>
        <v>0</v>
      </c>
      <c r="J93" s="53">
        <v>8379217</v>
      </c>
      <c r="L93" s="55">
        <v>5580265</v>
      </c>
      <c r="M93" s="55"/>
      <c r="N93" s="8">
        <f t="shared" si="42"/>
        <v>167584.34</v>
      </c>
      <c r="O93" s="55"/>
      <c r="P93" s="73">
        <v>73701</v>
      </c>
      <c r="R93" s="6">
        <f t="shared" si="43"/>
        <v>5653966</v>
      </c>
    </row>
    <row r="94" spans="1:18">
      <c r="A94" s="460">
        <v>331</v>
      </c>
      <c r="B94" s="461"/>
      <c r="D94" s="2" t="s">
        <v>215</v>
      </c>
      <c r="F94" s="53">
        <v>18814775</v>
      </c>
      <c r="H94" s="8">
        <f t="shared" si="41"/>
        <v>0</v>
      </c>
      <c r="J94" s="53">
        <v>18814775</v>
      </c>
      <c r="L94" s="55">
        <v>13349007</v>
      </c>
      <c r="M94" s="55"/>
      <c r="N94" s="8">
        <f t="shared" si="42"/>
        <v>376295.5</v>
      </c>
      <c r="O94" s="55"/>
      <c r="P94" s="73">
        <v>176451</v>
      </c>
      <c r="R94" s="6">
        <f t="shared" si="43"/>
        <v>13525458</v>
      </c>
    </row>
    <row r="95" spans="1:18">
      <c r="A95" s="460">
        <v>333</v>
      </c>
      <c r="B95" s="461"/>
      <c r="D95" s="2" t="s">
        <v>216</v>
      </c>
      <c r="F95" s="53">
        <v>822418</v>
      </c>
      <c r="H95" s="8">
        <f t="shared" si="41"/>
        <v>0</v>
      </c>
      <c r="J95" s="53">
        <v>822418</v>
      </c>
      <c r="L95" s="55">
        <v>742047</v>
      </c>
      <c r="M95" s="55"/>
      <c r="N95" s="8">
        <f t="shared" si="42"/>
        <v>16448.36</v>
      </c>
      <c r="O95" s="55"/>
      <c r="P95" s="73">
        <v>2137</v>
      </c>
      <c r="R95" s="6">
        <f t="shared" si="43"/>
        <v>744184</v>
      </c>
    </row>
    <row r="96" spans="1:18">
      <c r="A96" s="460">
        <v>334</v>
      </c>
      <c r="B96" s="461"/>
      <c r="D96" s="2" t="s">
        <v>217</v>
      </c>
      <c r="F96" s="53">
        <v>12692534</v>
      </c>
      <c r="H96" s="8">
        <f t="shared" si="41"/>
        <v>0</v>
      </c>
      <c r="J96" s="53">
        <v>12692534</v>
      </c>
      <c r="L96" s="55">
        <v>3582765</v>
      </c>
      <c r="M96" s="55"/>
      <c r="N96" s="8">
        <f t="shared" si="42"/>
        <v>253850.68</v>
      </c>
      <c r="O96" s="55"/>
      <c r="P96" s="73">
        <v>265155</v>
      </c>
      <c r="R96" s="6">
        <f t="shared" si="43"/>
        <v>3847920</v>
      </c>
    </row>
    <row r="97" spans="1:18">
      <c r="A97" s="460">
        <v>335</v>
      </c>
      <c r="B97" s="461"/>
      <c r="D97" s="2" t="s">
        <v>218</v>
      </c>
      <c r="F97" s="53">
        <v>962175</v>
      </c>
      <c r="H97" s="8">
        <f t="shared" si="41"/>
        <v>0</v>
      </c>
      <c r="J97" s="53">
        <v>962175</v>
      </c>
      <c r="L97" s="55">
        <v>749508</v>
      </c>
      <c r="M97" s="55"/>
      <c r="N97" s="8">
        <f t="shared" si="42"/>
        <v>19243.5</v>
      </c>
      <c r="O97" s="55"/>
      <c r="P97" s="73">
        <v>5177</v>
      </c>
      <c r="R97" s="6">
        <f t="shared" si="43"/>
        <v>754685</v>
      </c>
    </row>
    <row r="98" spans="1:18">
      <c r="A98" s="460">
        <v>340</v>
      </c>
      <c r="B98" s="461"/>
      <c r="D98" s="2" t="s">
        <v>219</v>
      </c>
      <c r="F98" s="53">
        <v>210102</v>
      </c>
      <c r="H98" s="8">
        <f t="shared" si="41"/>
        <v>0</v>
      </c>
      <c r="J98" s="53">
        <v>210102</v>
      </c>
      <c r="L98" s="55">
        <v>205600</v>
      </c>
      <c r="M98" s="55"/>
      <c r="N98" s="8">
        <f t="shared" si="42"/>
        <v>4202.04</v>
      </c>
      <c r="O98" s="55"/>
      <c r="P98" s="73">
        <v>3216</v>
      </c>
      <c r="R98" s="6">
        <f t="shared" si="43"/>
        <v>208816</v>
      </c>
    </row>
    <row r="99" spans="1:18">
      <c r="A99" s="460">
        <v>341</v>
      </c>
      <c r="B99" s="461"/>
      <c r="D99" s="2" t="s">
        <v>220</v>
      </c>
      <c r="F99" s="53">
        <v>1079741</v>
      </c>
      <c r="H99" s="8">
        <f t="shared" si="41"/>
        <v>540930</v>
      </c>
      <c r="J99" s="53">
        <v>1620671</v>
      </c>
      <c r="L99" s="55">
        <v>825623</v>
      </c>
      <c r="N99" s="8">
        <f t="shared" si="42"/>
        <v>27004.12</v>
      </c>
      <c r="P99" s="73">
        <v>97308</v>
      </c>
      <c r="R99" s="6">
        <f t="shared" si="43"/>
        <v>922931</v>
      </c>
    </row>
    <row r="100" spans="1:18">
      <c r="A100" s="460">
        <v>342</v>
      </c>
      <c r="B100" s="461"/>
      <c r="D100" s="2" t="s">
        <v>221</v>
      </c>
      <c r="F100" s="53">
        <v>87892</v>
      </c>
      <c r="H100" s="8">
        <f t="shared" si="41"/>
        <v>0</v>
      </c>
      <c r="J100" s="53">
        <v>87892</v>
      </c>
      <c r="L100" s="55">
        <v>87892</v>
      </c>
      <c r="N100" s="8">
        <f t="shared" si="42"/>
        <v>1757.8400000000001</v>
      </c>
      <c r="P100" s="133">
        <v>0</v>
      </c>
      <c r="R100" s="6">
        <f t="shared" si="43"/>
        <v>87892</v>
      </c>
    </row>
    <row r="101" spans="1:18">
      <c r="A101" s="460">
        <v>345</v>
      </c>
      <c r="B101" s="461"/>
      <c r="D101" s="2" t="s">
        <v>222</v>
      </c>
      <c r="F101" s="53">
        <v>384900</v>
      </c>
      <c r="H101" s="8">
        <f t="shared" si="41"/>
        <v>261400</v>
      </c>
      <c r="J101" s="53">
        <v>646300</v>
      </c>
      <c r="L101" s="55">
        <v>486945</v>
      </c>
      <c r="N101" s="8">
        <f t="shared" si="42"/>
        <v>10312</v>
      </c>
      <c r="P101" s="73">
        <v>20125</v>
      </c>
      <c r="R101" s="6">
        <f t="shared" si="43"/>
        <v>507070</v>
      </c>
    </row>
    <row r="102" spans="1:18">
      <c r="A102" s="460">
        <v>346</v>
      </c>
      <c r="B102" s="461"/>
      <c r="D102" s="2" t="s">
        <v>223</v>
      </c>
      <c r="F102" s="53">
        <v>206768</v>
      </c>
      <c r="H102" s="8">
        <f t="shared" si="41"/>
        <v>0</v>
      </c>
      <c r="J102" s="53">
        <v>206768</v>
      </c>
      <c r="L102" s="55">
        <v>195319</v>
      </c>
      <c r="N102" s="8">
        <f t="shared" si="42"/>
        <v>4135.3599999999997</v>
      </c>
      <c r="P102" s="73">
        <v>3817</v>
      </c>
      <c r="R102" s="6">
        <f t="shared" si="43"/>
        <v>199136</v>
      </c>
    </row>
    <row r="103" spans="1:18">
      <c r="A103" s="460">
        <v>347</v>
      </c>
      <c r="B103" s="461"/>
      <c r="D103" s="2" t="s">
        <v>224</v>
      </c>
      <c r="F103" s="123">
        <v>28358</v>
      </c>
      <c r="H103" s="124">
        <f t="shared" si="41"/>
        <v>0</v>
      </c>
      <c r="J103" s="125">
        <v>28358</v>
      </c>
      <c r="L103" s="125">
        <v>27405</v>
      </c>
      <c r="N103" s="124">
        <f t="shared" si="42"/>
        <v>567.16</v>
      </c>
      <c r="P103" s="130">
        <v>238</v>
      </c>
      <c r="R103" s="123">
        <f t="shared" si="43"/>
        <v>27643</v>
      </c>
    </row>
    <row r="104" spans="1:18">
      <c r="A104" s="128"/>
      <c r="F104" s="53">
        <f>SUM(F88:F103)</f>
        <v>62448312</v>
      </c>
      <c r="H104" s="8">
        <f>SUM(H88:H103)</f>
        <v>1152830</v>
      </c>
      <c r="J104" s="8">
        <f>SUM(J88:J103)</f>
        <v>63601142</v>
      </c>
      <c r="L104" s="8">
        <f>SUM(L89:L103)</f>
        <v>30135720</v>
      </c>
      <c r="N104" s="8">
        <f>SUM(N88:N103)</f>
        <v>1249967.0000000002</v>
      </c>
      <c r="P104" s="131">
        <f>SUM(P89:P103)</f>
        <v>1004921</v>
      </c>
      <c r="R104" s="8">
        <f>SUM(R89:R103)</f>
        <v>31140641</v>
      </c>
    </row>
    <row r="105" spans="1:18" ht="16.5" thickBot="1">
      <c r="A105" s="132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6"/>
    </row>
    <row r="107" spans="1:18">
      <c r="F107" s="118">
        <f>H13+H14</f>
        <v>62448312</v>
      </c>
      <c r="J107" s="118">
        <f>F13+F14</f>
        <v>63601142</v>
      </c>
      <c r="L107" s="8">
        <f>H17</f>
        <v>-29983995</v>
      </c>
      <c r="R107" s="8">
        <f>F17</f>
        <v>-31140640</v>
      </c>
    </row>
    <row r="109" spans="1:18">
      <c r="L109" s="8">
        <f>L104+L107</f>
        <v>151725</v>
      </c>
    </row>
  </sheetData>
  <mergeCells count="27">
    <mergeCell ref="A101:B101"/>
    <mergeCell ref="A102:B102"/>
    <mergeCell ref="A103:B103"/>
    <mergeCell ref="F86:P86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  <mergeCell ref="A95:B95"/>
    <mergeCell ref="A88:B88"/>
    <mergeCell ref="A89:B89"/>
    <mergeCell ref="A90:B90"/>
    <mergeCell ref="A43:J43"/>
    <mergeCell ref="A44:J44"/>
    <mergeCell ref="B46:D46"/>
    <mergeCell ref="B10:D10"/>
    <mergeCell ref="A41:J41"/>
    <mergeCell ref="A4:J4"/>
    <mergeCell ref="A5:J5"/>
    <mergeCell ref="A7:J7"/>
    <mergeCell ref="A8:J8"/>
    <mergeCell ref="A40:J40"/>
  </mergeCells>
  <phoneticPr fontId="7" type="noConversion"/>
  <printOptions horizontalCentered="1"/>
  <pageMargins left="0.5" right="0.5" top="0.5" bottom="0.75" header="0.5" footer="0.5"/>
  <pageSetup fitToHeight="2" orientation="portrait" r:id="rId1"/>
  <headerFooter alignWithMargins="0"/>
  <rowBreaks count="1" manualBreakCount="1">
    <brk id="3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1"/>
  </sheetPr>
  <dimension ref="A1:W79"/>
  <sheetViews>
    <sheetView view="pageBreakPreview" topLeftCell="A4" zoomScale="96" zoomScaleNormal="100" zoomScaleSheetLayoutView="96" workbookViewId="0">
      <selection activeCell="B27" sqref="B27"/>
    </sheetView>
  </sheetViews>
  <sheetFormatPr defaultColWidth="9" defaultRowHeight="15.75"/>
  <cols>
    <col min="1" max="1" width="2.5" style="58" bestFit="1" customWidth="1"/>
    <col min="2" max="3" width="1.625" style="2" customWidth="1"/>
    <col min="4" max="4" width="37.25" style="2" customWidth="1"/>
    <col min="5" max="5" width="1.625" style="2" customWidth="1"/>
    <col min="6" max="6" width="13.625" style="2" bestFit="1" customWidth="1"/>
    <col min="7" max="7" width="1.625" style="2" customWidth="1"/>
    <col min="8" max="8" width="13.625" style="2" bestFit="1" customWidth="1"/>
    <col min="9" max="9" width="1.625" style="2" customWidth="1"/>
    <col min="10" max="10" width="13.625" style="2" bestFit="1" customWidth="1"/>
    <col min="11" max="11" width="1.625" style="2" customWidth="1"/>
    <col min="12" max="12" width="11.125" style="2" bestFit="1" customWidth="1"/>
    <col min="13" max="13" width="1.625" style="2" customWidth="1"/>
    <col min="14" max="14" width="11.125" style="2" bestFit="1" customWidth="1"/>
    <col min="15" max="15" width="1.625" style="2" customWidth="1"/>
    <col min="16" max="16" width="11.125" style="2" customWidth="1"/>
    <col min="17" max="17" width="11.5" style="2" bestFit="1" customWidth="1"/>
    <col min="18" max="18" width="1.625" style="2" customWidth="1"/>
    <col min="19" max="19" width="11.5" bestFit="1" customWidth="1"/>
    <col min="20" max="20" width="1.625" style="2" customWidth="1"/>
    <col min="21" max="21" width="11.375" style="2" bestFit="1" customWidth="1"/>
    <col min="22" max="22" width="1.625" style="2" customWidth="1"/>
    <col min="23" max="23" width="11.375" style="2" bestFit="1" customWidth="1"/>
    <col min="24" max="16384" width="9" style="2"/>
  </cols>
  <sheetData>
    <row r="1" spans="1:23">
      <c r="J1" s="443" t="str">
        <f>+'Sch 1 - Phased'!$W$1</f>
        <v>OUCC Attachment CFS-1</v>
      </c>
    </row>
    <row r="2" spans="1:23">
      <c r="J2" s="443" t="s">
        <v>225</v>
      </c>
    </row>
    <row r="3" spans="1:23">
      <c r="J3" s="443" t="s">
        <v>144</v>
      </c>
    </row>
    <row r="4" spans="1:23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  <c r="K4" s="9"/>
      <c r="L4" s="9"/>
      <c r="M4" s="9"/>
      <c r="N4" s="9"/>
      <c r="O4" s="9"/>
      <c r="P4" s="9"/>
      <c r="Q4" s="9"/>
    </row>
    <row r="5" spans="1:23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  <c r="K5" s="10"/>
      <c r="L5" s="10"/>
      <c r="M5" s="10"/>
      <c r="N5" s="10"/>
      <c r="O5" s="10"/>
      <c r="P5" s="10"/>
      <c r="Q5" s="10"/>
    </row>
    <row r="6" spans="1:23">
      <c r="A6" s="2"/>
    </row>
    <row r="7" spans="1:23">
      <c r="A7" s="452" t="s">
        <v>226</v>
      </c>
      <c r="B7" s="452"/>
      <c r="C7" s="452"/>
      <c r="D7" s="452"/>
      <c r="E7" s="452"/>
      <c r="F7" s="452"/>
      <c r="G7" s="452"/>
      <c r="H7" s="452"/>
      <c r="I7" s="452"/>
      <c r="J7" s="452"/>
      <c r="K7" s="33"/>
      <c r="L7" s="33"/>
      <c r="M7" s="33"/>
      <c r="N7" s="33"/>
      <c r="O7" s="33"/>
      <c r="P7" s="33"/>
      <c r="Q7" s="33"/>
    </row>
    <row r="8" spans="1:23">
      <c r="A8" s="452" t="str">
        <f>"Twelve Months Ended "&amp;Inputs!C8&amp;","</f>
        <v>Twelve Months Ended December 31,</v>
      </c>
      <c r="B8" s="452"/>
      <c r="C8" s="452"/>
      <c r="D8" s="452"/>
      <c r="E8" s="452"/>
      <c r="F8" s="452"/>
      <c r="G8" s="452"/>
      <c r="H8" s="452"/>
      <c r="I8" s="452"/>
      <c r="J8" s="452"/>
      <c r="K8" s="33"/>
      <c r="L8" s="33"/>
      <c r="M8" s="33"/>
      <c r="N8" s="33"/>
      <c r="O8" s="33"/>
      <c r="P8" s="33"/>
      <c r="Q8" s="33"/>
    </row>
    <row r="10" spans="1:23">
      <c r="F10" s="5">
        <v>2023</v>
      </c>
      <c r="H10" s="5">
        <f>F10-1</f>
        <v>2022</v>
      </c>
      <c r="J10" s="5">
        <f t="shared" ref="J10" si="0">H10-1</f>
        <v>2021</v>
      </c>
      <c r="L10" s="5">
        <f t="shared" ref="L10" si="1">J10-1</f>
        <v>2020</v>
      </c>
      <c r="N10" s="5">
        <f t="shared" ref="N10" si="2">L10-1</f>
        <v>2019</v>
      </c>
      <c r="O10" s="442"/>
      <c r="P10" s="442"/>
      <c r="Q10" s="179" t="s">
        <v>147</v>
      </c>
      <c r="R10" s="106"/>
      <c r="S10" s="109" t="s">
        <v>148</v>
      </c>
      <c r="T10" s="106"/>
      <c r="U10" s="109" t="s">
        <v>149</v>
      </c>
      <c r="V10" s="106"/>
      <c r="W10" s="180" t="s">
        <v>150</v>
      </c>
    </row>
    <row r="11" spans="1:23">
      <c r="A11" s="57">
        <v>1</v>
      </c>
      <c r="B11" s="2" t="s">
        <v>73</v>
      </c>
      <c r="Q11" s="154"/>
      <c r="S11" s="2"/>
      <c r="W11" s="181"/>
    </row>
    <row r="12" spans="1:23">
      <c r="A12" s="57">
        <v>2</v>
      </c>
      <c r="C12" s="2" t="s">
        <v>74</v>
      </c>
      <c r="F12" s="41"/>
      <c r="H12" s="41"/>
      <c r="J12" s="41"/>
      <c r="K12" s="41"/>
      <c r="L12" s="41"/>
      <c r="M12" s="41"/>
      <c r="N12" s="41"/>
      <c r="O12" s="41"/>
      <c r="P12" s="41"/>
      <c r="Q12" s="182"/>
      <c r="S12" s="70"/>
      <c r="U12" s="70"/>
      <c r="W12" s="183"/>
    </row>
    <row r="13" spans="1:23">
      <c r="A13" s="57">
        <v>3</v>
      </c>
      <c r="D13" s="2" t="s">
        <v>227</v>
      </c>
      <c r="F13" s="41">
        <f>ROUND('WP-3 IS TB Map'!I12,0)*-1</f>
        <v>6316621</v>
      </c>
      <c r="H13" s="41">
        <v>6357357</v>
      </c>
      <c r="J13" s="41">
        <v>6592432</v>
      </c>
      <c r="K13" s="41"/>
      <c r="L13" s="41">
        <v>6187442</v>
      </c>
      <c r="M13" s="41"/>
      <c r="N13" s="41">
        <v>6287562</v>
      </c>
      <c r="O13" s="41"/>
      <c r="P13" s="41"/>
      <c r="Q13" s="182">
        <f t="shared" ref="Q13:Q21" si="3">F13-H13</f>
        <v>-40736</v>
      </c>
      <c r="S13" s="70">
        <f t="shared" ref="S13:S21" si="4">H13-J13</f>
        <v>-235075</v>
      </c>
      <c r="U13" s="70">
        <f t="shared" ref="U13:U21" si="5">J13-L13</f>
        <v>404990</v>
      </c>
      <c r="W13" s="183">
        <f t="shared" ref="W13:W21" si="6">L13-N13</f>
        <v>-100120</v>
      </c>
    </row>
    <row r="14" spans="1:23">
      <c r="A14" s="57">
        <v>4</v>
      </c>
      <c r="D14" s="2" t="s">
        <v>228</v>
      </c>
      <c r="F14" s="42">
        <f>ROUND('WP-3 IS TB Map'!I13,0)*-1</f>
        <v>2321822</v>
      </c>
      <c r="H14" s="42">
        <v>2440181</v>
      </c>
      <c r="J14" s="42">
        <v>2460614</v>
      </c>
      <c r="K14" s="42"/>
      <c r="L14" s="42">
        <v>2461060</v>
      </c>
      <c r="M14" s="42"/>
      <c r="N14" s="42">
        <v>2601137</v>
      </c>
      <c r="O14" s="42"/>
      <c r="P14" s="42"/>
      <c r="Q14" s="184">
        <f t="shared" si="3"/>
        <v>-118359</v>
      </c>
      <c r="S14" s="55">
        <f t="shared" si="4"/>
        <v>-20433</v>
      </c>
      <c r="U14" s="55">
        <f t="shared" si="5"/>
        <v>-446</v>
      </c>
      <c r="W14" s="185">
        <f t="shared" si="6"/>
        <v>-140077</v>
      </c>
    </row>
    <row r="15" spans="1:23">
      <c r="A15" s="57">
        <v>5</v>
      </c>
      <c r="D15" s="2" t="s">
        <v>229</v>
      </c>
      <c r="F15" s="42">
        <f>ROUND('WP-3 IS TB Map'!I14,0)*-1</f>
        <v>1594874</v>
      </c>
      <c r="H15" s="42">
        <v>1827328</v>
      </c>
      <c r="J15" s="42">
        <v>1740648</v>
      </c>
      <c r="K15" s="42"/>
      <c r="L15" s="42">
        <v>1668416</v>
      </c>
      <c r="M15" s="42"/>
      <c r="N15" s="42">
        <v>1596479</v>
      </c>
      <c r="O15" s="42"/>
      <c r="P15" s="42"/>
      <c r="Q15" s="184">
        <f t="shared" si="3"/>
        <v>-232454</v>
      </c>
      <c r="S15" s="55">
        <f t="shared" si="4"/>
        <v>86680</v>
      </c>
      <c r="U15" s="55">
        <f t="shared" si="5"/>
        <v>72232</v>
      </c>
      <c r="W15" s="185">
        <f t="shared" si="6"/>
        <v>71937</v>
      </c>
    </row>
    <row r="16" spans="1:23">
      <c r="A16" s="57">
        <v>6</v>
      </c>
      <c r="D16" s="2" t="s">
        <v>230</v>
      </c>
      <c r="F16" s="42">
        <f>ROUND('WP-3 IS TB Map'!I15,0)*-1</f>
        <v>373523</v>
      </c>
      <c r="H16" s="42">
        <v>338163</v>
      </c>
      <c r="J16" s="42">
        <v>279819</v>
      </c>
      <c r="K16" s="42"/>
      <c r="L16" s="42">
        <v>245101</v>
      </c>
      <c r="M16" s="42"/>
      <c r="N16" s="42">
        <v>228121</v>
      </c>
      <c r="O16" s="42"/>
      <c r="P16" s="42"/>
      <c r="Q16" s="184">
        <f t="shared" si="3"/>
        <v>35360</v>
      </c>
      <c r="S16" s="55">
        <f t="shared" si="4"/>
        <v>58344</v>
      </c>
      <c r="U16" s="55">
        <f t="shared" si="5"/>
        <v>34718</v>
      </c>
      <c r="W16" s="185">
        <f t="shared" si="6"/>
        <v>16980</v>
      </c>
    </row>
    <row r="17" spans="1:23">
      <c r="A17" s="57">
        <v>7</v>
      </c>
      <c r="C17" s="2" t="s">
        <v>231</v>
      </c>
      <c r="F17" s="42">
        <f>ROUND('WP-3 IS TB Map'!I16,0)*-1</f>
        <v>266620</v>
      </c>
      <c r="H17" s="42">
        <v>256289</v>
      </c>
      <c r="J17" s="42">
        <v>259559</v>
      </c>
      <c r="K17" s="42"/>
      <c r="L17" s="42">
        <v>262545</v>
      </c>
      <c r="M17" s="42"/>
      <c r="N17" s="42">
        <v>266635</v>
      </c>
      <c r="O17" s="42"/>
      <c r="P17" s="42"/>
      <c r="Q17" s="184">
        <f t="shared" si="3"/>
        <v>10331</v>
      </c>
      <c r="S17" s="55">
        <f t="shared" si="4"/>
        <v>-3270</v>
      </c>
      <c r="U17" s="55">
        <f t="shared" si="5"/>
        <v>-2986</v>
      </c>
      <c r="W17" s="185">
        <f t="shared" si="6"/>
        <v>-4090</v>
      </c>
    </row>
    <row r="18" spans="1:23">
      <c r="A18" s="57">
        <v>8</v>
      </c>
      <c r="C18" s="2" t="s">
        <v>232</v>
      </c>
      <c r="F18" s="42">
        <f>ROUND('WP-3 IS TB Map'!I17,0)*-1</f>
        <v>57115</v>
      </c>
      <c r="H18" s="42">
        <v>55522</v>
      </c>
      <c r="J18" s="42">
        <v>26538</v>
      </c>
      <c r="K18" s="42"/>
      <c r="L18" s="42">
        <v>11980</v>
      </c>
      <c r="M18" s="42"/>
      <c r="N18" s="42">
        <v>56103</v>
      </c>
      <c r="O18" s="42"/>
      <c r="P18" s="42"/>
      <c r="Q18" s="184">
        <f t="shared" si="3"/>
        <v>1593</v>
      </c>
      <c r="S18" s="55">
        <f t="shared" si="4"/>
        <v>28984</v>
      </c>
      <c r="U18" s="55">
        <f t="shared" si="5"/>
        <v>14558</v>
      </c>
      <c r="W18" s="185">
        <f t="shared" si="6"/>
        <v>-44123</v>
      </c>
    </row>
    <row r="19" spans="1:23">
      <c r="A19" s="57">
        <v>9</v>
      </c>
      <c r="C19" s="2" t="s">
        <v>233</v>
      </c>
      <c r="F19" s="42">
        <f>ROUND('WP-3 IS TB Map'!I18,0)*-1</f>
        <v>21522</v>
      </c>
      <c r="H19" s="42">
        <v>17325</v>
      </c>
      <c r="J19" s="42">
        <v>20475</v>
      </c>
      <c r="K19" s="42"/>
      <c r="L19" s="42">
        <v>12600</v>
      </c>
      <c r="M19" s="42"/>
      <c r="N19" s="42">
        <v>18900</v>
      </c>
      <c r="O19" s="42"/>
      <c r="P19" s="42"/>
      <c r="Q19" s="184">
        <f t="shared" si="3"/>
        <v>4197</v>
      </c>
      <c r="S19" s="55">
        <f t="shared" si="4"/>
        <v>-3150</v>
      </c>
      <c r="U19" s="55">
        <f t="shared" si="5"/>
        <v>7875</v>
      </c>
      <c r="W19" s="185">
        <f t="shared" si="6"/>
        <v>-6300</v>
      </c>
    </row>
    <row r="20" spans="1:23">
      <c r="A20" s="57">
        <v>10</v>
      </c>
      <c r="C20" s="2" t="s">
        <v>234</v>
      </c>
      <c r="F20" s="42">
        <f>ROUND('WP-3 IS TB Map'!I22,0)*-1</f>
        <v>9034</v>
      </c>
      <c r="H20" s="42">
        <v>0</v>
      </c>
      <c r="J20" s="42">
        <v>0</v>
      </c>
      <c r="K20" s="379"/>
      <c r="L20" s="379"/>
      <c r="M20" s="42"/>
      <c r="N20" s="42">
        <v>1211</v>
      </c>
      <c r="O20" s="42"/>
      <c r="P20" s="42"/>
      <c r="Q20" s="184">
        <f t="shared" si="3"/>
        <v>9034</v>
      </c>
      <c r="S20" s="55">
        <f t="shared" si="4"/>
        <v>0</v>
      </c>
      <c r="U20" s="55">
        <f t="shared" si="5"/>
        <v>0</v>
      </c>
      <c r="W20" s="185">
        <f t="shared" si="6"/>
        <v>-1211</v>
      </c>
    </row>
    <row r="21" spans="1:23">
      <c r="A21" s="57">
        <v>11</v>
      </c>
      <c r="C21" s="2" t="s">
        <v>75</v>
      </c>
      <c r="F21" s="42">
        <f>ROUND('WP-3 IS TB Map'!I21,0)*-1</f>
        <v>113737</v>
      </c>
      <c r="H21" s="42">
        <v>128354</v>
      </c>
      <c r="J21" s="42">
        <v>90248</v>
      </c>
      <c r="K21" s="42"/>
      <c r="L21" s="42">
        <v>101497</v>
      </c>
      <c r="M21" s="42"/>
      <c r="N21" s="42">
        <v>116810</v>
      </c>
      <c r="O21" s="42"/>
      <c r="P21" s="42"/>
      <c r="Q21" s="184">
        <f t="shared" si="3"/>
        <v>-14617</v>
      </c>
      <c r="S21" s="55">
        <f t="shared" si="4"/>
        <v>38106</v>
      </c>
      <c r="U21" s="55">
        <f t="shared" si="5"/>
        <v>-11249</v>
      </c>
      <c r="W21" s="185">
        <f t="shared" si="6"/>
        <v>-15313</v>
      </c>
    </row>
    <row r="22" spans="1:23">
      <c r="A22" s="57">
        <v>12</v>
      </c>
      <c r="D22" s="2" t="s">
        <v>76</v>
      </c>
      <c r="F22" s="47">
        <f>SUM(F12:F21)</f>
        <v>11074868</v>
      </c>
      <c r="H22" s="47">
        <f>SUM(H12:H21)</f>
        <v>11420519</v>
      </c>
      <c r="J22" s="47">
        <f>SUM(J12:J21)</f>
        <v>11470333</v>
      </c>
      <c r="K22" s="42"/>
      <c r="L22" s="47">
        <f>SUM(L12:L21)</f>
        <v>10950641</v>
      </c>
      <c r="M22" s="42"/>
      <c r="N22" s="47">
        <f>SUM(N12:N21)</f>
        <v>11172958</v>
      </c>
      <c r="O22" s="55"/>
      <c r="P22" s="55"/>
      <c r="Q22" s="186">
        <f>SUM(Q13:Q21)</f>
        <v>-345651</v>
      </c>
      <c r="S22" s="47">
        <f>SUM(S13:S21)</f>
        <v>-49814</v>
      </c>
      <c r="U22" s="47">
        <f>SUM(U13:U21)</f>
        <v>519692</v>
      </c>
      <c r="W22" s="187">
        <f>SUM(W13:W21)</f>
        <v>-222317</v>
      </c>
    </row>
    <row r="23" spans="1:23">
      <c r="A23" s="57"/>
      <c r="F23" s="42"/>
      <c r="H23" s="42"/>
      <c r="J23" s="42"/>
      <c r="K23" s="42"/>
      <c r="L23" s="42"/>
      <c r="M23" s="42"/>
      <c r="N23" s="42"/>
      <c r="O23" s="42"/>
      <c r="P23" s="42"/>
      <c r="Q23" s="184"/>
      <c r="S23" s="55"/>
      <c r="U23" s="55"/>
      <c r="W23" s="185"/>
    </row>
    <row r="24" spans="1:23">
      <c r="A24" s="57">
        <v>13</v>
      </c>
      <c r="B24" s="2" t="s">
        <v>38</v>
      </c>
      <c r="F24" s="42"/>
      <c r="H24" s="42"/>
      <c r="J24" s="42"/>
      <c r="K24" s="42"/>
      <c r="L24" s="42"/>
      <c r="M24" s="42"/>
      <c r="N24" s="42"/>
      <c r="O24" s="42"/>
      <c r="P24" s="42"/>
      <c r="Q24" s="184"/>
      <c r="S24" s="55"/>
      <c r="U24" s="55"/>
      <c r="W24" s="185"/>
    </row>
    <row r="25" spans="1:23">
      <c r="A25" s="57">
        <v>14</v>
      </c>
      <c r="C25" s="2" t="s">
        <v>78</v>
      </c>
      <c r="F25" s="42">
        <f>ROUND(SUM('WP-3 IS TB Map'!I27:I41),0)</f>
        <v>3451804</v>
      </c>
      <c r="H25" s="42">
        <v>3142078</v>
      </c>
      <c r="J25" s="42">
        <v>2740119</v>
      </c>
      <c r="K25" s="42"/>
      <c r="L25" s="42">
        <v>2994240</v>
      </c>
      <c r="M25" s="42"/>
      <c r="N25" s="42">
        <v>2832829</v>
      </c>
      <c r="O25" s="42"/>
      <c r="P25" s="42"/>
      <c r="Q25" s="184">
        <f t="shared" ref="Q25:Q37" si="7">F25-H25</f>
        <v>309726</v>
      </c>
      <c r="S25" s="55">
        <f t="shared" ref="S25:S37" si="8">H25-J25</f>
        <v>401959</v>
      </c>
      <c r="U25" s="55">
        <f t="shared" ref="U25:U37" si="9">J25-L25</f>
        <v>-254121</v>
      </c>
      <c r="W25" s="185">
        <f t="shared" ref="W25:W37" si="10">L25-N25</f>
        <v>161411</v>
      </c>
    </row>
    <row r="26" spans="1:23">
      <c r="A26" s="57">
        <v>15</v>
      </c>
      <c r="C26" s="2" t="s">
        <v>88</v>
      </c>
      <c r="F26" s="42">
        <f>ROUND(SUM('WP-3 IS TB Map'!I45:I55),0)</f>
        <v>387109</v>
      </c>
      <c r="H26" s="42">
        <v>352155</v>
      </c>
      <c r="J26" s="42">
        <v>324533</v>
      </c>
      <c r="K26" s="42"/>
      <c r="L26" s="42">
        <v>332740</v>
      </c>
      <c r="M26" s="42"/>
      <c r="N26" s="42">
        <v>321559</v>
      </c>
      <c r="O26" s="42"/>
      <c r="P26" s="42"/>
      <c r="Q26" s="184">
        <f t="shared" si="7"/>
        <v>34954</v>
      </c>
      <c r="S26" s="55">
        <f t="shared" si="8"/>
        <v>27622</v>
      </c>
      <c r="U26" s="55">
        <f t="shared" si="9"/>
        <v>-8207</v>
      </c>
      <c r="W26" s="185">
        <f t="shared" si="10"/>
        <v>11181</v>
      </c>
    </row>
    <row r="27" spans="1:23">
      <c r="A27" s="57">
        <v>16</v>
      </c>
      <c r="C27" s="2" t="s">
        <v>94</v>
      </c>
      <c r="F27" s="42">
        <f>ROUND(SUM('WP-3 IS TB Map'!I136:I146),0)</f>
        <v>257265</v>
      </c>
      <c r="H27" s="42">
        <v>232081</v>
      </c>
      <c r="J27" s="42">
        <v>216705</v>
      </c>
      <c r="K27" s="42"/>
      <c r="L27" s="42">
        <v>221348</v>
      </c>
      <c r="M27" s="42"/>
      <c r="N27" s="42">
        <v>212301</v>
      </c>
      <c r="O27" s="42"/>
      <c r="P27" s="42"/>
      <c r="Q27" s="184">
        <f>F27-H27</f>
        <v>25184</v>
      </c>
      <c r="S27" s="55">
        <f>H27-J27</f>
        <v>15376</v>
      </c>
      <c r="U27" s="55">
        <f>J27-L27</f>
        <v>-4643</v>
      </c>
      <c r="W27" s="185">
        <f>L27-N27</f>
        <v>9047</v>
      </c>
    </row>
    <row r="28" spans="1:23">
      <c r="A28" s="57">
        <v>17</v>
      </c>
      <c r="C28" s="2" t="s">
        <v>235</v>
      </c>
      <c r="F28" s="42">
        <f>ROUND(SUM('WP-3 IS TB Map'!I58),0)</f>
        <v>900000</v>
      </c>
      <c r="H28" s="42">
        <v>788137</v>
      </c>
      <c r="J28" s="42">
        <v>871528</v>
      </c>
      <c r="K28" s="42"/>
      <c r="L28" s="42">
        <v>682751</v>
      </c>
      <c r="M28" s="42"/>
      <c r="N28" s="42">
        <v>761760</v>
      </c>
      <c r="O28" s="42"/>
      <c r="P28" s="42"/>
      <c r="Q28" s="184">
        <f t="shared" si="7"/>
        <v>111863</v>
      </c>
      <c r="S28" s="55">
        <f t="shared" si="8"/>
        <v>-83391</v>
      </c>
      <c r="U28" s="55">
        <f t="shared" si="9"/>
        <v>188777</v>
      </c>
      <c r="W28" s="185">
        <f t="shared" si="10"/>
        <v>-79009</v>
      </c>
    </row>
    <row r="29" spans="1:23">
      <c r="A29" s="57">
        <v>18</v>
      </c>
      <c r="C29" s="2" t="s">
        <v>236</v>
      </c>
      <c r="F29" s="42">
        <f>ROUND(SUM('WP-3 IS TB Map'!I61:I63),0)</f>
        <v>406009</v>
      </c>
      <c r="H29" s="42">
        <v>269610</v>
      </c>
      <c r="J29" s="42">
        <v>160924</v>
      </c>
      <c r="K29" s="42"/>
      <c r="L29" s="42">
        <v>160107</v>
      </c>
      <c r="M29" s="42"/>
      <c r="N29" s="42">
        <v>165642</v>
      </c>
      <c r="O29" s="42"/>
      <c r="P29" s="42"/>
      <c r="Q29" s="184">
        <f t="shared" si="7"/>
        <v>136399</v>
      </c>
      <c r="S29" s="55">
        <f t="shared" si="8"/>
        <v>108686</v>
      </c>
      <c r="U29" s="55">
        <f t="shared" si="9"/>
        <v>817</v>
      </c>
      <c r="W29" s="185">
        <f t="shared" si="10"/>
        <v>-5535</v>
      </c>
    </row>
    <row r="30" spans="1:23">
      <c r="A30" s="57">
        <v>19</v>
      </c>
      <c r="C30" s="2" t="s">
        <v>170</v>
      </c>
      <c r="F30" s="42">
        <f>ROUND(SUM('WP-3 IS TB Map'!I66:I81),0)</f>
        <v>753951</v>
      </c>
      <c r="H30" s="42">
        <v>663889</v>
      </c>
      <c r="J30" s="42">
        <v>645446</v>
      </c>
      <c r="K30" s="42"/>
      <c r="L30" s="42">
        <v>645010</v>
      </c>
      <c r="M30" s="42"/>
      <c r="N30" s="42">
        <v>638556</v>
      </c>
      <c r="O30" s="42"/>
      <c r="P30" s="42"/>
      <c r="Q30" s="184">
        <f t="shared" si="7"/>
        <v>90062</v>
      </c>
      <c r="S30" s="55">
        <f t="shared" si="8"/>
        <v>18443</v>
      </c>
      <c r="U30" s="55">
        <f t="shared" si="9"/>
        <v>436</v>
      </c>
      <c r="W30" s="185">
        <f t="shared" si="10"/>
        <v>6454</v>
      </c>
    </row>
    <row r="31" spans="1:23">
      <c r="A31" s="57">
        <v>20</v>
      </c>
      <c r="C31" s="2" t="s">
        <v>96</v>
      </c>
      <c r="F31" s="42">
        <f>ROUND(SUM('WP-3 IS TB Map'!I84:I92),0)</f>
        <v>1689682</v>
      </c>
      <c r="H31" s="42">
        <v>1671081</v>
      </c>
      <c r="J31" s="42">
        <v>1132182</v>
      </c>
      <c r="L31" s="42">
        <f>5028+117520+1182307</f>
        <v>1304855</v>
      </c>
      <c r="N31" s="42">
        <v>811193</v>
      </c>
      <c r="P31" s="42"/>
      <c r="Q31" s="184">
        <f t="shared" si="7"/>
        <v>18601</v>
      </c>
      <c r="S31" s="55">
        <f t="shared" si="8"/>
        <v>538899</v>
      </c>
      <c r="U31" s="55">
        <f t="shared" si="9"/>
        <v>-172673</v>
      </c>
      <c r="W31" s="185">
        <f t="shared" si="10"/>
        <v>493662</v>
      </c>
    </row>
    <row r="32" spans="1:23">
      <c r="A32" s="57">
        <v>21</v>
      </c>
      <c r="C32" s="2" t="s">
        <v>103</v>
      </c>
      <c r="F32" s="42">
        <f>ROUND(SUM('WP-3 IS TB Map'!I95:I102),0)</f>
        <v>92116</v>
      </c>
      <c r="H32" s="42">
        <v>0</v>
      </c>
      <c r="J32" s="42">
        <v>92116</v>
      </c>
      <c r="K32" s="42"/>
      <c r="L32" s="42">
        <v>108316</v>
      </c>
      <c r="M32" s="42"/>
      <c r="N32" s="42">
        <v>127756</v>
      </c>
      <c r="O32" s="42"/>
      <c r="P32" s="42"/>
      <c r="Q32" s="184">
        <f t="shared" si="7"/>
        <v>92116</v>
      </c>
      <c r="S32" s="55">
        <f t="shared" si="8"/>
        <v>-92116</v>
      </c>
      <c r="U32" s="55">
        <f t="shared" si="9"/>
        <v>-16200</v>
      </c>
      <c r="W32" s="185">
        <f t="shared" si="10"/>
        <v>-19440</v>
      </c>
    </row>
    <row r="33" spans="1:23">
      <c r="A33" s="57">
        <v>22</v>
      </c>
      <c r="C33" s="2" t="s">
        <v>237</v>
      </c>
      <c r="F33" s="42">
        <f>ROUND(SUM('WP-3 IS TB Map'!I105:I106),0)</f>
        <v>249298</v>
      </c>
      <c r="H33" s="42">
        <v>216745</v>
      </c>
      <c r="J33" s="42">
        <v>186460</v>
      </c>
      <c r="K33" s="42"/>
      <c r="L33" s="42">
        <v>121139</v>
      </c>
      <c r="M33" s="42"/>
      <c r="N33" s="42">
        <v>95519</v>
      </c>
      <c r="O33" s="42"/>
      <c r="P33" s="42"/>
      <c r="Q33" s="184">
        <f t="shared" si="7"/>
        <v>32553</v>
      </c>
      <c r="S33" s="55">
        <f t="shared" si="8"/>
        <v>30285</v>
      </c>
      <c r="U33" s="55">
        <f t="shared" si="9"/>
        <v>65321</v>
      </c>
      <c r="W33" s="185">
        <f t="shared" si="10"/>
        <v>25620</v>
      </c>
    </row>
    <row r="34" spans="1:23">
      <c r="A34" s="57">
        <v>23</v>
      </c>
      <c r="C34" s="2" t="s">
        <v>105</v>
      </c>
      <c r="F34" s="42">
        <f>ROUND(SUM('WP-3 IS TB Map'!I109),0)</f>
        <v>174999</v>
      </c>
      <c r="H34" s="42">
        <v>283332</v>
      </c>
      <c r="J34" s="42">
        <v>233332</v>
      </c>
      <c r="K34" s="42"/>
      <c r="L34" s="42">
        <v>233332</v>
      </c>
      <c r="M34" s="42"/>
      <c r="N34" s="42">
        <v>295832</v>
      </c>
      <c r="O34" s="42"/>
      <c r="P34" s="42"/>
      <c r="Q34" s="184">
        <f t="shared" si="7"/>
        <v>-108333</v>
      </c>
      <c r="S34" s="55">
        <f t="shared" si="8"/>
        <v>50000</v>
      </c>
      <c r="U34" s="55">
        <f t="shared" si="9"/>
        <v>0</v>
      </c>
      <c r="W34" s="185">
        <f t="shared" si="10"/>
        <v>-62500</v>
      </c>
    </row>
    <row r="35" spans="1:23">
      <c r="A35" s="57">
        <v>24</v>
      </c>
      <c r="C35" s="2" t="s">
        <v>238</v>
      </c>
      <c r="F35" s="42">
        <f>ROUND(SUM('WP-3 IS TB Map'!I112:I122),0)</f>
        <v>901334</v>
      </c>
      <c r="H35" s="42">
        <v>924621</v>
      </c>
      <c r="J35" s="42">
        <v>874945</v>
      </c>
      <c r="K35" s="42"/>
      <c r="L35" s="42">
        <v>936699</v>
      </c>
      <c r="M35" s="42"/>
      <c r="N35" s="42">
        <v>993199</v>
      </c>
      <c r="O35" s="42"/>
      <c r="P35" s="42"/>
      <c r="Q35" s="184">
        <f t="shared" si="7"/>
        <v>-23287</v>
      </c>
      <c r="S35" s="55">
        <f t="shared" si="8"/>
        <v>49676</v>
      </c>
      <c r="U35" s="55">
        <f t="shared" si="9"/>
        <v>-61754</v>
      </c>
      <c r="W35" s="185">
        <f t="shared" si="10"/>
        <v>-56500</v>
      </c>
    </row>
    <row r="36" spans="1:23">
      <c r="A36" s="57">
        <v>25</v>
      </c>
      <c r="C36" s="2" t="s">
        <v>239</v>
      </c>
      <c r="F36" s="42">
        <f>ROUND(SUM('WP-3 IS TB Map'!I125),0)</f>
        <v>110435</v>
      </c>
      <c r="H36" s="42">
        <v>158279</v>
      </c>
      <c r="J36" s="42">
        <v>87182</v>
      </c>
      <c r="K36" s="42"/>
      <c r="L36" s="42">
        <v>87675</v>
      </c>
      <c r="M36" s="42"/>
      <c r="N36" s="42">
        <v>101650</v>
      </c>
      <c r="O36" s="42"/>
      <c r="P36" s="42"/>
      <c r="Q36" s="184">
        <f t="shared" si="7"/>
        <v>-47844</v>
      </c>
      <c r="S36" s="55">
        <f t="shared" si="8"/>
        <v>71097</v>
      </c>
      <c r="U36" s="55">
        <f t="shared" si="9"/>
        <v>-493</v>
      </c>
      <c r="W36" s="185">
        <f t="shared" si="10"/>
        <v>-13975</v>
      </c>
    </row>
    <row r="37" spans="1:23">
      <c r="A37" s="57">
        <v>26</v>
      </c>
      <c r="C37" s="178" t="s">
        <v>240</v>
      </c>
      <c r="F37" s="42">
        <f>ROUND(SUM('WP-3 IS TB Map'!I128:I129),0)</f>
        <v>35947</v>
      </c>
      <c r="H37" s="42">
        <v>41537</v>
      </c>
      <c r="J37" s="42">
        <v>22498</v>
      </c>
      <c r="K37" s="42"/>
      <c r="L37" s="42">
        <v>23817</v>
      </c>
      <c r="M37" s="42"/>
      <c r="N37" s="42">
        <v>29461</v>
      </c>
      <c r="O37" s="42"/>
      <c r="P37" s="42"/>
      <c r="Q37" s="184">
        <f t="shared" si="7"/>
        <v>-5590</v>
      </c>
      <c r="S37" s="55">
        <f t="shared" si="8"/>
        <v>19039</v>
      </c>
      <c r="U37" s="55">
        <f t="shared" si="9"/>
        <v>-1319</v>
      </c>
      <c r="W37" s="185">
        <f t="shared" si="10"/>
        <v>-5644</v>
      </c>
    </row>
    <row r="38" spans="1:23">
      <c r="A38" s="57"/>
      <c r="F38" s="42"/>
      <c r="H38" s="42"/>
      <c r="J38" s="42"/>
      <c r="K38" s="42"/>
      <c r="L38" s="42"/>
      <c r="M38" s="42"/>
      <c r="N38" s="42"/>
      <c r="O38" s="42"/>
      <c r="P38" s="42"/>
      <c r="Q38" s="184"/>
      <c r="S38" s="55"/>
      <c r="U38" s="55"/>
      <c r="W38" s="185"/>
    </row>
    <row r="39" spans="1:23">
      <c r="A39" s="57">
        <v>27</v>
      </c>
      <c r="D39" s="2" t="s">
        <v>241</v>
      </c>
      <c r="F39" s="413">
        <f>SUM(F25:F37)</f>
        <v>9409949</v>
      </c>
      <c r="H39" s="413">
        <f>SUM(H25:H33,H34:H37)</f>
        <v>8743545</v>
      </c>
      <c r="J39" s="413">
        <f>SUM(J25:J33,J34:J37)</f>
        <v>7587970</v>
      </c>
      <c r="L39" s="47">
        <f>SUM(L25:L33,L34:L37)</f>
        <v>7852029</v>
      </c>
      <c r="N39" s="47">
        <f>SUM(N25:N33,N34:N37)</f>
        <v>7387257</v>
      </c>
      <c r="O39" s="55"/>
      <c r="P39" s="55"/>
      <c r="Q39" s="186">
        <f>SUM(Q25:Q33,Q34:Q37)</f>
        <v>666404</v>
      </c>
      <c r="S39" s="47">
        <f>SUM(S25:S33,S34:S37)</f>
        <v>1155575</v>
      </c>
      <c r="U39" s="47">
        <f>SUM(U25:U33,U34:U37)</f>
        <v>-264059</v>
      </c>
      <c r="W39" s="187">
        <f>SUM(W25:W33,W34:W37)</f>
        <v>464772</v>
      </c>
    </row>
    <row r="40" spans="1:23">
      <c r="J40" s="443" t="str">
        <f>+'Sch 1 - Phased'!$W$1</f>
        <v>OUCC Attachment CFS-1</v>
      </c>
      <c r="Q40" s="154"/>
      <c r="S40" s="2"/>
      <c r="W40" s="181"/>
    </row>
    <row r="41" spans="1:23">
      <c r="F41" s="8"/>
      <c r="J41" s="443" t="s">
        <v>225</v>
      </c>
      <c r="L41" s="8"/>
      <c r="Q41" s="154"/>
      <c r="S41" s="2"/>
      <c r="W41" s="181"/>
    </row>
    <row r="42" spans="1:23">
      <c r="J42" s="26" t="s">
        <v>173</v>
      </c>
      <c r="Q42" s="154"/>
      <c r="S42" s="2"/>
      <c r="W42" s="181"/>
    </row>
    <row r="43" spans="1:23" ht="20.25">
      <c r="A43" s="453" t="str">
        <f>+Inputs!$C$5</f>
        <v>City of Anderson</v>
      </c>
      <c r="B43" s="453"/>
      <c r="C43" s="453"/>
      <c r="D43" s="453"/>
      <c r="E43" s="453"/>
      <c r="F43" s="453"/>
      <c r="G43" s="453"/>
      <c r="H43" s="453"/>
      <c r="I43" s="453"/>
      <c r="J43" s="453"/>
      <c r="K43" s="9"/>
      <c r="L43" s="9"/>
      <c r="M43" s="9"/>
      <c r="N43" s="9"/>
      <c r="O43" s="9"/>
      <c r="P43" s="9"/>
      <c r="Q43" s="154"/>
      <c r="S43" s="2"/>
      <c r="W43" s="181"/>
    </row>
    <row r="44" spans="1:23" ht="18.75">
      <c r="A44" s="454" t="str">
        <f>"CAUSE NUMBER "&amp;Inputs!$C$6</f>
        <v>CAUSE NUMBER 46171</v>
      </c>
      <c r="B44" s="454"/>
      <c r="C44" s="454"/>
      <c r="D44" s="454"/>
      <c r="E44" s="454"/>
      <c r="F44" s="454"/>
      <c r="G44" s="454"/>
      <c r="H44" s="454"/>
      <c r="I44" s="454"/>
      <c r="J44" s="454"/>
      <c r="K44" s="10"/>
      <c r="L44" s="10"/>
      <c r="M44" s="10"/>
      <c r="N44" s="10"/>
      <c r="O44" s="10"/>
      <c r="P44" s="10"/>
      <c r="Q44" s="154"/>
      <c r="S44" s="2"/>
      <c r="W44" s="181"/>
    </row>
    <row r="45" spans="1:23">
      <c r="N45" s="8"/>
      <c r="O45" s="8"/>
      <c r="P45" s="8"/>
      <c r="Q45" s="154"/>
      <c r="S45" s="2"/>
      <c r="W45" s="181"/>
    </row>
    <row r="46" spans="1:23">
      <c r="A46" s="452" t="s">
        <v>226</v>
      </c>
      <c r="B46" s="452"/>
      <c r="C46" s="452"/>
      <c r="D46" s="452"/>
      <c r="E46" s="452"/>
      <c r="F46" s="452"/>
      <c r="G46" s="452"/>
      <c r="H46" s="452"/>
      <c r="I46" s="452"/>
      <c r="J46" s="452"/>
      <c r="K46" s="33"/>
      <c r="L46" s="33"/>
      <c r="M46" s="33"/>
      <c r="N46" s="33"/>
      <c r="O46" s="33"/>
      <c r="P46" s="33"/>
      <c r="Q46" s="154"/>
      <c r="S46" s="2"/>
      <c r="W46" s="181"/>
    </row>
    <row r="47" spans="1:23">
      <c r="A47" s="452" t="str">
        <f>"Twelve Months Ended "&amp;Inputs!C67&amp;","</f>
        <v>Twelve Months Ended ,</v>
      </c>
      <c r="B47" s="452"/>
      <c r="C47" s="452"/>
      <c r="D47" s="452"/>
      <c r="E47" s="452"/>
      <c r="F47" s="452"/>
      <c r="G47" s="452"/>
      <c r="H47" s="452"/>
      <c r="I47" s="452"/>
      <c r="J47" s="452"/>
      <c r="K47" s="33"/>
      <c r="L47" s="33"/>
      <c r="M47" s="33"/>
      <c r="N47" s="33"/>
      <c r="O47" s="33"/>
      <c r="P47" s="33"/>
      <c r="Q47" s="154"/>
      <c r="S47" s="2"/>
      <c r="W47" s="181"/>
    </row>
    <row r="48" spans="1:23">
      <c r="Q48" s="154"/>
      <c r="S48" s="2"/>
      <c r="W48" s="181"/>
    </row>
    <row r="49" spans="1:23">
      <c r="F49" s="5">
        <f>F10</f>
        <v>2023</v>
      </c>
      <c r="H49" s="5">
        <f>H10</f>
        <v>2022</v>
      </c>
      <c r="J49" s="5">
        <f>J10</f>
        <v>2021</v>
      </c>
      <c r="L49" s="5">
        <f>L10</f>
        <v>2020</v>
      </c>
      <c r="N49" s="5">
        <f>N10</f>
        <v>2019</v>
      </c>
      <c r="O49" s="442"/>
      <c r="P49" s="442"/>
      <c r="Q49" s="188" t="str">
        <f>Q10</f>
        <v>2023 Δ 2022</v>
      </c>
      <c r="S49" s="5" t="str">
        <f>S10</f>
        <v>2022 Δ 2021</v>
      </c>
      <c r="U49" s="5" t="str">
        <f>U10</f>
        <v>2021 Δ 2020</v>
      </c>
      <c r="W49" s="189" t="str">
        <f>W10</f>
        <v>2020 Δ 2019</v>
      </c>
    </row>
    <row r="50" spans="1:23">
      <c r="A50" s="57"/>
      <c r="F50" s="55"/>
      <c r="H50" s="55"/>
      <c r="J50" s="55"/>
      <c r="K50" s="42"/>
      <c r="L50" s="55"/>
      <c r="M50" s="42"/>
      <c r="N50" s="55"/>
      <c r="O50" s="55"/>
      <c r="P50" s="55"/>
      <c r="Q50" s="184"/>
      <c r="S50" s="55"/>
      <c r="U50" s="55"/>
      <c r="W50" s="185"/>
    </row>
    <row r="51" spans="1:23">
      <c r="A51" s="57">
        <v>28</v>
      </c>
      <c r="C51" s="2" t="s">
        <v>201</v>
      </c>
      <c r="F51" s="41">
        <f>ROUND(SUM('WP-3 IS TB Map'!I132:I133),0)</f>
        <v>980803</v>
      </c>
      <c r="H51" s="41">
        <v>909870</v>
      </c>
      <c r="J51" s="41">
        <v>910195</v>
      </c>
      <c r="K51" s="42"/>
      <c r="L51" s="42">
        <v>886335</v>
      </c>
      <c r="M51" s="42"/>
      <c r="N51" s="42">
        <v>890157</v>
      </c>
      <c r="O51" s="42"/>
      <c r="P51" s="42"/>
      <c r="Q51" s="184">
        <f>F51-H51</f>
        <v>70933</v>
      </c>
      <c r="S51" s="55">
        <f>H51-J51</f>
        <v>-325</v>
      </c>
      <c r="U51" s="55">
        <f>J51-L51</f>
        <v>23860</v>
      </c>
      <c r="W51" s="185">
        <f>L51-N51</f>
        <v>-3822</v>
      </c>
    </row>
    <row r="52" spans="1:23">
      <c r="A52" s="57">
        <v>29</v>
      </c>
      <c r="C52" s="2" t="s">
        <v>242</v>
      </c>
      <c r="F52" s="42"/>
      <c r="H52" s="42"/>
      <c r="J52" s="42"/>
      <c r="K52" s="42"/>
      <c r="L52" s="42"/>
      <c r="M52" s="42"/>
      <c r="N52" s="42"/>
      <c r="O52" s="42"/>
      <c r="P52" s="42"/>
      <c r="Q52" s="184"/>
      <c r="S52" s="55"/>
      <c r="U52" s="55"/>
      <c r="W52" s="185"/>
    </row>
    <row r="53" spans="1:23">
      <c r="A53" s="57">
        <v>30</v>
      </c>
      <c r="D53" s="2" t="s">
        <v>243</v>
      </c>
      <c r="F53" s="42">
        <v>0</v>
      </c>
      <c r="H53" s="42">
        <v>79875</v>
      </c>
      <c r="J53" s="42">
        <v>169908</v>
      </c>
      <c r="K53" s="42"/>
      <c r="L53" s="42">
        <v>153937</v>
      </c>
      <c r="M53" s="42"/>
      <c r="N53" s="42">
        <v>156258</v>
      </c>
      <c r="O53" s="42"/>
      <c r="P53" s="42"/>
      <c r="Q53" s="184">
        <f>F53-H53</f>
        <v>-79875</v>
      </c>
      <c r="S53" s="55">
        <f>H53-J53</f>
        <v>-90033</v>
      </c>
      <c r="U53" s="55">
        <f>J53-L53</f>
        <v>15971</v>
      </c>
      <c r="W53" s="185">
        <f>L53-N53</f>
        <v>-2321</v>
      </c>
    </row>
    <row r="54" spans="1:23">
      <c r="A54" s="57">
        <v>31</v>
      </c>
      <c r="D54" s="2" t="s">
        <v>244</v>
      </c>
      <c r="F54" s="42">
        <f>ROUND(SUM('WP-3 IS TB Map'!I149),0)</f>
        <v>187360</v>
      </c>
      <c r="H54" s="42">
        <v>516960</v>
      </c>
      <c r="J54" s="42">
        <v>516960</v>
      </c>
      <c r="K54" s="42"/>
      <c r="L54" s="42">
        <v>646308</v>
      </c>
      <c r="M54" s="42"/>
      <c r="N54" s="42">
        <v>646308</v>
      </c>
      <c r="O54" s="42"/>
      <c r="P54" s="42"/>
      <c r="Q54" s="184">
        <f>F54-H54</f>
        <v>-329600</v>
      </c>
      <c r="S54" s="55">
        <f>H54-J54</f>
        <v>0</v>
      </c>
      <c r="U54" s="55">
        <f>J54-L54</f>
        <v>-129348</v>
      </c>
      <c r="W54" s="185"/>
    </row>
    <row r="55" spans="1:23">
      <c r="A55" s="57">
        <v>32</v>
      </c>
      <c r="D55" s="2" t="s">
        <v>245</v>
      </c>
      <c r="F55" s="47">
        <f>+F39+SUM(F51:F54)</f>
        <v>10578112</v>
      </c>
      <c r="H55" s="47">
        <f>+H39+SUM(H51:H54)</f>
        <v>10250250</v>
      </c>
      <c r="J55" s="47">
        <f>+J39+SUM(J51:J54)</f>
        <v>9185033</v>
      </c>
      <c r="K55" s="42"/>
      <c r="L55" s="47">
        <f>+L39+SUM(L51:L54)</f>
        <v>9538609</v>
      </c>
      <c r="M55" s="42"/>
      <c r="N55" s="47">
        <f>+N39+SUM(N51:N54)</f>
        <v>9079980</v>
      </c>
      <c r="O55" s="55"/>
      <c r="P55" s="55"/>
      <c r="Q55" s="186">
        <f>SUM(Q51:Q54)</f>
        <v>-338542</v>
      </c>
      <c r="S55" s="47">
        <f>SUM(S51:S54)</f>
        <v>-90358</v>
      </c>
      <c r="U55" s="47">
        <f>SUM(U51:U54)</f>
        <v>-89517</v>
      </c>
      <c r="W55" s="187">
        <f>SUM(W51:W54)</f>
        <v>-6143</v>
      </c>
    </row>
    <row r="56" spans="1:23">
      <c r="A56" s="57"/>
      <c r="F56" s="42"/>
      <c r="H56" s="42"/>
      <c r="J56" s="42"/>
      <c r="K56" s="42"/>
      <c r="L56" s="42"/>
      <c r="M56" s="42"/>
      <c r="N56" s="42"/>
      <c r="O56" s="42"/>
      <c r="P56" s="42"/>
      <c r="Q56" s="184"/>
      <c r="S56" s="55"/>
      <c r="U56" s="55"/>
      <c r="W56" s="185"/>
    </row>
    <row r="57" spans="1:23">
      <c r="A57" s="57">
        <v>33</v>
      </c>
      <c r="B57" s="2" t="s">
        <v>117</v>
      </c>
      <c r="F57" s="42">
        <f>+F22-F55</f>
        <v>496756</v>
      </c>
      <c r="H57" s="42">
        <f>+H22-H55</f>
        <v>1170269</v>
      </c>
      <c r="J57" s="42">
        <f>+J22-J55</f>
        <v>2285300</v>
      </c>
      <c r="K57" s="42"/>
      <c r="L57" s="42">
        <f>+L22-L55</f>
        <v>1412032</v>
      </c>
      <c r="M57" s="42"/>
      <c r="N57" s="42">
        <f>+N22-N55</f>
        <v>2092978</v>
      </c>
      <c r="O57" s="42"/>
      <c r="P57" s="42"/>
      <c r="Q57" s="184">
        <f>+Q22-Q55</f>
        <v>-7109</v>
      </c>
      <c r="R57" s="55"/>
      <c r="S57" s="55">
        <f>+S22-S55</f>
        <v>40544</v>
      </c>
      <c r="T57" s="55"/>
      <c r="U57" s="55">
        <f>+U22-U55</f>
        <v>609209</v>
      </c>
      <c r="V57" s="55"/>
      <c r="W57" s="185">
        <f>+W22-W55</f>
        <v>-216174</v>
      </c>
    </row>
    <row r="58" spans="1:23">
      <c r="A58" s="57"/>
      <c r="F58" s="42"/>
      <c r="H58" s="42"/>
      <c r="J58" s="42"/>
      <c r="K58" s="42"/>
      <c r="L58" s="42"/>
      <c r="M58" s="42"/>
      <c r="N58" s="42"/>
      <c r="O58" s="42"/>
      <c r="P58" s="42"/>
      <c r="Q58" s="184"/>
      <c r="S58" s="55"/>
      <c r="U58" s="55"/>
      <c r="W58" s="185"/>
    </row>
    <row r="59" spans="1:23">
      <c r="A59" s="57">
        <v>34</v>
      </c>
      <c r="B59" t="s">
        <v>246</v>
      </c>
      <c r="F59" s="42"/>
      <c r="H59" s="42"/>
      <c r="J59" s="42"/>
      <c r="K59" s="42"/>
      <c r="L59" s="42"/>
      <c r="M59" s="42"/>
      <c r="N59" s="42"/>
      <c r="O59" s="42"/>
      <c r="P59" s="42"/>
      <c r="Q59" s="184"/>
      <c r="S59" s="55"/>
      <c r="U59" s="55"/>
      <c r="W59" s="185"/>
    </row>
    <row r="60" spans="1:23">
      <c r="A60" s="57">
        <v>35</v>
      </c>
      <c r="C60" s="2" t="s">
        <v>47</v>
      </c>
      <c r="F60" s="42">
        <f>ROUND(SUM('WP-3 IS TB Map'!I157:I159),0)*-1</f>
        <v>65119</v>
      </c>
      <c r="H60" s="42">
        <v>31181</v>
      </c>
      <c r="J60" s="42">
        <v>1637</v>
      </c>
      <c r="K60" s="42"/>
      <c r="L60" s="42">
        <v>18002</v>
      </c>
      <c r="M60" s="42"/>
      <c r="N60" s="42">
        <v>40107</v>
      </c>
      <c r="O60" s="42"/>
      <c r="P60" s="42"/>
      <c r="Q60" s="184">
        <f>F60-H60</f>
        <v>33938</v>
      </c>
      <c r="S60" s="55">
        <f>H60-J60</f>
        <v>29544</v>
      </c>
      <c r="U60" s="55">
        <f>J60-L60</f>
        <v>-16365</v>
      </c>
      <c r="W60" s="185">
        <f>L60-N60</f>
        <v>-22105</v>
      </c>
    </row>
    <row r="61" spans="1:23">
      <c r="A61" s="57">
        <v>36</v>
      </c>
      <c r="C61" s="2" t="s">
        <v>247</v>
      </c>
      <c r="F61" s="42">
        <f>ROUND(SUM('WP-3 IS TB Map'!I161),0)*-1</f>
        <v>1409</v>
      </c>
      <c r="H61" s="42">
        <v>0</v>
      </c>
      <c r="J61" s="42">
        <v>0</v>
      </c>
      <c r="K61" s="42"/>
      <c r="L61" s="42"/>
      <c r="M61" s="42"/>
      <c r="N61" s="42"/>
      <c r="O61" s="42"/>
      <c r="P61" s="42"/>
      <c r="Q61" s="184"/>
      <c r="S61" s="55"/>
      <c r="U61" s="55"/>
      <c r="W61" s="185"/>
    </row>
    <row r="62" spans="1:23">
      <c r="A62" s="57">
        <v>37</v>
      </c>
      <c r="C62" s="2" t="s">
        <v>248</v>
      </c>
      <c r="F62" s="42">
        <f>ROUND(SUM('WP-3 IS TB Map'!I163:I164),0)*-1</f>
        <v>876</v>
      </c>
      <c r="H62" s="42">
        <v>598351</v>
      </c>
      <c r="J62" s="42">
        <v>586643</v>
      </c>
      <c r="K62" s="42"/>
      <c r="L62" s="42">
        <v>571442</v>
      </c>
      <c r="M62" s="42"/>
      <c r="N62" s="42">
        <v>585898</v>
      </c>
      <c r="O62" s="42"/>
      <c r="P62" s="42"/>
      <c r="Q62" s="184">
        <f>F62-H62</f>
        <v>-597475</v>
      </c>
      <c r="S62" s="55">
        <f>H62-J62</f>
        <v>11708</v>
      </c>
      <c r="U62" s="55">
        <f>J62-L62</f>
        <v>15201</v>
      </c>
      <c r="W62" s="185">
        <f>L62-N62</f>
        <v>-14456</v>
      </c>
    </row>
    <row r="63" spans="1:23">
      <c r="A63" s="57">
        <v>38</v>
      </c>
      <c r="D63" t="s">
        <v>249</v>
      </c>
      <c r="E63"/>
      <c r="F63" s="47">
        <f>SUM(F60:F62)</f>
        <v>67404</v>
      </c>
      <c r="G63"/>
      <c r="H63" s="47">
        <f>SUM(H60:H62)</f>
        <v>629532</v>
      </c>
      <c r="J63" s="47">
        <f>SUM(J60:J62)</f>
        <v>588280</v>
      </c>
      <c r="K63" s="42"/>
      <c r="L63" s="47">
        <f>SUM(L60:L62)</f>
        <v>589444</v>
      </c>
      <c r="M63" s="42"/>
      <c r="N63" s="47">
        <f>SUM(N60:N62)</f>
        <v>626005</v>
      </c>
      <c r="O63" s="55"/>
      <c r="P63" s="55"/>
      <c r="Q63" s="186">
        <f>SUM(Q60:Q62)</f>
        <v>-563537</v>
      </c>
      <c r="S63" s="47">
        <f>SUM(S60:S62)</f>
        <v>41252</v>
      </c>
      <c r="U63" s="47">
        <f>SUM(U60:U62)</f>
        <v>-1164</v>
      </c>
      <c r="W63" s="187">
        <f>SUM(W60:W62)</f>
        <v>-36561</v>
      </c>
    </row>
    <row r="64" spans="1:23">
      <c r="A64" s="57"/>
      <c r="F64" s="42"/>
      <c r="H64" s="42"/>
      <c r="J64" s="42"/>
      <c r="K64" s="42"/>
      <c r="L64" s="42"/>
      <c r="M64" s="42"/>
      <c r="N64" s="42"/>
      <c r="O64" s="42"/>
      <c r="P64" s="42"/>
      <c r="Q64" s="184"/>
      <c r="S64" s="55"/>
      <c r="U64" s="55"/>
      <c r="W64" s="185"/>
    </row>
    <row r="65" spans="1:23">
      <c r="A65" s="57">
        <v>39</v>
      </c>
      <c r="B65" s="2" t="s">
        <v>250</v>
      </c>
      <c r="F65" s="42"/>
      <c r="H65" s="42"/>
      <c r="J65" s="42"/>
      <c r="K65" s="42"/>
      <c r="L65" s="42"/>
      <c r="M65" s="42"/>
      <c r="N65" s="42"/>
      <c r="O65" s="42"/>
      <c r="P65" s="42"/>
      <c r="Q65" s="184"/>
      <c r="S65" s="55"/>
      <c r="U65" s="55"/>
      <c r="W65" s="185"/>
    </row>
    <row r="66" spans="1:23">
      <c r="A66" s="57">
        <v>40</v>
      </c>
      <c r="C66" s="2" t="s">
        <v>251</v>
      </c>
      <c r="F66" s="55">
        <f>ROUND(SUM('WP-3 IS TB Map'!I167:I168),0)</f>
        <v>256993</v>
      </c>
      <c r="H66" s="55">
        <v>332480</v>
      </c>
      <c r="J66" s="55">
        <v>444824</v>
      </c>
      <c r="K66" s="55"/>
      <c r="L66" s="55">
        <v>508883</v>
      </c>
      <c r="M66" s="55"/>
      <c r="N66" s="55">
        <v>585552</v>
      </c>
      <c r="O66" s="42"/>
      <c r="P66" s="42"/>
      <c r="Q66" s="184">
        <f>F66-H66</f>
        <v>-75487</v>
      </c>
      <c r="S66" s="55">
        <f>H66-J66</f>
        <v>-112344</v>
      </c>
      <c r="U66" s="55">
        <f>J66-L66</f>
        <v>-64059</v>
      </c>
      <c r="W66" s="185">
        <f>L66-N66</f>
        <v>-76669</v>
      </c>
    </row>
    <row r="67" spans="1:23">
      <c r="A67" s="57">
        <v>41</v>
      </c>
      <c r="C67" s="2" t="s">
        <v>252</v>
      </c>
      <c r="F67" s="55">
        <v>0</v>
      </c>
      <c r="H67" s="55">
        <v>84226</v>
      </c>
      <c r="J67" s="55">
        <v>30489</v>
      </c>
      <c r="K67" s="42"/>
      <c r="L67" s="55">
        <v>-30489</v>
      </c>
      <c r="M67" s="42"/>
      <c r="N67" s="55">
        <v>-30634</v>
      </c>
      <c r="O67" s="42"/>
      <c r="P67" s="42"/>
      <c r="Q67" s="184"/>
      <c r="S67" s="55"/>
      <c r="U67" s="55"/>
      <c r="W67" s="185"/>
    </row>
    <row r="68" spans="1:23">
      <c r="A68" s="57">
        <v>42</v>
      </c>
      <c r="D68" s="2" t="s">
        <v>253</v>
      </c>
      <c r="F68" s="47">
        <f>SUM(F66:F67)</f>
        <v>256993</v>
      </c>
      <c r="H68" s="47">
        <f t="shared" ref="H68" si="11">SUM(H66:H67)</f>
        <v>416706</v>
      </c>
      <c r="J68" s="47">
        <f t="shared" ref="J68" si="12">SUM(J66:J67)</f>
        <v>475313</v>
      </c>
      <c r="L68" s="47">
        <f>SUM(L66:L67)</f>
        <v>478394</v>
      </c>
      <c r="N68" s="47">
        <f t="shared" ref="N68" si="13">SUM(N66:N67)</f>
        <v>554918</v>
      </c>
      <c r="O68" s="42"/>
      <c r="P68" s="42"/>
      <c r="Q68" s="184"/>
      <c r="S68" s="55"/>
      <c r="U68" s="55"/>
      <c r="W68" s="185"/>
    </row>
    <row r="69" spans="1:23">
      <c r="A69" s="57"/>
      <c r="Q69" s="154"/>
      <c r="S69" s="2"/>
      <c r="W69" s="185"/>
    </row>
    <row r="70" spans="1:23" ht="16.5" thickBot="1">
      <c r="A70" s="57">
        <v>43</v>
      </c>
      <c r="B70" s="2" t="s">
        <v>254</v>
      </c>
      <c r="F70" s="51">
        <f>F57+F63-F66</f>
        <v>307167</v>
      </c>
      <c r="H70" s="51">
        <f>H57+H63-H66+H67</f>
        <v>1551547</v>
      </c>
      <c r="J70" s="51">
        <f>J57+J63-J66+J67</f>
        <v>2459245</v>
      </c>
      <c r="L70" s="51">
        <f>L57+L63-L68</f>
        <v>1523082</v>
      </c>
      <c r="N70" s="51">
        <f>N57+N63-N68</f>
        <v>2164065</v>
      </c>
      <c r="O70" s="70"/>
      <c r="P70" s="70"/>
      <c r="Q70" s="190">
        <f>+Q57+Q63-Q66</f>
        <v>-495159</v>
      </c>
      <c r="S70" s="51">
        <f>+S57+S63-S66</f>
        <v>194140</v>
      </c>
      <c r="U70" s="51">
        <f>+U57+U63-U66</f>
        <v>672104</v>
      </c>
      <c r="W70" s="191">
        <f>+W57+W63-W66</f>
        <v>-176066</v>
      </c>
    </row>
    <row r="71" spans="1:23" ht="16.5" thickTop="1">
      <c r="Q71" s="152"/>
      <c r="R71" s="192"/>
      <c r="S71" s="192"/>
      <c r="T71" s="192"/>
      <c r="U71" s="192"/>
      <c r="V71" s="192"/>
      <c r="W71" s="193"/>
    </row>
    <row r="72" spans="1:23">
      <c r="F72" s="2">
        <f>+'Sch 2 - BS'!F48-'Sch 2 - BS'!H48</f>
        <v>305175</v>
      </c>
      <c r="H72" s="2">
        <f>+'Sch 2 - BS'!H48-'Sch 2 - BS'!J48</f>
        <v>1551547</v>
      </c>
    </row>
    <row r="73" spans="1:23">
      <c r="D73" s="2" t="s">
        <v>255</v>
      </c>
      <c r="F73" s="6">
        <v>305175</v>
      </c>
      <c r="H73" s="42">
        <v>1551547</v>
      </c>
      <c r="J73" s="42">
        <v>2459245</v>
      </c>
      <c r="K73" s="42"/>
      <c r="L73" s="42">
        <v>1523082</v>
      </c>
      <c r="M73" s="42"/>
      <c r="N73" s="42">
        <v>2164065</v>
      </c>
      <c r="O73" s="42"/>
      <c r="P73" s="42"/>
      <c r="Q73" s="42"/>
    </row>
    <row r="74" spans="1:23">
      <c r="J74" s="42"/>
      <c r="K74" s="42"/>
      <c r="L74" s="42"/>
      <c r="M74" s="42"/>
      <c r="N74" s="42"/>
      <c r="O74" s="42"/>
      <c r="P74" s="42"/>
      <c r="Q74" s="42"/>
    </row>
    <row r="75" spans="1:23">
      <c r="D75" s="2" t="s">
        <v>197</v>
      </c>
      <c r="F75" s="42">
        <f>F70-F73</f>
        <v>1992</v>
      </c>
      <c r="H75" s="42">
        <f>H70-H73</f>
        <v>0</v>
      </c>
      <c r="J75" s="42">
        <f>J70-J73</f>
        <v>0</v>
      </c>
      <c r="L75" s="42">
        <f t="shared" ref="L75" si="14">L70-L73</f>
        <v>0</v>
      </c>
      <c r="N75" s="42">
        <f t="shared" ref="N75" si="15">N70-N73</f>
        <v>0</v>
      </c>
      <c r="O75" s="42"/>
      <c r="P75" s="42"/>
      <c r="Q75" s="42"/>
    </row>
    <row r="76" spans="1:23">
      <c r="A76" s="2" t="str">
        <f>'WP-3 IS TB Map'!G42</f>
        <v>541601</v>
      </c>
      <c r="D76" s="2" t="str">
        <f>'WP-3 IS TB Map'!H42</f>
        <v>COST EXP MERCHANDISE JOBBING</v>
      </c>
      <c r="F76" s="6">
        <f>'WP-3 IS TB Map'!R30</f>
        <v>-2244</v>
      </c>
    </row>
    <row r="77" spans="1:23">
      <c r="A77" s="2" t="str">
        <f>'WP-3 IS TB Map'!G133</f>
        <v xml:space="preserve">55100 </v>
      </c>
      <c r="D77" s="2" t="str">
        <f>'WP-3 IS TB Map'!H133</f>
        <v>REFUNDS</v>
      </c>
      <c r="F77" s="123">
        <f>'WP-3 IS TB Map'!R132</f>
        <v>251</v>
      </c>
    </row>
    <row r="78" spans="1:23">
      <c r="F78" s="6"/>
    </row>
    <row r="79" spans="1:23">
      <c r="F79" s="6">
        <f>SUM(F75:F78)</f>
        <v>-1</v>
      </c>
    </row>
  </sheetData>
  <mergeCells count="8">
    <mergeCell ref="A43:J43"/>
    <mergeCell ref="A44:J44"/>
    <mergeCell ref="A46:J46"/>
    <mergeCell ref="A47:J47"/>
    <mergeCell ref="A4:J4"/>
    <mergeCell ref="A5:J5"/>
    <mergeCell ref="A7:J7"/>
    <mergeCell ref="A8:J8"/>
  </mergeCells>
  <phoneticPr fontId="7" type="noConversion"/>
  <printOptions horizontalCentered="1"/>
  <pageMargins left="0.5" right="0.5" top="0.5" bottom="0.75" header="0.5" footer="0.5"/>
  <pageSetup fitToHeight="2" orientation="portrait" r:id="rId1"/>
  <headerFooter alignWithMargins="0"/>
  <rowBreaks count="1" manualBreakCount="1">
    <brk id="39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8"/>
    <pageSetUpPr fitToPage="1"/>
  </sheetPr>
  <dimension ref="A1:W157"/>
  <sheetViews>
    <sheetView view="pageBreakPreview" zoomScale="98" zoomScaleNormal="100" zoomScaleSheetLayoutView="98" workbookViewId="0">
      <selection activeCell="B27" sqref="B27"/>
    </sheetView>
  </sheetViews>
  <sheetFormatPr defaultRowHeight="15.75"/>
  <cols>
    <col min="1" max="1" width="2.375" style="57" bestFit="1" customWidth="1"/>
    <col min="2" max="3" width="2.625" customWidth="1"/>
    <col min="4" max="4" width="23.375" customWidth="1"/>
    <col min="5" max="5" width="1.625" customWidth="1"/>
    <col min="6" max="6" width="12.375" bestFit="1" customWidth="1"/>
    <col min="7" max="7" width="1.625" customWidth="1"/>
    <col min="8" max="8" width="12" bestFit="1" customWidth="1"/>
    <col min="9" max="9" width="1.625" customWidth="1"/>
    <col min="10" max="10" width="5.125" style="1" customWidth="1"/>
    <col min="11" max="11" width="1.625" customWidth="1"/>
    <col min="12" max="12" width="12.375" bestFit="1" customWidth="1"/>
    <col min="13" max="13" width="1.625" customWidth="1"/>
    <col min="14" max="14" width="12.875" customWidth="1"/>
    <col min="15" max="15" width="1.625" customWidth="1"/>
    <col min="16" max="16" width="5.125" style="1" customWidth="1"/>
    <col min="17" max="17" width="1.625" customWidth="1"/>
    <col min="18" max="18" width="13.875" customWidth="1"/>
    <col min="20" max="20" width="14" bestFit="1" customWidth="1"/>
    <col min="21" max="21" width="12" bestFit="1" customWidth="1"/>
    <col min="22" max="22" width="12.5" customWidth="1"/>
  </cols>
  <sheetData>
    <row r="1" spans="1:19">
      <c r="R1" s="26" t="str">
        <f>+'Sch 1 - Phased'!W1</f>
        <v>OUCC Attachment CFS-1</v>
      </c>
    </row>
    <row r="2" spans="1:19">
      <c r="R2" s="26" t="s">
        <v>256</v>
      </c>
    </row>
    <row r="3" spans="1:19">
      <c r="R3" s="26" t="s">
        <v>257</v>
      </c>
    </row>
    <row r="4" spans="1:19" ht="20.25">
      <c r="A4" s="453" t="str">
        <f>+Inputs!C5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</row>
    <row r="5" spans="1:19" ht="18.75">
      <c r="A5" s="454" t="str">
        <f>"CAUSE NUMBER "&amp;Inputs!C6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</row>
    <row r="6" spans="1:19">
      <c r="A6"/>
    </row>
    <row r="7" spans="1:19">
      <c r="A7" s="459" t="s">
        <v>258</v>
      </c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</row>
    <row r="8" spans="1:19">
      <c r="A8" s="444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</row>
    <row r="9" spans="1:19">
      <c r="A9" s="466" t="s">
        <v>259</v>
      </c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</row>
    <row r="10" spans="1:19">
      <c r="A10"/>
    </row>
    <row r="11" spans="1:19">
      <c r="F11" s="442" t="s">
        <v>260</v>
      </c>
      <c r="L11" s="444" t="s">
        <v>261</v>
      </c>
      <c r="R11" s="444" t="s">
        <v>261</v>
      </c>
    </row>
    <row r="12" spans="1:19">
      <c r="F12" s="442" t="s">
        <v>262</v>
      </c>
      <c r="J12" s="442" t="s">
        <v>32</v>
      </c>
      <c r="L12" s="442" t="s">
        <v>263</v>
      </c>
      <c r="N12" s="442" t="s">
        <v>259</v>
      </c>
      <c r="P12" s="442" t="s">
        <v>32</v>
      </c>
      <c r="R12" s="442" t="s">
        <v>264</v>
      </c>
    </row>
    <row r="13" spans="1:19">
      <c r="F13" s="136">
        <f>+Inputs!C9</f>
        <v>45291</v>
      </c>
      <c r="H13" s="5" t="s">
        <v>265</v>
      </c>
      <c r="J13" s="5" t="s">
        <v>35</v>
      </c>
      <c r="L13" s="5" t="s">
        <v>266</v>
      </c>
      <c r="N13" s="5" t="s">
        <v>265</v>
      </c>
      <c r="P13" s="5" t="s">
        <v>35</v>
      </c>
      <c r="R13" s="5" t="s">
        <v>266</v>
      </c>
      <c r="S13" s="66"/>
    </row>
    <row r="14" spans="1:19">
      <c r="A14" s="57">
        <v>1</v>
      </c>
      <c r="B14" t="s">
        <v>73</v>
      </c>
    </row>
    <row r="15" spans="1:19">
      <c r="A15" s="57">
        <v>2</v>
      </c>
      <c r="C15" s="2" t="s">
        <v>267</v>
      </c>
      <c r="F15" s="45">
        <f>SUM('Sch 3 - IS'!F13:F20)</f>
        <v>10961131</v>
      </c>
      <c r="H15" s="45"/>
      <c r="L15" s="45">
        <f>F15+H15</f>
        <v>10961131</v>
      </c>
      <c r="N15" s="45">
        <f>+N17</f>
        <v>1924155</v>
      </c>
      <c r="R15" s="45">
        <f>L15+N15</f>
        <v>12885286</v>
      </c>
    </row>
    <row r="16" spans="1:19">
      <c r="A16" s="57">
        <v>3</v>
      </c>
      <c r="C16" t="s">
        <v>75</v>
      </c>
      <c r="F16" s="46">
        <f>+'Sch 3 - IS'!F21</f>
        <v>113737</v>
      </c>
      <c r="H16" s="46"/>
      <c r="L16" s="46">
        <f t="shared" ref="L16" si="0">+H16+F16</f>
        <v>113737</v>
      </c>
      <c r="N16" s="46"/>
      <c r="R16" s="46">
        <f t="shared" ref="R16" si="1">+L16+N16</f>
        <v>113737</v>
      </c>
    </row>
    <row r="17" spans="1:21">
      <c r="A17" s="57">
        <v>4</v>
      </c>
      <c r="D17" t="s">
        <v>76</v>
      </c>
      <c r="F17" s="94">
        <f>SUM(F15:F16)</f>
        <v>11074868</v>
      </c>
      <c r="H17" s="94">
        <f>SUM(H15:H16)</f>
        <v>0</v>
      </c>
      <c r="L17" s="94">
        <f>SUM(L15:L16)</f>
        <v>11074868</v>
      </c>
      <c r="N17" s="94">
        <f>+'Sch 1 - Phased'!G31</f>
        <v>1924155</v>
      </c>
      <c r="P17" s="1">
        <v>1</v>
      </c>
      <c r="R17" s="94">
        <f>SUM(R15:R16)</f>
        <v>12999023</v>
      </c>
    </row>
    <row r="18" spans="1:21">
      <c r="F18" s="46"/>
      <c r="H18" s="46"/>
      <c r="L18" s="46"/>
      <c r="N18" s="46"/>
      <c r="R18" s="46"/>
    </row>
    <row r="19" spans="1:21">
      <c r="A19" s="57">
        <v>5</v>
      </c>
      <c r="B19" t="s">
        <v>77</v>
      </c>
      <c r="F19" s="46"/>
      <c r="H19" s="46"/>
      <c r="L19" s="46"/>
      <c r="N19" s="46"/>
      <c r="R19" s="46"/>
    </row>
    <row r="20" spans="1:21">
      <c r="A20" s="57">
        <v>6</v>
      </c>
      <c r="C20" s="2" t="s">
        <v>78</v>
      </c>
      <c r="D20" s="2"/>
      <c r="F20" s="46">
        <f>'Sch 3 - IS'!F25</f>
        <v>3451804</v>
      </c>
      <c r="H20" s="46"/>
      <c r="J20" s="93"/>
      <c r="L20" s="46">
        <f>+F20+SUM(H21:H24)</f>
        <v>3549543</v>
      </c>
      <c r="N20" s="46"/>
      <c r="R20" s="46">
        <f>+L20+N20</f>
        <v>3549543</v>
      </c>
      <c r="T20" s="2"/>
    </row>
    <row r="21" spans="1:21">
      <c r="A21" s="57">
        <v>7</v>
      </c>
      <c r="C21" s="2"/>
      <c r="D21" s="2" t="s">
        <v>79</v>
      </c>
      <c r="F21" s="46"/>
      <c r="H21" s="46">
        <f>ROUND('Sch 6 - Exp Adj'!I16,0)</f>
        <v>201961</v>
      </c>
      <c r="J21" s="214" t="s">
        <v>268</v>
      </c>
      <c r="L21" s="46"/>
      <c r="N21" s="46"/>
      <c r="R21" s="46"/>
      <c r="T21" s="2"/>
    </row>
    <row r="22" spans="1:21">
      <c r="A22" s="57">
        <v>8</v>
      </c>
      <c r="C22" s="2"/>
      <c r="D22" s="2" t="s">
        <v>269</v>
      </c>
      <c r="F22" s="46"/>
      <c r="H22" s="46">
        <f>ROUND('Sch 6 - Exp Adj'!I34,0)</f>
        <v>97665</v>
      </c>
      <c r="J22" s="214" t="s">
        <v>270</v>
      </c>
      <c r="L22" s="46"/>
      <c r="N22" s="46"/>
      <c r="R22" s="46"/>
      <c r="T22" s="2"/>
    </row>
    <row r="23" spans="1:21">
      <c r="A23" s="57">
        <v>9</v>
      </c>
      <c r="C23" s="2"/>
      <c r="D23" s="2" t="s">
        <v>271</v>
      </c>
      <c r="F23" s="46"/>
      <c r="H23" s="46">
        <f>ROUND('Sch 6 - Exp Adj'!I51,0)</f>
        <v>-201887</v>
      </c>
      <c r="J23" s="214" t="s">
        <v>272</v>
      </c>
      <c r="L23" s="46"/>
      <c r="N23" s="46"/>
      <c r="R23" s="46"/>
      <c r="T23" s="2"/>
    </row>
    <row r="24" spans="1:21">
      <c r="A24" s="57">
        <v>10</v>
      </c>
      <c r="C24" s="2"/>
      <c r="D24" s="2" t="s">
        <v>273</v>
      </c>
      <c r="F24" s="46"/>
      <c r="H24" s="42"/>
      <c r="J24" s="214"/>
      <c r="L24" s="46"/>
      <c r="N24" s="46"/>
      <c r="R24" s="46"/>
      <c r="T24" s="2"/>
    </row>
    <row r="25" spans="1:21">
      <c r="A25" s="57">
        <v>11</v>
      </c>
      <c r="C25" s="2" t="s">
        <v>274</v>
      </c>
      <c r="D25" s="2"/>
      <c r="F25" s="46">
        <f>'Sch 3 - IS'!F26</f>
        <v>387109</v>
      </c>
      <c r="H25" s="46">
        <f>'Sch 6 - Exp Adj'!I63</f>
        <v>10440</v>
      </c>
      <c r="J25" s="214" t="s">
        <v>93</v>
      </c>
      <c r="L25" s="46">
        <f>+F25+H25</f>
        <v>397549</v>
      </c>
      <c r="N25" s="46"/>
      <c r="R25" s="46">
        <f t="shared" ref="R25:R39" si="2">+L25+N25</f>
        <v>397549</v>
      </c>
      <c r="U25" s="24"/>
    </row>
    <row r="26" spans="1:21">
      <c r="A26" s="57">
        <v>12</v>
      </c>
      <c r="C26" t="s">
        <v>94</v>
      </c>
      <c r="F26" s="46">
        <f>+'Sch 3 - IS'!F27</f>
        <v>257265</v>
      </c>
      <c r="H26" s="46">
        <f>'Sch 6 - Exp Adj'!I75</f>
        <v>14275</v>
      </c>
      <c r="J26" s="214" t="s">
        <v>275</v>
      </c>
      <c r="L26" s="46">
        <f>+F26+H26</f>
        <v>271540</v>
      </c>
      <c r="N26" s="46"/>
      <c r="R26" s="46">
        <f>+L26+N26</f>
        <v>271540</v>
      </c>
      <c r="U26" s="24"/>
    </row>
    <row r="27" spans="1:21">
      <c r="A27" s="57">
        <v>13</v>
      </c>
      <c r="C27" s="2" t="s">
        <v>235</v>
      </c>
      <c r="D27" s="2"/>
      <c r="F27" s="46">
        <f>'Sch 3 - IS'!F28</f>
        <v>900000</v>
      </c>
      <c r="H27" s="46"/>
      <c r="L27" s="46">
        <f>+F27+H27</f>
        <v>900000</v>
      </c>
      <c r="N27" s="46"/>
      <c r="R27" s="46">
        <f t="shared" si="2"/>
        <v>900000</v>
      </c>
      <c r="U27" s="24"/>
    </row>
    <row r="28" spans="1:21">
      <c r="A28" s="57">
        <v>14</v>
      </c>
      <c r="C28" s="2" t="s">
        <v>236</v>
      </c>
      <c r="D28" s="2"/>
      <c r="F28" s="46">
        <f>'Sch 3 - IS'!F29</f>
        <v>406009</v>
      </c>
      <c r="H28" s="46"/>
      <c r="L28" s="46">
        <f>+F28+H28</f>
        <v>406009</v>
      </c>
      <c r="N28" s="46"/>
      <c r="R28" s="46">
        <f t="shared" si="2"/>
        <v>406009</v>
      </c>
      <c r="U28" s="24"/>
    </row>
    <row r="29" spans="1:21">
      <c r="A29" s="57">
        <v>15</v>
      </c>
      <c r="C29" s="2" t="s">
        <v>170</v>
      </c>
      <c r="D29" s="2"/>
      <c r="F29" s="46">
        <f>'Sch 3 - IS'!F30</f>
        <v>753951</v>
      </c>
      <c r="H29" s="46"/>
      <c r="L29" s="46">
        <f>+F29+H29</f>
        <v>753951</v>
      </c>
      <c r="N29" s="46"/>
      <c r="R29" s="46">
        <f t="shared" si="2"/>
        <v>753951</v>
      </c>
      <c r="T29" s="2" t="s">
        <v>276</v>
      </c>
      <c r="U29" s="24"/>
    </row>
    <row r="30" spans="1:21">
      <c r="A30" s="57">
        <v>16</v>
      </c>
      <c r="C30" s="2" t="s">
        <v>96</v>
      </c>
      <c r="D30" s="2"/>
      <c r="F30" s="46">
        <f>'Sch 3 - IS'!F31</f>
        <v>1689682</v>
      </c>
      <c r="H30" s="46"/>
      <c r="L30" s="46">
        <f>+F30+SUM(H31:H33)</f>
        <v>1648541</v>
      </c>
      <c r="N30" s="46"/>
      <c r="R30" s="46">
        <f t="shared" si="2"/>
        <v>1648541</v>
      </c>
      <c r="T30" s="24">
        <f>'Sch 2 - BS'!F13*0.02</f>
        <v>1261495.3</v>
      </c>
      <c r="U30" s="54"/>
    </row>
    <row r="31" spans="1:21">
      <c r="A31" s="57">
        <v>17</v>
      </c>
      <c r="C31" s="2"/>
      <c r="D31" s="2" t="s">
        <v>97</v>
      </c>
      <c r="F31" s="46"/>
      <c r="H31" s="46">
        <f>'Sch 6 - Exp Adj'!I92</f>
        <v>80209</v>
      </c>
      <c r="J31" s="214" t="s">
        <v>277</v>
      </c>
      <c r="L31" s="46"/>
      <c r="N31" s="46"/>
      <c r="R31" s="46"/>
      <c r="T31" s="2"/>
      <c r="U31" s="24"/>
    </row>
    <row r="32" spans="1:21" ht="16.5" thickBot="1">
      <c r="A32" s="57">
        <v>18</v>
      </c>
      <c r="C32" s="2"/>
      <c r="D32" s="2" t="s">
        <v>99</v>
      </c>
      <c r="F32" s="46"/>
      <c r="H32" s="46">
        <v>-15364</v>
      </c>
      <c r="J32" s="214" t="s">
        <v>60</v>
      </c>
      <c r="L32" s="42"/>
      <c r="N32" s="46"/>
      <c r="R32" s="46"/>
    </row>
    <row r="33" spans="1:23">
      <c r="A33" s="57">
        <v>19</v>
      </c>
      <c r="C33" s="2"/>
      <c r="D33" s="2" t="s">
        <v>101</v>
      </c>
      <c r="F33" s="46"/>
      <c r="H33" s="46">
        <v>-105986</v>
      </c>
      <c r="J33" s="214" t="s">
        <v>60</v>
      </c>
      <c r="L33" s="46"/>
      <c r="N33" s="46"/>
      <c r="R33" s="46"/>
      <c r="T33" s="244" t="s">
        <v>278</v>
      </c>
      <c r="U33" s="28"/>
      <c r="V33" s="96"/>
    </row>
    <row r="34" spans="1:23">
      <c r="A34" s="57">
        <v>20</v>
      </c>
      <c r="C34" s="2" t="s">
        <v>103</v>
      </c>
      <c r="D34" s="2"/>
      <c r="F34" s="46">
        <f>'Sch 3 - IS'!F32</f>
        <v>92116</v>
      </c>
      <c r="H34" s="46">
        <v>35000</v>
      </c>
      <c r="J34" s="214" t="s">
        <v>60</v>
      </c>
      <c r="L34" s="46">
        <f t="shared" ref="L34:L39" si="3">+F34+H34</f>
        <v>127116</v>
      </c>
      <c r="N34" s="46"/>
      <c r="R34" s="46">
        <f t="shared" si="2"/>
        <v>127116</v>
      </c>
      <c r="T34" s="97" t="s">
        <v>279</v>
      </c>
      <c r="V34" s="98">
        <f>'Sch 1 - Phased'!G16-'Sch 4 PF IS'!L41</f>
        <v>19197</v>
      </c>
    </row>
    <row r="35" spans="1:23">
      <c r="A35" s="57">
        <v>21</v>
      </c>
      <c r="C35" s="2" t="s">
        <v>237</v>
      </c>
      <c r="D35" s="2"/>
      <c r="F35" s="46">
        <f>'Sch 3 - IS'!F33</f>
        <v>249298</v>
      </c>
      <c r="H35" s="46"/>
      <c r="L35" s="46">
        <f t="shared" si="3"/>
        <v>249298</v>
      </c>
      <c r="N35" s="46"/>
      <c r="R35" s="46">
        <f t="shared" si="2"/>
        <v>249298</v>
      </c>
      <c r="T35" s="97" t="s">
        <v>244</v>
      </c>
      <c r="V35" s="98">
        <f>L42*0</f>
        <v>0</v>
      </c>
    </row>
    <row r="36" spans="1:23">
      <c r="A36" s="57">
        <v>22</v>
      </c>
      <c r="C36" s="2" t="s">
        <v>105</v>
      </c>
      <c r="D36" s="2"/>
      <c r="F36" s="46">
        <f>'Sch 3 - IS'!F34</f>
        <v>174999</v>
      </c>
      <c r="H36" s="46">
        <f>'Sch 6 - Exp Adj'!I108</f>
        <v>58333</v>
      </c>
      <c r="J36" s="214" t="s">
        <v>280</v>
      </c>
      <c r="L36" s="46">
        <f t="shared" si="3"/>
        <v>233332</v>
      </c>
      <c r="N36" s="46"/>
      <c r="R36" s="46">
        <f t="shared" si="2"/>
        <v>233332</v>
      </c>
      <c r="T36" s="97" t="s">
        <v>42</v>
      </c>
      <c r="V36" s="98">
        <f>'Sch 1 - Phased'!G17</f>
        <v>1306190</v>
      </c>
    </row>
    <row r="37" spans="1:23">
      <c r="A37" s="57">
        <v>23</v>
      </c>
      <c r="C37" s="2" t="s">
        <v>238</v>
      </c>
      <c r="D37" s="2"/>
      <c r="F37" s="46">
        <f>'Sch 3 - IS'!F35</f>
        <v>901334</v>
      </c>
      <c r="H37" s="46">
        <v>0</v>
      </c>
      <c r="J37" s="214"/>
      <c r="L37" s="46">
        <f t="shared" si="3"/>
        <v>901334</v>
      </c>
      <c r="N37" s="46"/>
      <c r="R37" s="46">
        <f t="shared" si="2"/>
        <v>901334</v>
      </c>
      <c r="T37" s="97" t="s">
        <v>43</v>
      </c>
      <c r="U37" s="61"/>
      <c r="V37" s="98">
        <f>'Sch 1 - Phased'!G18</f>
        <v>582950</v>
      </c>
    </row>
    <row r="38" spans="1:23">
      <c r="A38" s="57">
        <v>24</v>
      </c>
      <c r="C38" s="2" t="s">
        <v>239</v>
      </c>
      <c r="D38" s="2"/>
      <c r="F38" s="46">
        <f>'Sch 3 - IS'!F36</f>
        <v>110435</v>
      </c>
      <c r="H38" s="46"/>
      <c r="L38" s="46">
        <f t="shared" si="3"/>
        <v>110435</v>
      </c>
      <c r="N38" s="46"/>
      <c r="R38" s="46">
        <f t="shared" si="2"/>
        <v>110435</v>
      </c>
      <c r="T38" s="30"/>
      <c r="V38" s="115"/>
    </row>
    <row r="39" spans="1:23">
      <c r="A39" s="57">
        <v>25</v>
      </c>
      <c r="C39" s="2" t="s">
        <v>240</v>
      </c>
      <c r="D39" s="2"/>
      <c r="F39" s="46">
        <f>'Sch 3 - IS'!F37</f>
        <v>35947</v>
      </c>
      <c r="H39" s="46"/>
      <c r="L39" s="46">
        <f t="shared" si="3"/>
        <v>35947</v>
      </c>
      <c r="N39" s="46"/>
      <c r="R39" s="46">
        <f t="shared" si="2"/>
        <v>35947</v>
      </c>
      <c r="T39" s="97" t="s">
        <v>44</v>
      </c>
      <c r="U39" s="61"/>
      <c r="V39" s="98">
        <f>+'Sch 1 - Phased'!G19</f>
        <v>0</v>
      </c>
    </row>
    <row r="40" spans="1:23">
      <c r="F40" s="46"/>
      <c r="H40" s="46"/>
      <c r="L40" s="46"/>
      <c r="N40" s="46"/>
      <c r="R40" s="46"/>
      <c r="T40" s="72" t="s">
        <v>281</v>
      </c>
      <c r="V40" s="98">
        <v>0</v>
      </c>
    </row>
    <row r="41" spans="1:23">
      <c r="A41" s="57">
        <v>26</v>
      </c>
      <c r="B41" t="s">
        <v>201</v>
      </c>
      <c r="F41" s="46">
        <f>+'Sch 3 - IS'!F51</f>
        <v>980803</v>
      </c>
      <c r="H41" s="46">
        <v>0</v>
      </c>
      <c r="J41" s="214"/>
      <c r="L41" s="46">
        <f>+F41+H41</f>
        <v>980803</v>
      </c>
      <c r="N41" s="46"/>
      <c r="O41" s="2"/>
      <c r="R41" s="46">
        <f t="shared" ref="R41:R42" si="4">+L41+N41</f>
        <v>980803</v>
      </c>
      <c r="T41" s="97" t="s">
        <v>282</v>
      </c>
      <c r="U41" s="61"/>
      <c r="V41" s="98">
        <f>'Sch 1 - Phased'!G23+'Sch 1 - Phased'!G24</f>
        <v>-67404</v>
      </c>
    </row>
    <row r="42" spans="1:23">
      <c r="A42" s="57">
        <v>27</v>
      </c>
      <c r="B42" s="2" t="s">
        <v>40</v>
      </c>
      <c r="F42" s="46">
        <f>'Sch 3 - IS'!F54</f>
        <v>187360</v>
      </c>
      <c r="H42" s="46">
        <v>405332</v>
      </c>
      <c r="J42" s="214" t="s">
        <v>60</v>
      </c>
      <c r="L42" s="46">
        <f>+F42+H42</f>
        <v>592692</v>
      </c>
      <c r="N42" s="46"/>
      <c r="R42" s="46">
        <f t="shared" si="4"/>
        <v>592692</v>
      </c>
      <c r="T42" s="30"/>
      <c r="U42" s="61"/>
      <c r="V42" s="99">
        <f>SUM(V34:V41)</f>
        <v>1840933</v>
      </c>
      <c r="W42" s="58"/>
    </row>
    <row r="43" spans="1:23">
      <c r="A43" s="57">
        <v>28</v>
      </c>
      <c r="D43" t="s">
        <v>245</v>
      </c>
      <c r="F43" s="94">
        <f>SUM(F20:F42)</f>
        <v>10578112</v>
      </c>
      <c r="H43" s="94">
        <f>SUM(H20:H42)</f>
        <v>579978</v>
      </c>
      <c r="L43" s="94">
        <f>SUM(L20:L42)</f>
        <v>11158090</v>
      </c>
      <c r="N43" s="94">
        <f>SUM(N20:N42)</f>
        <v>0</v>
      </c>
      <c r="R43" s="94">
        <f>SUM(R20:R42)</f>
        <v>11158090</v>
      </c>
      <c r="T43" s="97" t="s">
        <v>283</v>
      </c>
      <c r="V43" s="98">
        <f>+R45</f>
        <v>1840933</v>
      </c>
    </row>
    <row r="44" spans="1:23">
      <c r="F44" s="46"/>
      <c r="H44" s="46"/>
      <c r="L44" s="46"/>
      <c r="N44" s="46"/>
      <c r="R44" s="46"/>
      <c r="T44" s="30"/>
      <c r="V44" s="115"/>
    </row>
    <row r="45" spans="1:23" ht="16.5" thickBot="1">
      <c r="A45" s="57">
        <v>29</v>
      </c>
      <c r="B45" t="s">
        <v>117</v>
      </c>
      <c r="F45" s="48">
        <f>+F17-F43</f>
        <v>496756</v>
      </c>
      <c r="H45" s="48">
        <f>+H17-H43</f>
        <v>-579978</v>
      </c>
      <c r="L45" s="48">
        <f>+L17-L43</f>
        <v>-83222</v>
      </c>
      <c r="N45" s="48">
        <f>+N17-N43</f>
        <v>1924155</v>
      </c>
      <c r="R45" s="48">
        <f>+R17-R43</f>
        <v>1840933</v>
      </c>
      <c r="T45" s="97" t="s">
        <v>202</v>
      </c>
      <c r="U45" s="61"/>
      <c r="V45" s="100">
        <f>+V42-V43</f>
        <v>0</v>
      </c>
    </row>
    <row r="46" spans="1:23" ht="17.25" thickTop="1" thickBot="1">
      <c r="F46" s="46"/>
      <c r="H46" s="46"/>
      <c r="L46" s="46"/>
      <c r="N46" s="46"/>
      <c r="R46" s="46"/>
      <c r="T46" s="31"/>
      <c r="U46" s="101"/>
      <c r="V46" s="102"/>
    </row>
    <row r="47" spans="1:23">
      <c r="F47" s="139"/>
      <c r="R47" s="26" t="str">
        <f>R$1</f>
        <v>OUCC Attachment CFS-1</v>
      </c>
    </row>
    <row r="48" spans="1:23">
      <c r="R48" s="26" t="s">
        <v>256</v>
      </c>
    </row>
    <row r="49" spans="1:22">
      <c r="R49" s="26" t="s">
        <v>284</v>
      </c>
    </row>
    <row r="50" spans="1:22" ht="20.25">
      <c r="A50" s="453" t="str">
        <f>A$4</f>
        <v>City of Anderson</v>
      </c>
      <c r="B50" s="453"/>
      <c r="C50" s="453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</row>
    <row r="51" spans="1:22" ht="18.75">
      <c r="A51" s="454" t="str">
        <f>A$5</f>
        <v>CAUSE NUMBER 46171</v>
      </c>
      <c r="B51" s="454"/>
      <c r="C51" s="454"/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</row>
    <row r="52" spans="1:22">
      <c r="A52"/>
    </row>
    <row r="53" spans="1:22">
      <c r="A53" s="459" t="s">
        <v>258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</row>
    <row r="54" spans="1:22">
      <c r="A54" s="444"/>
      <c r="B54" s="444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44"/>
      <c r="P54" s="444"/>
      <c r="Q54" s="444"/>
      <c r="R54" s="444"/>
    </row>
    <row r="55" spans="1:22">
      <c r="A55" s="466" t="s">
        <v>285</v>
      </c>
      <c r="B55" s="466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</row>
    <row r="56" spans="1:22">
      <c r="F56" s="46"/>
      <c r="H56" s="46"/>
      <c r="L56" s="46"/>
      <c r="N56" s="46"/>
      <c r="R56" s="46"/>
    </row>
    <row r="57" spans="1:22" ht="16.5" thickBot="1">
      <c r="F57" s="442" t="s">
        <v>259</v>
      </c>
      <c r="L57" s="444" t="s">
        <v>261</v>
      </c>
      <c r="R57" s="444" t="s">
        <v>261</v>
      </c>
    </row>
    <row r="58" spans="1:22">
      <c r="F58" s="442" t="s">
        <v>262</v>
      </c>
      <c r="J58" s="442" t="s">
        <v>32</v>
      </c>
      <c r="L58" s="442" t="s">
        <v>263</v>
      </c>
      <c r="N58" s="442" t="s">
        <v>285</v>
      </c>
      <c r="P58" s="442" t="s">
        <v>32</v>
      </c>
      <c r="R58" s="442" t="s">
        <v>264</v>
      </c>
      <c r="T58" s="244" t="s">
        <v>286</v>
      </c>
      <c r="U58" s="28"/>
      <c r="V58" s="96"/>
    </row>
    <row r="59" spans="1:22">
      <c r="F59" s="136">
        <v>46022</v>
      </c>
      <c r="H59" s="5" t="s">
        <v>265</v>
      </c>
      <c r="J59" s="5" t="s">
        <v>35</v>
      </c>
      <c r="L59" s="5" t="s">
        <v>266</v>
      </c>
      <c r="N59" s="5" t="s">
        <v>265</v>
      </c>
      <c r="P59" s="5" t="s">
        <v>35</v>
      </c>
      <c r="R59" s="5" t="s">
        <v>266</v>
      </c>
      <c r="T59" s="97" t="s">
        <v>279</v>
      </c>
      <c r="V59" s="98">
        <f>'Sch 1 - Phased'!O16-L68</f>
        <v>19197</v>
      </c>
    </row>
    <row r="60" spans="1:22">
      <c r="A60" s="57">
        <v>1</v>
      </c>
      <c r="B60" t="s">
        <v>73</v>
      </c>
      <c r="T60" s="97" t="s">
        <v>244</v>
      </c>
      <c r="V60" s="98">
        <f>L69*0</f>
        <v>0</v>
      </c>
    </row>
    <row r="61" spans="1:22">
      <c r="A61" s="57">
        <v>2</v>
      </c>
      <c r="C61" s="2" t="s">
        <v>267</v>
      </c>
      <c r="F61" s="45">
        <f>R15</f>
        <v>12885286</v>
      </c>
      <c r="H61" s="45"/>
      <c r="L61" s="45">
        <f t="shared" ref="L61" si="5">+H61+F61</f>
        <v>12885286</v>
      </c>
      <c r="M61" s="27"/>
      <c r="N61" s="45">
        <f>+N63</f>
        <v>109733</v>
      </c>
      <c r="O61" s="27"/>
      <c r="P61" s="245"/>
      <c r="Q61" s="27"/>
      <c r="R61" s="45">
        <f>+L61+N61</f>
        <v>12995019</v>
      </c>
      <c r="T61" s="30"/>
      <c r="V61" s="115"/>
    </row>
    <row r="62" spans="1:22">
      <c r="A62" s="57">
        <v>3</v>
      </c>
      <c r="C62" t="s">
        <v>75</v>
      </c>
      <c r="F62" s="46">
        <f>R16</f>
        <v>113737</v>
      </c>
      <c r="H62" s="46"/>
      <c r="L62" s="46">
        <f t="shared" ref="L62" si="6">+H62+F62</f>
        <v>113737</v>
      </c>
      <c r="N62" s="46"/>
      <c r="R62" s="46">
        <f t="shared" ref="R62" si="7">+L62+N62</f>
        <v>113737</v>
      </c>
      <c r="T62" s="97" t="s">
        <v>42</v>
      </c>
      <c r="V62" s="98">
        <f>'Sch 1 - Phased'!O17</f>
        <v>1316090</v>
      </c>
    </row>
    <row r="63" spans="1:22">
      <c r="A63" s="57">
        <v>4</v>
      </c>
      <c r="D63" t="s">
        <v>76</v>
      </c>
      <c r="F63" s="94">
        <f>SUM(F61:F62)</f>
        <v>12999023</v>
      </c>
      <c r="H63" s="94">
        <f>SUM(H61:H61)</f>
        <v>0</v>
      </c>
      <c r="L63" s="94">
        <f>SUM(L61:L62)</f>
        <v>12999023</v>
      </c>
      <c r="N63" s="94">
        <f>+'Sch 1 - Phased'!O31</f>
        <v>109733</v>
      </c>
      <c r="P63" s="1">
        <v>1</v>
      </c>
      <c r="R63" s="94">
        <f>SUM(R61:R62)</f>
        <v>13108756</v>
      </c>
      <c r="T63" s="97" t="s">
        <v>43</v>
      </c>
      <c r="U63" s="61"/>
      <c r="V63" s="98">
        <f>'Sch 1 - Phased'!O18</f>
        <v>582950</v>
      </c>
    </row>
    <row r="64" spans="1:22">
      <c r="F64" s="46"/>
      <c r="H64" s="46"/>
      <c r="L64" s="46"/>
      <c r="N64" s="46"/>
      <c r="R64" s="46"/>
      <c r="T64" s="30"/>
      <c r="V64" s="115"/>
    </row>
    <row r="65" spans="1:22">
      <c r="A65" s="57">
        <v>5</v>
      </c>
      <c r="B65" t="s">
        <v>77</v>
      </c>
      <c r="F65" s="46">
        <f>SUM(R20:R39)</f>
        <v>9584595</v>
      </c>
      <c r="H65" s="46"/>
      <c r="L65" s="46">
        <f>F65+H65</f>
        <v>9584595</v>
      </c>
      <c r="N65" s="46"/>
      <c r="R65" s="46">
        <f>L65+N65</f>
        <v>9584595</v>
      </c>
      <c r="T65" s="97" t="s">
        <v>44</v>
      </c>
      <c r="U65" s="61"/>
      <c r="V65" s="98">
        <f>+'Sch 1 - Phased'!O19</f>
        <v>0</v>
      </c>
    </row>
    <row r="66" spans="1:22">
      <c r="A66" s="57">
        <v>6</v>
      </c>
      <c r="C66" s="2" t="s">
        <v>129</v>
      </c>
      <c r="D66" s="2"/>
      <c r="F66" s="46">
        <v>0</v>
      </c>
      <c r="H66" s="46">
        <f>'Sch 6 - Exp Adj'!I131</f>
        <v>99833</v>
      </c>
      <c r="J66" s="214" t="s">
        <v>110</v>
      </c>
      <c r="L66" s="46">
        <f t="shared" ref="L66" si="8">+F66+H66</f>
        <v>99833</v>
      </c>
      <c r="N66" s="46"/>
      <c r="R66" s="46">
        <f t="shared" ref="R66" si="9">+L66+N66</f>
        <v>99833</v>
      </c>
      <c r="T66" s="72" t="s">
        <v>281</v>
      </c>
      <c r="V66" s="98">
        <v>0</v>
      </c>
    </row>
    <row r="67" spans="1:22">
      <c r="F67" s="46"/>
      <c r="H67" s="46"/>
      <c r="L67" s="46"/>
      <c r="N67" s="46"/>
      <c r="R67" s="46"/>
      <c r="T67" s="30"/>
      <c r="V67" s="115"/>
    </row>
    <row r="68" spans="1:22">
      <c r="A68" s="57">
        <v>7</v>
      </c>
      <c r="B68" t="s">
        <v>201</v>
      </c>
      <c r="F68" s="46">
        <f>R41</f>
        <v>980803</v>
      </c>
      <c r="H68" s="46"/>
      <c r="L68" s="46">
        <f>+F68+H68</f>
        <v>980803</v>
      </c>
      <c r="N68" s="46"/>
      <c r="O68" s="2"/>
      <c r="R68" s="46">
        <f>+L68+N68</f>
        <v>980803</v>
      </c>
      <c r="T68" s="97" t="s">
        <v>282</v>
      </c>
      <c r="U68" s="61"/>
      <c r="V68" s="98">
        <f>'Sch 1 - Phased'!O23+'Sch 1 - Phased'!O24</f>
        <v>-67404</v>
      </c>
    </row>
    <row r="69" spans="1:22">
      <c r="A69" s="57">
        <v>8</v>
      </c>
      <c r="B69" s="2" t="str">
        <f>B42</f>
        <v>Payment in Lieu of Taxes</v>
      </c>
      <c r="F69" s="46">
        <f>R42</f>
        <v>592692</v>
      </c>
      <c r="H69" s="46"/>
      <c r="L69" s="46">
        <f>+F69+H69</f>
        <v>592692</v>
      </c>
      <c r="N69" s="46"/>
      <c r="R69" s="46">
        <f>+L69+N69</f>
        <v>592692</v>
      </c>
      <c r="T69" s="30"/>
      <c r="U69" s="61"/>
      <c r="V69" s="99">
        <f>SUM(V59:V68)</f>
        <v>1850833</v>
      </c>
    </row>
    <row r="70" spans="1:22">
      <c r="B70" s="2"/>
      <c r="F70" s="46"/>
      <c r="H70" s="46"/>
      <c r="L70" s="46"/>
      <c r="N70" s="46"/>
      <c r="R70" s="46"/>
      <c r="T70" s="30"/>
      <c r="V70" s="115"/>
    </row>
    <row r="71" spans="1:22">
      <c r="A71" s="57">
        <v>9</v>
      </c>
      <c r="D71" t="s">
        <v>245</v>
      </c>
      <c r="F71" s="94">
        <f>SUM(F65:F69)</f>
        <v>11158090</v>
      </c>
      <c r="H71" s="94">
        <f>SUM(H65:H69)</f>
        <v>99833</v>
      </c>
      <c r="L71" s="94">
        <f>SUM(L65:L69)</f>
        <v>11257923</v>
      </c>
      <c r="N71" s="94">
        <f>SUM(N65:N69)</f>
        <v>0</v>
      </c>
      <c r="R71" s="94">
        <f>SUM(R65:R70)</f>
        <v>11257923</v>
      </c>
      <c r="T71" s="97" t="s">
        <v>283</v>
      </c>
      <c r="V71" s="98">
        <f>R73</f>
        <v>1850833</v>
      </c>
    </row>
    <row r="72" spans="1:22">
      <c r="F72" s="46"/>
      <c r="H72" s="46"/>
      <c r="L72" s="46"/>
      <c r="N72" s="46"/>
      <c r="R72" s="46"/>
      <c r="T72" s="30"/>
      <c r="V72" s="115"/>
    </row>
    <row r="73" spans="1:22" ht="16.5" thickBot="1">
      <c r="A73" s="57">
        <v>10</v>
      </c>
      <c r="B73" t="s">
        <v>117</v>
      </c>
      <c r="F73" s="48">
        <f>+F63-F71</f>
        <v>1840933</v>
      </c>
      <c r="H73" s="48">
        <f>+H63-H71</f>
        <v>-99833</v>
      </c>
      <c r="L73" s="48">
        <f>+L63-L71</f>
        <v>1741100</v>
      </c>
      <c r="N73" s="48">
        <f>+N63-N71</f>
        <v>109733</v>
      </c>
      <c r="R73" s="48">
        <f>+R63-R71</f>
        <v>1850833</v>
      </c>
      <c r="T73" s="97" t="s">
        <v>202</v>
      </c>
      <c r="U73" s="61"/>
      <c r="V73" s="100">
        <f>+V69-V71</f>
        <v>0</v>
      </c>
    </row>
    <row r="74" spans="1:22" ht="17.25" thickTop="1" thickBot="1">
      <c r="F74" s="219"/>
      <c r="H74" s="219"/>
      <c r="L74" s="219"/>
      <c r="N74" s="219"/>
      <c r="R74" s="219"/>
      <c r="T74" s="31"/>
      <c r="U74" s="101"/>
      <c r="V74" s="102"/>
    </row>
    <row r="75" spans="1:22">
      <c r="F75" s="219"/>
      <c r="H75" s="219"/>
      <c r="L75" s="219"/>
      <c r="N75" s="219"/>
      <c r="R75" s="219"/>
    </row>
    <row r="76" spans="1:22">
      <c r="F76" s="219"/>
      <c r="H76" s="219"/>
      <c r="L76" s="219"/>
      <c r="N76" s="219"/>
      <c r="R76" s="219"/>
    </row>
    <row r="77" spans="1:22">
      <c r="F77" s="46"/>
      <c r="H77" s="46"/>
      <c r="L77" s="46"/>
      <c r="N77" s="46"/>
      <c r="R77" s="46"/>
    </row>
    <row r="78" spans="1:22">
      <c r="A78" s="466" t="s">
        <v>287</v>
      </c>
      <c r="B78" s="466"/>
      <c r="C78" s="466"/>
      <c r="D78" s="466"/>
      <c r="E78" s="466"/>
      <c r="F78" s="466"/>
      <c r="G78" s="466"/>
      <c r="H78" s="466"/>
      <c r="I78" s="466"/>
      <c r="J78" s="466"/>
      <c r="K78" s="466"/>
      <c r="L78" s="466"/>
      <c r="M78" s="466"/>
      <c r="N78" s="466"/>
      <c r="O78" s="466"/>
      <c r="P78" s="466"/>
      <c r="Q78" s="466"/>
      <c r="R78" s="466"/>
    </row>
    <row r="79" spans="1:22">
      <c r="L79" s="46"/>
    </row>
    <row r="80" spans="1:22" ht="16.5" thickBot="1">
      <c r="F80" s="442" t="s">
        <v>285</v>
      </c>
      <c r="L80" s="444" t="s">
        <v>261</v>
      </c>
      <c r="R80" s="444" t="s">
        <v>261</v>
      </c>
    </row>
    <row r="81" spans="1:22">
      <c r="F81" s="442" t="s">
        <v>262</v>
      </c>
      <c r="J81" s="442" t="s">
        <v>32</v>
      </c>
      <c r="L81" s="442" t="s">
        <v>263</v>
      </c>
      <c r="N81" s="442" t="s">
        <v>287</v>
      </c>
      <c r="P81" s="442" t="s">
        <v>32</v>
      </c>
      <c r="R81" s="442" t="s">
        <v>264</v>
      </c>
      <c r="T81" s="244" t="s">
        <v>288</v>
      </c>
      <c r="U81" s="28"/>
      <c r="V81" s="96"/>
    </row>
    <row r="82" spans="1:22">
      <c r="F82" s="136">
        <v>46387</v>
      </c>
      <c r="H82" s="5" t="s">
        <v>265</v>
      </c>
      <c r="J82" s="5" t="s">
        <v>35</v>
      </c>
      <c r="L82" s="5" t="s">
        <v>266</v>
      </c>
      <c r="N82" s="5" t="s">
        <v>265</v>
      </c>
      <c r="P82" s="5" t="s">
        <v>35</v>
      </c>
      <c r="R82" s="5" t="s">
        <v>266</v>
      </c>
      <c r="T82" s="97" t="s">
        <v>279</v>
      </c>
      <c r="V82" s="98">
        <f>'Sch 1 - Phased'!W16-L91</f>
        <v>19197</v>
      </c>
    </row>
    <row r="83" spans="1:22">
      <c r="A83" s="57">
        <v>1</v>
      </c>
      <c r="B83" t="s">
        <v>73</v>
      </c>
      <c r="T83" s="97" t="s">
        <v>244</v>
      </c>
      <c r="V83" s="98">
        <f>L92*0</f>
        <v>0</v>
      </c>
    </row>
    <row r="84" spans="1:22">
      <c r="A84" s="57">
        <v>2</v>
      </c>
      <c r="C84" s="2" t="s">
        <v>267</v>
      </c>
      <c r="F84" s="45">
        <f>R61</f>
        <v>12995019</v>
      </c>
      <c r="H84" s="45"/>
      <c r="L84" s="45">
        <f t="shared" ref="L84:L85" si="10">+H84+F84</f>
        <v>12995019</v>
      </c>
      <c r="N84" s="45">
        <f>+N86</f>
        <v>1302282</v>
      </c>
      <c r="R84" s="45">
        <f t="shared" ref="R84:R85" si="11">+L84+N84</f>
        <v>14297301</v>
      </c>
      <c r="T84" s="30"/>
      <c r="V84" s="115"/>
    </row>
    <row r="85" spans="1:22">
      <c r="A85" s="57">
        <v>3</v>
      </c>
      <c r="C85" t="s">
        <v>75</v>
      </c>
      <c r="F85" s="46">
        <f>R62</f>
        <v>113737</v>
      </c>
      <c r="H85" s="46"/>
      <c r="L85" s="46">
        <f t="shared" si="10"/>
        <v>113737</v>
      </c>
      <c r="N85" s="46"/>
      <c r="R85" s="46">
        <f t="shared" si="11"/>
        <v>113737</v>
      </c>
      <c r="T85" s="97" t="s">
        <v>42</v>
      </c>
      <c r="V85" s="98">
        <f>'Sch 1 - Phased'!W17</f>
        <v>2523157</v>
      </c>
    </row>
    <row r="86" spans="1:22">
      <c r="A86" s="57">
        <v>4</v>
      </c>
      <c r="D86" t="s">
        <v>76</v>
      </c>
      <c r="F86" s="94">
        <f>SUM(F84:F85)</f>
        <v>13108756</v>
      </c>
      <c r="H86" s="94">
        <f>SUM(H84:H85)</f>
        <v>0</v>
      </c>
      <c r="L86" s="94">
        <f>SUM(L84:L85)</f>
        <v>13108756</v>
      </c>
      <c r="N86" s="94">
        <f>'Sch 1 - Phased'!W31</f>
        <v>1302282</v>
      </c>
      <c r="P86" s="1">
        <v>1</v>
      </c>
      <c r="R86" s="94">
        <f>SUM(R84:R85)</f>
        <v>14411038</v>
      </c>
      <c r="T86" s="97" t="s">
        <v>43</v>
      </c>
      <c r="U86" s="61"/>
      <c r="V86" s="98">
        <f>'Sch 1 - Phased'!W18</f>
        <v>678165</v>
      </c>
    </row>
    <row r="87" spans="1:22">
      <c r="F87" s="46"/>
      <c r="H87" s="46"/>
      <c r="L87" s="46"/>
      <c r="N87" s="46"/>
      <c r="R87" s="46"/>
      <c r="T87" s="30"/>
      <c r="V87" s="115"/>
    </row>
    <row r="88" spans="1:22">
      <c r="A88" s="57">
        <v>5</v>
      </c>
      <c r="B88" t="s">
        <v>77</v>
      </c>
      <c r="F88" s="46">
        <f>SUM(R65:R65)</f>
        <v>9584595</v>
      </c>
      <c r="H88" s="46"/>
      <c r="L88" s="46">
        <f>F88+H88</f>
        <v>9584595</v>
      </c>
      <c r="N88" s="46"/>
      <c r="R88" s="46">
        <f>L88+N88</f>
        <v>9584595</v>
      </c>
      <c r="T88" s="97" t="s">
        <v>44</v>
      </c>
      <c r="U88" s="61"/>
      <c r="V88" s="98">
        <f>'Sch 1 - Phased'!W19</f>
        <v>0</v>
      </c>
    </row>
    <row r="89" spans="1:22">
      <c r="A89" s="57">
        <v>6</v>
      </c>
      <c r="C89" s="2" t="s">
        <v>129</v>
      </c>
      <c r="D89" s="2"/>
      <c r="F89" s="46">
        <f>SUM(R66:R66)</f>
        <v>99833</v>
      </c>
      <c r="H89" s="46"/>
      <c r="J89" s="214"/>
      <c r="L89" s="46">
        <f t="shared" ref="L89" si="12">+F89+H89</f>
        <v>99833</v>
      </c>
      <c r="N89" s="46"/>
      <c r="R89" s="46">
        <f t="shared" ref="R89" si="13">+L89+N89</f>
        <v>99833</v>
      </c>
      <c r="T89" s="72" t="s">
        <v>281</v>
      </c>
      <c r="V89" s="98">
        <v>0</v>
      </c>
    </row>
    <row r="90" spans="1:22">
      <c r="F90" s="46"/>
      <c r="H90" s="46"/>
      <c r="L90" s="46"/>
      <c r="N90" s="46"/>
      <c r="R90" s="46"/>
      <c r="T90" s="30"/>
      <c r="V90" s="115"/>
    </row>
    <row r="91" spans="1:22">
      <c r="A91" s="57">
        <v>7</v>
      </c>
      <c r="B91" t="s">
        <v>201</v>
      </c>
      <c r="F91" s="46">
        <f>R68</f>
        <v>980803</v>
      </c>
      <c r="H91" s="46"/>
      <c r="L91" s="46">
        <f>+F91+H91</f>
        <v>980803</v>
      </c>
      <c r="N91" s="46"/>
      <c r="O91" s="2"/>
      <c r="R91" s="46">
        <f>+L91+N91</f>
        <v>980803</v>
      </c>
      <c r="T91" s="97" t="s">
        <v>282</v>
      </c>
      <c r="U91" s="61"/>
      <c r="V91" s="98">
        <f>'Sch 1 - Phased'!W23+'Sch 1 - Phased'!W24</f>
        <v>-67404</v>
      </c>
    </row>
    <row r="92" spans="1:22">
      <c r="A92" s="57">
        <v>8</v>
      </c>
      <c r="B92" s="2" t="str">
        <f>B69</f>
        <v>Payment in Lieu of Taxes</v>
      </c>
      <c r="F92" s="46">
        <f>R69</f>
        <v>592692</v>
      </c>
      <c r="H92" s="46"/>
      <c r="L92" s="46">
        <f>+F92+H92</f>
        <v>592692</v>
      </c>
      <c r="N92" s="46"/>
      <c r="R92" s="46">
        <f>+L92+N92</f>
        <v>592692</v>
      </c>
      <c r="T92" s="30"/>
      <c r="U92" s="61"/>
      <c r="V92" s="99">
        <f>SUM(V82:V91)</f>
        <v>3153115</v>
      </c>
    </row>
    <row r="93" spans="1:22">
      <c r="B93" s="2"/>
      <c r="F93" s="46"/>
      <c r="H93" s="46"/>
      <c r="L93" s="46"/>
      <c r="N93" s="46"/>
      <c r="R93" s="46"/>
      <c r="T93" s="30"/>
      <c r="V93" s="115"/>
    </row>
    <row r="94" spans="1:22">
      <c r="A94" s="57">
        <v>9</v>
      </c>
      <c r="D94" t="s">
        <v>245</v>
      </c>
      <c r="F94" s="94">
        <f>SUM(F88:F93)</f>
        <v>11257923</v>
      </c>
      <c r="H94" s="94">
        <f>SUM(H88:H93)</f>
        <v>0</v>
      </c>
      <c r="L94" s="94">
        <f>SUM(L88:L93)</f>
        <v>11257923</v>
      </c>
      <c r="N94" s="94">
        <f>SUM(N88:N93)</f>
        <v>0</v>
      </c>
      <c r="R94" s="94">
        <f>SUM(R88:R93)</f>
        <v>11257923</v>
      </c>
      <c r="T94" s="97" t="s">
        <v>283</v>
      </c>
      <c r="V94" s="98">
        <f>R96</f>
        <v>3153115</v>
      </c>
    </row>
    <row r="95" spans="1:22">
      <c r="F95" s="46"/>
      <c r="H95" s="46"/>
      <c r="L95" s="46"/>
      <c r="N95" s="46"/>
      <c r="R95" s="46"/>
      <c r="T95" s="30"/>
      <c r="V95" s="115"/>
    </row>
    <row r="96" spans="1:22" ht="16.5" thickBot="1">
      <c r="A96" s="57">
        <v>10</v>
      </c>
      <c r="B96" t="s">
        <v>117</v>
      </c>
      <c r="F96" s="48">
        <f>+F86-F94</f>
        <v>1850833</v>
      </c>
      <c r="H96" s="48">
        <f>+H86-H94</f>
        <v>0</v>
      </c>
      <c r="L96" s="48">
        <f>+L86-L94</f>
        <v>1850833</v>
      </c>
      <c r="N96" s="48">
        <f>+N86-N94</f>
        <v>1302282</v>
      </c>
      <c r="R96" s="48">
        <f>+R86-R94</f>
        <v>3153115</v>
      </c>
      <c r="T96" s="97" t="s">
        <v>202</v>
      </c>
      <c r="U96" s="61"/>
      <c r="V96" s="100">
        <f>+V92-V94</f>
        <v>0</v>
      </c>
    </row>
    <row r="97" spans="1:22" ht="17.25" thickTop="1" thickBot="1">
      <c r="T97" s="31"/>
      <c r="U97" s="101"/>
      <c r="V97" s="102"/>
    </row>
    <row r="98" spans="1:22">
      <c r="R98" s="26" t="str">
        <f>R$1</f>
        <v>OUCC Attachment CFS-1</v>
      </c>
    </row>
    <row r="99" spans="1:22">
      <c r="R99" s="26" t="s">
        <v>256</v>
      </c>
    </row>
    <row r="100" spans="1:22">
      <c r="R100" s="26" t="s">
        <v>289</v>
      </c>
    </row>
    <row r="101" spans="1:22" ht="20.25">
      <c r="A101" s="453" t="str">
        <f>A$4</f>
        <v>City of Anderson</v>
      </c>
      <c r="B101" s="453"/>
      <c r="C101" s="453"/>
      <c r="D101" s="453"/>
      <c r="E101" s="453"/>
      <c r="F101" s="453"/>
      <c r="G101" s="453"/>
      <c r="H101" s="453"/>
      <c r="I101" s="453"/>
      <c r="J101" s="453"/>
      <c r="K101" s="453"/>
      <c r="L101" s="453"/>
      <c r="M101" s="453"/>
      <c r="N101" s="453"/>
      <c r="O101" s="453"/>
      <c r="P101" s="453"/>
      <c r="Q101" s="453"/>
      <c r="R101" s="453"/>
    </row>
    <row r="102" spans="1:22" ht="18.75">
      <c r="A102" s="454" t="str">
        <f>A$5</f>
        <v>CAUSE NUMBER 46171</v>
      </c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</row>
    <row r="103" spans="1:22">
      <c r="A103"/>
    </row>
    <row r="104" spans="1:22">
      <c r="A104" s="459" t="s">
        <v>258</v>
      </c>
      <c r="B104" s="459"/>
      <c r="C104" s="459"/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59"/>
      <c r="O104" s="459"/>
      <c r="P104" s="459"/>
      <c r="Q104" s="459"/>
      <c r="R104" s="459"/>
    </row>
    <row r="105" spans="1:22">
      <c r="A105" s="444"/>
      <c r="B105" s="444"/>
      <c r="C105" s="444"/>
      <c r="D105" s="444"/>
      <c r="E105" s="444"/>
      <c r="F105" s="444"/>
      <c r="G105" s="444"/>
      <c r="H105" s="444"/>
      <c r="I105" s="444"/>
      <c r="J105" s="444"/>
      <c r="K105" s="444"/>
      <c r="L105" s="444"/>
      <c r="M105" s="444"/>
      <c r="N105" s="444"/>
      <c r="O105" s="444"/>
      <c r="P105" s="444"/>
      <c r="Q105" s="444"/>
      <c r="R105" s="444"/>
    </row>
    <row r="106" spans="1:22">
      <c r="A106" s="466" t="s">
        <v>290</v>
      </c>
      <c r="B106" s="466"/>
      <c r="C106" s="466"/>
      <c r="D106" s="466"/>
      <c r="E106" s="466"/>
      <c r="F106" s="466"/>
      <c r="G106" s="466"/>
      <c r="H106" s="466"/>
      <c r="I106" s="466"/>
      <c r="J106" s="466"/>
      <c r="K106" s="466"/>
      <c r="L106" s="466"/>
      <c r="M106" s="466"/>
      <c r="N106" s="466"/>
      <c r="O106" s="466"/>
      <c r="P106" s="466"/>
      <c r="Q106" s="466"/>
      <c r="R106" s="466"/>
    </row>
    <row r="108" spans="1:22" ht="16.5" thickBot="1">
      <c r="F108" s="442" t="s">
        <v>287</v>
      </c>
      <c r="L108" s="444" t="s">
        <v>261</v>
      </c>
      <c r="R108" s="444" t="s">
        <v>261</v>
      </c>
    </row>
    <row r="109" spans="1:22">
      <c r="F109" s="442" t="s">
        <v>262</v>
      </c>
      <c r="J109" s="442" t="s">
        <v>32</v>
      </c>
      <c r="L109" s="442" t="s">
        <v>263</v>
      </c>
      <c r="N109" s="442" t="s">
        <v>290</v>
      </c>
      <c r="P109" s="442" t="s">
        <v>32</v>
      </c>
      <c r="R109" s="442" t="s">
        <v>264</v>
      </c>
      <c r="T109" s="244" t="s">
        <v>291</v>
      </c>
      <c r="U109" s="28"/>
      <c r="V109" s="96"/>
    </row>
    <row r="110" spans="1:22">
      <c r="F110" s="136">
        <v>46752</v>
      </c>
      <c r="H110" s="5" t="s">
        <v>265</v>
      </c>
      <c r="J110" s="5" t="s">
        <v>35</v>
      </c>
      <c r="L110" s="5" t="s">
        <v>266</v>
      </c>
      <c r="N110" s="5" t="s">
        <v>265</v>
      </c>
      <c r="P110" s="5" t="s">
        <v>35</v>
      </c>
      <c r="R110" s="5" t="s">
        <v>266</v>
      </c>
      <c r="T110" s="97" t="s">
        <v>279</v>
      </c>
      <c r="V110" s="98">
        <f>'Sch 1 - Phased'!G51-L119</f>
        <v>19197</v>
      </c>
    </row>
    <row r="111" spans="1:22">
      <c r="A111" s="57">
        <v>1</v>
      </c>
      <c r="B111" t="s">
        <v>73</v>
      </c>
      <c r="T111" s="97" t="s">
        <v>244</v>
      </c>
      <c r="V111" s="98">
        <f>L120*0</f>
        <v>0</v>
      </c>
    </row>
    <row r="112" spans="1:22">
      <c r="A112" s="57">
        <v>2</v>
      </c>
      <c r="C112" s="2" t="s">
        <v>267</v>
      </c>
      <c r="F112" s="45">
        <f>R84</f>
        <v>14297301</v>
      </c>
      <c r="H112" s="45"/>
      <c r="L112" s="45">
        <f t="shared" ref="L112:L113" si="14">+H112+F112</f>
        <v>14297301</v>
      </c>
      <c r="N112" s="45">
        <f>+N114</f>
        <v>2734941</v>
      </c>
      <c r="R112" s="45">
        <f t="shared" ref="R112:R113" si="15">+L112+N112</f>
        <v>17032242</v>
      </c>
      <c r="T112" s="30"/>
      <c r="V112" s="115"/>
    </row>
    <row r="113" spans="1:22">
      <c r="A113" s="57">
        <v>3</v>
      </c>
      <c r="C113" t="s">
        <v>75</v>
      </c>
      <c r="F113" s="46">
        <f>R85</f>
        <v>113737</v>
      </c>
      <c r="H113" s="46"/>
      <c r="L113" s="46">
        <f t="shared" si="14"/>
        <v>113737</v>
      </c>
      <c r="N113" s="46"/>
      <c r="R113" s="46">
        <f t="shared" si="15"/>
        <v>113737</v>
      </c>
      <c r="T113" s="97" t="s">
        <v>42</v>
      </c>
      <c r="V113" s="98">
        <f>'Sch 1 - Phased'!G52</f>
        <v>5071582</v>
      </c>
    </row>
    <row r="114" spans="1:22">
      <c r="A114" s="57">
        <v>4</v>
      </c>
      <c r="D114" t="s">
        <v>76</v>
      </c>
      <c r="F114" s="94">
        <f>SUM(F112:F113)</f>
        <v>14411038</v>
      </c>
      <c r="H114" s="94">
        <f>SUM(H112:H113)</f>
        <v>0</v>
      </c>
      <c r="L114" s="94">
        <f>SUM(L112:L113)</f>
        <v>14411038</v>
      </c>
      <c r="N114" s="94">
        <f>'Sch 1 - Phased'!G66</f>
        <v>2734941</v>
      </c>
      <c r="P114" s="1">
        <v>1</v>
      </c>
      <c r="R114" s="94">
        <f>SUM(R112:R113)</f>
        <v>17145979</v>
      </c>
      <c r="T114" s="97" t="s">
        <v>43</v>
      </c>
      <c r="U114" s="61"/>
      <c r="V114" s="98">
        <f>'Sch 1 - Phased'!G53</f>
        <v>864681</v>
      </c>
    </row>
    <row r="115" spans="1:22">
      <c r="F115" s="46"/>
      <c r="H115" s="46"/>
      <c r="L115" s="46"/>
      <c r="N115" s="46"/>
      <c r="R115" s="46"/>
      <c r="T115" s="30"/>
      <c r="V115" s="115"/>
    </row>
    <row r="116" spans="1:22">
      <c r="A116" s="57">
        <v>5</v>
      </c>
      <c r="B116" t="s">
        <v>77</v>
      </c>
      <c r="F116" s="46">
        <f>SUM(R88:R88)</f>
        <v>9584595</v>
      </c>
      <c r="H116" s="46"/>
      <c r="L116" s="46">
        <f>F116+H116</f>
        <v>9584595</v>
      </c>
      <c r="N116" s="46"/>
      <c r="R116" s="46">
        <f>L116+N116</f>
        <v>9584595</v>
      </c>
      <c r="T116" s="97" t="s">
        <v>44</v>
      </c>
      <c r="U116" s="61"/>
      <c r="V116" s="98">
        <f>'Sch 1 - Phased'!G54</f>
        <v>0</v>
      </c>
    </row>
    <row r="117" spans="1:22">
      <c r="A117" s="57">
        <v>6</v>
      </c>
      <c r="C117" s="2" t="s">
        <v>129</v>
      </c>
      <c r="D117" s="2"/>
      <c r="F117" s="46">
        <f>SUM(R89:R89)</f>
        <v>99833</v>
      </c>
      <c r="H117" s="46"/>
      <c r="J117" s="214"/>
      <c r="L117" s="46">
        <f t="shared" ref="L117" si="16">+F117+H117</f>
        <v>99833</v>
      </c>
      <c r="N117" s="46"/>
      <c r="R117" s="46">
        <f t="shared" ref="R117" si="17">+L117+N117</f>
        <v>99833</v>
      </c>
      <c r="T117" s="72" t="s">
        <v>281</v>
      </c>
      <c r="V117" s="98"/>
    </row>
    <row r="118" spans="1:22">
      <c r="F118" s="46"/>
      <c r="H118" s="46"/>
      <c r="L118" s="46"/>
      <c r="N118" s="46"/>
      <c r="R118" s="46"/>
      <c r="T118" s="30"/>
      <c r="V118" s="115"/>
    </row>
    <row r="119" spans="1:22">
      <c r="A119" s="57">
        <v>7</v>
      </c>
      <c r="B119" t="s">
        <v>201</v>
      </c>
      <c r="F119" s="46">
        <f>R91</f>
        <v>980803</v>
      </c>
      <c r="H119" s="46"/>
      <c r="L119" s="46">
        <f>+F119+H119</f>
        <v>980803</v>
      </c>
      <c r="N119" s="46"/>
      <c r="O119" s="2"/>
      <c r="R119" s="46">
        <f>+L119+N119</f>
        <v>980803</v>
      </c>
      <c r="T119" s="97" t="s">
        <v>282</v>
      </c>
      <c r="U119" s="61"/>
      <c r="V119" s="98">
        <f>'Sch 1 - Phased'!G58+'Sch 1 - Phased'!G59</f>
        <v>-67404</v>
      </c>
    </row>
    <row r="120" spans="1:22">
      <c r="A120" s="57">
        <v>8</v>
      </c>
      <c r="B120" s="2" t="str">
        <f>B92</f>
        <v>Payment in Lieu of Taxes</v>
      </c>
      <c r="F120" s="46">
        <f>R92</f>
        <v>592692</v>
      </c>
      <c r="H120" s="46"/>
      <c r="L120" s="46">
        <f>+F120+H120</f>
        <v>592692</v>
      </c>
      <c r="N120" s="46"/>
      <c r="R120" s="46">
        <f>+L120+N120</f>
        <v>592692</v>
      </c>
      <c r="T120" s="30"/>
      <c r="U120" s="61"/>
      <c r="V120" s="99">
        <f>SUM(V110:V119)</f>
        <v>5888056</v>
      </c>
    </row>
    <row r="121" spans="1:22">
      <c r="B121" s="2"/>
      <c r="F121" s="46"/>
      <c r="H121" s="46"/>
      <c r="L121" s="46"/>
      <c r="N121" s="46"/>
      <c r="R121" s="46"/>
      <c r="T121" s="30"/>
      <c r="V121" s="115"/>
    </row>
    <row r="122" spans="1:22">
      <c r="A122" s="57">
        <v>9</v>
      </c>
      <c r="D122" t="s">
        <v>245</v>
      </c>
      <c r="F122" s="94">
        <f>SUM(F116:F121)</f>
        <v>11257923</v>
      </c>
      <c r="H122" s="94">
        <f>SUM(H116:H121)</f>
        <v>0</v>
      </c>
      <c r="L122" s="94">
        <f>SUM(L116:L121)</f>
        <v>11257923</v>
      </c>
      <c r="N122" s="94">
        <f>SUM(N116:N121)</f>
        <v>0</v>
      </c>
      <c r="R122" s="94">
        <f>SUM(R116:R121)</f>
        <v>11257923</v>
      </c>
      <c r="T122" s="97" t="s">
        <v>283</v>
      </c>
      <c r="V122" s="98">
        <f>R124</f>
        <v>5888056</v>
      </c>
    </row>
    <row r="123" spans="1:22">
      <c r="F123" s="46"/>
      <c r="H123" s="46"/>
      <c r="L123" s="46"/>
      <c r="N123" s="46"/>
      <c r="R123" s="46"/>
      <c r="T123" s="30"/>
      <c r="V123" s="115"/>
    </row>
    <row r="124" spans="1:22" ht="16.5" thickBot="1">
      <c r="A124" s="57">
        <v>10</v>
      </c>
      <c r="B124" t="s">
        <v>117</v>
      </c>
      <c r="F124" s="48">
        <f>+F114-F122</f>
        <v>3153115</v>
      </c>
      <c r="H124" s="48">
        <f>+H114-H122</f>
        <v>0</v>
      </c>
      <c r="L124" s="48">
        <f>+L114-L122</f>
        <v>3153115</v>
      </c>
      <c r="N124" s="48">
        <f>+N114-N122</f>
        <v>2734941</v>
      </c>
      <c r="R124" s="48">
        <f>+R114-R122</f>
        <v>5888056</v>
      </c>
      <c r="T124" s="97" t="s">
        <v>202</v>
      </c>
      <c r="U124" s="61"/>
      <c r="V124" s="100">
        <f>+V120-V122</f>
        <v>0</v>
      </c>
    </row>
    <row r="125" spans="1:22" ht="17.25" thickTop="1" thickBot="1">
      <c r="F125" s="219"/>
      <c r="H125" s="219"/>
      <c r="L125" s="219"/>
      <c r="N125" s="219"/>
      <c r="R125" s="219"/>
      <c r="T125" s="31"/>
      <c r="U125" s="101"/>
      <c r="V125" s="102"/>
    </row>
    <row r="126" spans="1:22">
      <c r="F126" s="219"/>
      <c r="H126" s="219"/>
      <c r="L126" s="219"/>
      <c r="N126" s="219"/>
      <c r="R126" s="219"/>
    </row>
    <row r="127" spans="1:22">
      <c r="F127" s="219"/>
      <c r="H127" s="219"/>
      <c r="L127" s="219"/>
      <c r="N127" s="219"/>
      <c r="R127" s="219"/>
    </row>
    <row r="129" spans="1:22">
      <c r="A129" s="466" t="s">
        <v>292</v>
      </c>
      <c r="B129" s="466"/>
      <c r="C129" s="466"/>
      <c r="D129" s="466"/>
      <c r="E129" s="466"/>
      <c r="F129" s="466"/>
      <c r="G129" s="466"/>
      <c r="H129" s="466"/>
      <c r="I129" s="466"/>
      <c r="J129" s="466"/>
      <c r="K129" s="466"/>
      <c r="L129" s="466"/>
      <c r="M129" s="466"/>
      <c r="N129" s="466"/>
      <c r="O129" s="466"/>
      <c r="P129" s="466"/>
      <c r="Q129" s="466"/>
      <c r="R129" s="466"/>
    </row>
    <row r="130" spans="1:22" ht="16.5" thickBot="1"/>
    <row r="131" spans="1:22">
      <c r="F131" s="442" t="s">
        <v>290</v>
      </c>
      <c r="L131" s="444" t="s">
        <v>261</v>
      </c>
      <c r="R131" s="444" t="s">
        <v>261</v>
      </c>
      <c r="T131" s="95" t="s">
        <v>293</v>
      </c>
      <c r="U131" s="28"/>
      <c r="V131" s="96"/>
    </row>
    <row r="132" spans="1:22">
      <c r="F132" s="442" t="s">
        <v>262</v>
      </c>
      <c r="J132" s="442" t="s">
        <v>32</v>
      </c>
      <c r="L132" s="442" t="s">
        <v>263</v>
      </c>
      <c r="N132" s="442" t="s">
        <v>292</v>
      </c>
      <c r="P132" s="442" t="s">
        <v>32</v>
      </c>
      <c r="R132" s="442" t="s">
        <v>264</v>
      </c>
      <c r="T132" s="97" t="s">
        <v>279</v>
      </c>
      <c r="V132" s="98">
        <f>'Sch 1 - Phased'!O51-'Sch 4 PF IS'!L142</f>
        <v>1861597</v>
      </c>
    </row>
    <row r="133" spans="1:22">
      <c r="F133" s="136">
        <v>47118</v>
      </c>
      <c r="H133" s="5" t="s">
        <v>265</v>
      </c>
      <c r="J133" s="5" t="s">
        <v>35</v>
      </c>
      <c r="L133" s="5" t="s">
        <v>266</v>
      </c>
      <c r="N133" s="5" t="s">
        <v>265</v>
      </c>
      <c r="P133" s="5" t="s">
        <v>35</v>
      </c>
      <c r="R133" s="5" t="s">
        <v>266</v>
      </c>
      <c r="T133" s="97" t="s">
        <v>244</v>
      </c>
      <c r="V133" s="98">
        <f>L143*0</f>
        <v>0</v>
      </c>
    </row>
    <row r="134" spans="1:22">
      <c r="A134" s="57">
        <v>1</v>
      </c>
      <c r="B134" t="s">
        <v>73</v>
      </c>
      <c r="T134" s="30"/>
      <c r="V134" s="115"/>
    </row>
    <row r="135" spans="1:22">
      <c r="A135" s="57">
        <v>2</v>
      </c>
      <c r="C135" s="2" t="s">
        <v>267</v>
      </c>
      <c r="F135" s="45">
        <f>R112</f>
        <v>17032242</v>
      </c>
      <c r="H135" s="45"/>
      <c r="L135" s="45">
        <f t="shared" ref="L135:L136" si="18">+H135+F135</f>
        <v>17032242</v>
      </c>
      <c r="N135" s="45">
        <f>+N137</f>
        <v>2190034</v>
      </c>
      <c r="R135" s="45">
        <f t="shared" ref="R135:R136" si="19">+L135+N135</f>
        <v>19222276</v>
      </c>
      <c r="T135" s="97" t="s">
        <v>42</v>
      </c>
      <c r="V135" s="98">
        <f>'Sch 1 - Phased'!O52</f>
        <v>5475335</v>
      </c>
    </row>
    <row r="136" spans="1:22">
      <c r="A136" s="57">
        <v>3</v>
      </c>
      <c r="C136" t="s">
        <v>75</v>
      </c>
      <c r="F136" s="46">
        <f t="shared" ref="F136" si="20">R113</f>
        <v>113737</v>
      </c>
      <c r="H136" s="46"/>
      <c r="L136" s="46">
        <f t="shared" si="18"/>
        <v>113737</v>
      </c>
      <c r="N136" s="46"/>
      <c r="R136" s="46">
        <f t="shared" si="19"/>
        <v>113737</v>
      </c>
      <c r="T136" s="30"/>
      <c r="V136" s="115"/>
    </row>
    <row r="137" spans="1:22">
      <c r="A137" s="57">
        <v>4</v>
      </c>
      <c r="D137" t="s">
        <v>76</v>
      </c>
      <c r="F137" s="94">
        <f>SUM(F135:F136)</f>
        <v>17145979</v>
      </c>
      <c r="H137" s="94">
        <f>SUM(H135:H136)</f>
        <v>0</v>
      </c>
      <c r="L137" s="94">
        <f>SUM(L135:L136)</f>
        <v>17145979</v>
      </c>
      <c r="N137" s="94">
        <f>+'Sch 1 - Phased'!O66</f>
        <v>2190034</v>
      </c>
      <c r="P137" s="1">
        <v>1</v>
      </c>
      <c r="R137" s="94">
        <f>SUM(R135:R136)</f>
        <v>19336013</v>
      </c>
      <c r="T137" s="97" t="s">
        <v>43</v>
      </c>
      <c r="U137" s="61"/>
      <c r="V137" s="98">
        <f>'Sch 1 - Phased'!O53</f>
        <v>908395</v>
      </c>
    </row>
    <row r="138" spans="1:22">
      <c r="F138" s="46"/>
      <c r="H138" s="46"/>
      <c r="L138" s="46"/>
      <c r="N138" s="46"/>
      <c r="R138" s="46"/>
      <c r="T138" s="30"/>
      <c r="V138" s="115"/>
    </row>
    <row r="139" spans="1:22">
      <c r="A139" s="57">
        <v>5</v>
      </c>
      <c r="B139" t="s">
        <v>77</v>
      </c>
      <c r="F139" s="46">
        <f>SUM(R116:R116)</f>
        <v>9584595</v>
      </c>
      <c r="H139" s="46"/>
      <c r="L139" s="46">
        <f>F139+H139</f>
        <v>9584595</v>
      </c>
      <c r="N139" s="46"/>
      <c r="R139" s="46">
        <f>L139+N139</f>
        <v>9584595</v>
      </c>
      <c r="T139" s="97" t="s">
        <v>44</v>
      </c>
      <c r="U139" s="61"/>
      <c r="V139" s="98">
        <f>'Sch 1 - Phased'!O54</f>
        <v>0</v>
      </c>
    </row>
    <row r="140" spans="1:22">
      <c r="A140" s="57">
        <v>6</v>
      </c>
      <c r="C140" s="2" t="s">
        <v>129</v>
      </c>
      <c r="F140" s="46">
        <f>SUM(R117:R117)</f>
        <v>99833</v>
      </c>
      <c r="H140" s="46">
        <f>'Sch 6 - Exp Adj'!I135</f>
        <v>-99833</v>
      </c>
      <c r="J140" s="214" t="s">
        <v>110</v>
      </c>
      <c r="L140" s="46">
        <f>F140+H140</f>
        <v>0</v>
      </c>
      <c r="N140" s="46"/>
      <c r="R140" s="46">
        <f>L140+N140</f>
        <v>0</v>
      </c>
      <c r="T140" s="72" t="s">
        <v>281</v>
      </c>
      <c r="V140" s="98">
        <v>0</v>
      </c>
    </row>
    <row r="141" spans="1:22">
      <c r="F141" s="46"/>
      <c r="H141" s="46"/>
      <c r="L141" s="46"/>
      <c r="N141" s="46"/>
      <c r="R141" s="46"/>
      <c r="T141" s="30"/>
      <c r="V141" s="115"/>
    </row>
    <row r="142" spans="1:22">
      <c r="A142" s="57">
        <v>7</v>
      </c>
      <c r="B142" t="s">
        <v>201</v>
      </c>
      <c r="F142" s="46">
        <f>R119</f>
        <v>980803</v>
      </c>
      <c r="H142" s="46"/>
      <c r="L142" s="46">
        <f>+F142+H142</f>
        <v>980803</v>
      </c>
      <c r="N142" s="46"/>
      <c r="O142" s="2"/>
      <c r="R142" s="46">
        <f>+L142+N142</f>
        <v>980803</v>
      </c>
      <c r="T142" s="97" t="s">
        <v>282</v>
      </c>
      <c r="U142" s="61"/>
      <c r="V142" s="98">
        <f>'Sch 1 - Phased'!O58+'Sch 1 - Phased'!O59</f>
        <v>-67404</v>
      </c>
    </row>
    <row r="143" spans="1:22">
      <c r="A143" s="57">
        <v>8</v>
      </c>
      <c r="B143" s="2" t="str">
        <f>B120</f>
        <v>Payment in Lieu of Taxes</v>
      </c>
      <c r="F143" s="46">
        <f>R120</f>
        <v>592692</v>
      </c>
      <c r="H143" s="46"/>
      <c r="L143" s="46">
        <f>+F143+H143</f>
        <v>592692</v>
      </c>
      <c r="N143" s="46"/>
      <c r="R143" s="46">
        <f>+L143+N143</f>
        <v>592692</v>
      </c>
      <c r="T143" s="30"/>
      <c r="U143" s="61"/>
      <c r="V143" s="99">
        <f>SUM(V132:V142)</f>
        <v>8177923</v>
      </c>
    </row>
    <row r="144" spans="1:22">
      <c r="B144" s="2"/>
      <c r="F144" s="46"/>
      <c r="H144" s="46"/>
      <c r="L144" s="46"/>
      <c r="N144" s="46"/>
      <c r="R144" s="46"/>
      <c r="T144" s="30"/>
      <c r="V144" s="115"/>
    </row>
    <row r="145" spans="1:22">
      <c r="A145" s="57">
        <v>9</v>
      </c>
      <c r="D145" t="s">
        <v>245</v>
      </c>
      <c r="F145" s="94">
        <f>SUM(F139:F144)</f>
        <v>11257923</v>
      </c>
      <c r="H145" s="94">
        <f>SUM(H139:H144)</f>
        <v>-99833</v>
      </c>
      <c r="L145" s="94">
        <f>SUM(L139:L144)</f>
        <v>11158090</v>
      </c>
      <c r="N145" s="94">
        <f>SUM(N139:N144)</f>
        <v>0</v>
      </c>
      <c r="R145" s="94">
        <f>SUM(R139:R144)</f>
        <v>11158090</v>
      </c>
      <c r="T145" s="97" t="s">
        <v>283</v>
      </c>
      <c r="V145" s="98">
        <f>R147</f>
        <v>8177923</v>
      </c>
    </row>
    <row r="146" spans="1:22">
      <c r="F146" s="46"/>
      <c r="H146" s="46"/>
      <c r="L146" s="46"/>
      <c r="N146" s="46"/>
      <c r="R146" s="46"/>
      <c r="T146" s="30"/>
      <c r="V146" s="115"/>
    </row>
    <row r="147" spans="1:22" ht="16.5" thickBot="1">
      <c r="A147" s="57">
        <v>10</v>
      </c>
      <c r="B147" t="s">
        <v>117</v>
      </c>
      <c r="F147" s="48">
        <f>+F137-F145</f>
        <v>5888056</v>
      </c>
      <c r="H147" s="48">
        <f>+H137-H145</f>
        <v>99833</v>
      </c>
      <c r="L147" s="48">
        <f>+L137-L145</f>
        <v>5987889</v>
      </c>
      <c r="N147" s="48">
        <f>+N137-N145</f>
        <v>2190034</v>
      </c>
      <c r="R147" s="48">
        <f>+R137-R145</f>
        <v>8177923</v>
      </c>
      <c r="T147" s="97" t="s">
        <v>202</v>
      </c>
      <c r="U147" s="61"/>
      <c r="V147" s="100">
        <f>+V143-V145</f>
        <v>0</v>
      </c>
    </row>
    <row r="148" spans="1:22" ht="17.25" thickTop="1" thickBot="1">
      <c r="T148" s="31"/>
      <c r="U148" s="101"/>
      <c r="V148" s="102"/>
    </row>
    <row r="157" spans="1:22">
      <c r="N157" s="139"/>
    </row>
  </sheetData>
  <mergeCells count="14">
    <mergeCell ref="A4:R4"/>
    <mergeCell ref="A5:R5"/>
    <mergeCell ref="A7:R7"/>
    <mergeCell ref="A50:R50"/>
    <mergeCell ref="A51:R51"/>
    <mergeCell ref="A129:R129"/>
    <mergeCell ref="A9:R9"/>
    <mergeCell ref="A78:R78"/>
    <mergeCell ref="A101:R101"/>
    <mergeCell ref="A102:R102"/>
    <mergeCell ref="A104:R104"/>
    <mergeCell ref="A106:R106"/>
    <mergeCell ref="A53:R53"/>
    <mergeCell ref="A55:R55"/>
  </mergeCells>
  <phoneticPr fontId="7" type="noConversion"/>
  <printOptions horizontalCentered="1"/>
  <pageMargins left="0.5" right="0.5" top="0.5" bottom="0.75" header="0.5" footer="0.5"/>
  <pageSetup scale="77" fitToHeight="0" orientation="portrait" r:id="rId1"/>
  <headerFooter alignWithMargins="0"/>
  <rowBreaks count="2" manualBreakCount="2">
    <brk id="46" max="17" man="1"/>
    <brk id="97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24"/>
  </sheetPr>
  <dimension ref="A1:I13"/>
  <sheetViews>
    <sheetView view="pageBreakPreview" zoomScale="106" zoomScaleNormal="125" zoomScaleSheetLayoutView="106" workbookViewId="0">
      <selection activeCell="B27" sqref="B27"/>
    </sheetView>
  </sheetViews>
  <sheetFormatPr defaultRowHeight="15.75"/>
  <sheetData>
    <row r="1" spans="1:9">
      <c r="A1" s="2"/>
      <c r="B1" s="2"/>
      <c r="C1" s="2"/>
      <c r="D1" s="2"/>
      <c r="E1" s="2"/>
      <c r="F1" s="2"/>
      <c r="G1" s="2"/>
      <c r="H1" s="2"/>
      <c r="I1" s="443" t="str">
        <f>+'Sch 1 - Phased'!W1</f>
        <v>OUCC Attachment CFS-1</v>
      </c>
    </row>
    <row r="2" spans="1:9">
      <c r="A2" s="2"/>
      <c r="B2" s="2"/>
      <c r="C2" s="2"/>
      <c r="D2" s="2"/>
      <c r="E2" s="2"/>
      <c r="F2" s="2"/>
      <c r="G2" s="2"/>
      <c r="H2" s="2"/>
      <c r="I2" s="443" t="s">
        <v>294</v>
      </c>
    </row>
    <row r="3" spans="1:9">
      <c r="A3" s="2"/>
      <c r="B3" s="2"/>
      <c r="C3" s="2"/>
      <c r="D3" s="2"/>
      <c r="E3" s="2"/>
      <c r="F3" s="2"/>
      <c r="G3" s="2"/>
      <c r="H3" s="2"/>
      <c r="I3" s="443" t="s">
        <v>295</v>
      </c>
    </row>
    <row r="4" spans="1:9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</row>
    <row r="5" spans="1:9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</row>
    <row r="6" spans="1:9">
      <c r="A6" s="442"/>
      <c r="B6" s="442"/>
      <c r="C6" s="442"/>
      <c r="D6" s="442"/>
      <c r="E6" s="442"/>
      <c r="F6" s="442"/>
      <c r="G6" s="442"/>
      <c r="H6" s="442"/>
      <c r="I6" s="442"/>
    </row>
    <row r="7" spans="1:9">
      <c r="A7" s="452" t="s">
        <v>296</v>
      </c>
      <c r="B7" s="452"/>
      <c r="C7" s="452"/>
      <c r="D7" s="452"/>
      <c r="E7" s="452"/>
      <c r="F7" s="452"/>
      <c r="G7" s="452"/>
      <c r="H7" s="452"/>
      <c r="I7" s="452"/>
    </row>
    <row r="9" spans="1:9">
      <c r="A9" s="468"/>
      <c r="B9" s="468"/>
      <c r="C9" s="468"/>
      <c r="D9" s="468"/>
      <c r="E9" s="468"/>
      <c r="F9" s="468"/>
      <c r="G9" s="468"/>
      <c r="H9" s="468"/>
      <c r="I9" s="468"/>
    </row>
    <row r="10" spans="1:9">
      <c r="A10" s="469"/>
      <c r="B10" s="469"/>
      <c r="C10" s="469"/>
      <c r="D10" s="469"/>
      <c r="E10" s="469"/>
      <c r="F10" s="469"/>
      <c r="G10" s="469"/>
      <c r="H10" s="469"/>
      <c r="I10" s="469"/>
    </row>
    <row r="13" spans="1:9" ht="39.950000000000003" customHeight="1">
      <c r="A13" s="467" t="s">
        <v>297</v>
      </c>
      <c r="B13" s="467"/>
      <c r="C13" s="467"/>
      <c r="D13" s="467"/>
      <c r="E13" s="467"/>
      <c r="F13" s="467"/>
      <c r="G13" s="467"/>
      <c r="H13" s="467"/>
      <c r="I13" s="467"/>
    </row>
  </sheetData>
  <mergeCells count="6">
    <mergeCell ref="A13:I13"/>
    <mergeCell ref="A4:I4"/>
    <mergeCell ref="A5:I5"/>
    <mergeCell ref="A7:I7"/>
    <mergeCell ref="A9:I9"/>
    <mergeCell ref="A10:I10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9"/>
  </sheetPr>
  <dimension ref="A1:AB136"/>
  <sheetViews>
    <sheetView view="pageBreakPreview" topLeftCell="A85" zoomScale="130" zoomScaleNormal="100" zoomScaleSheetLayoutView="130" workbookViewId="0">
      <selection activeCell="B27" sqref="B27"/>
    </sheetView>
  </sheetViews>
  <sheetFormatPr defaultRowHeight="15.75"/>
  <cols>
    <col min="1" max="1" width="10.75" customWidth="1"/>
    <col min="2" max="2" width="1.625" customWidth="1"/>
    <col min="3" max="3" width="27.375" bestFit="1" customWidth="1"/>
    <col min="4" max="4" width="1.625" customWidth="1"/>
    <col min="5" max="5" width="14.625" bestFit="1" customWidth="1"/>
    <col min="6" max="6" width="1.625" customWidth="1"/>
    <col min="7" max="7" width="12.125" customWidth="1"/>
    <col min="8" max="8" width="1.625" customWidth="1"/>
    <col min="9" max="9" width="12.125" customWidth="1"/>
    <col min="11" max="11" width="14" customWidth="1"/>
    <col min="12" max="12" width="1.625" customWidth="1"/>
    <col min="13" max="13" width="11.125" bestFit="1" customWidth="1"/>
    <col min="14" max="14" width="1.625" customWidth="1"/>
    <col min="15" max="15" width="12.625" bestFit="1" customWidth="1"/>
    <col min="16" max="16" width="1.625" customWidth="1"/>
    <col min="17" max="17" width="10.125" bestFit="1" customWidth="1"/>
    <col min="18" max="18" width="1.625" customWidth="1"/>
    <col min="19" max="19" width="12.25" customWidth="1"/>
    <col min="20" max="20" width="1.625" customWidth="1"/>
    <col min="21" max="21" width="12.625" bestFit="1" customWidth="1"/>
  </cols>
  <sheetData>
    <row r="1" spans="1:19">
      <c r="A1" s="2"/>
      <c r="B1" s="2"/>
      <c r="C1" s="2"/>
      <c r="D1" s="2"/>
      <c r="E1" s="2"/>
      <c r="F1" s="2"/>
      <c r="G1" s="2"/>
      <c r="H1" s="2"/>
      <c r="I1" s="443" t="str">
        <f>+'Sch 1 - Phased'!W1</f>
        <v>OUCC Attachment CFS-1</v>
      </c>
    </row>
    <row r="2" spans="1:19">
      <c r="A2" s="2"/>
      <c r="B2" s="2"/>
      <c r="C2" s="2"/>
      <c r="D2" s="2"/>
      <c r="E2" s="2"/>
      <c r="F2" s="2"/>
      <c r="G2" s="2"/>
      <c r="H2" s="2"/>
      <c r="I2" s="443" t="s">
        <v>298</v>
      </c>
    </row>
    <row r="3" spans="1:19">
      <c r="A3" s="2"/>
      <c r="B3" s="2"/>
      <c r="C3" s="2"/>
      <c r="D3" s="2"/>
      <c r="E3" s="2"/>
      <c r="F3" s="2"/>
      <c r="G3" s="2"/>
      <c r="H3" s="2"/>
      <c r="I3" s="443" t="s">
        <v>28</v>
      </c>
    </row>
    <row r="4" spans="1:19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</row>
    <row r="5" spans="1:19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</row>
    <row r="6" spans="1:19">
      <c r="A6" s="442"/>
      <c r="B6" s="442"/>
      <c r="C6" s="442"/>
      <c r="D6" s="442"/>
      <c r="E6" s="442"/>
      <c r="F6" s="442"/>
      <c r="G6" s="442"/>
      <c r="H6" s="442"/>
      <c r="I6" s="442"/>
    </row>
    <row r="7" spans="1:19">
      <c r="A7" s="452" t="s">
        <v>299</v>
      </c>
      <c r="B7" s="452"/>
      <c r="C7" s="452"/>
      <c r="D7" s="452"/>
      <c r="E7" s="452"/>
      <c r="F7" s="452"/>
      <c r="G7" s="452"/>
      <c r="H7" s="452"/>
      <c r="I7" s="452"/>
    </row>
    <row r="8" spans="1:19">
      <c r="A8" s="442"/>
      <c r="B8" s="442"/>
      <c r="C8" s="442"/>
      <c r="D8" s="442"/>
      <c r="E8" s="442"/>
      <c r="F8" s="442"/>
      <c r="G8" s="442"/>
      <c r="H8" s="442"/>
      <c r="I8" s="442"/>
    </row>
    <row r="9" spans="1:19">
      <c r="A9" s="468" t="s">
        <v>80</v>
      </c>
      <c r="B9" s="468"/>
      <c r="C9" s="468"/>
      <c r="D9" s="468"/>
      <c r="E9" s="468"/>
      <c r="F9" s="468"/>
      <c r="G9" s="468"/>
      <c r="H9" s="468"/>
      <c r="I9" s="468"/>
    </row>
    <row r="10" spans="1:19">
      <c r="A10" s="469" t="s">
        <v>300</v>
      </c>
      <c r="B10" s="469"/>
      <c r="C10" s="469"/>
      <c r="D10" s="469"/>
      <c r="E10" s="469"/>
      <c r="F10" s="469"/>
      <c r="G10" s="469"/>
      <c r="H10" s="469"/>
      <c r="I10" s="469"/>
    </row>
    <row r="11" spans="1:19">
      <c r="A11" s="472" t="s">
        <v>301</v>
      </c>
      <c r="B11" s="472"/>
      <c r="C11" s="472"/>
      <c r="D11" s="472"/>
      <c r="E11" s="472"/>
      <c r="F11" s="472"/>
      <c r="G11" s="472"/>
      <c r="H11" s="472"/>
      <c r="I11" s="472"/>
    </row>
    <row r="12" spans="1:19">
      <c r="A12" s="442"/>
      <c r="B12" s="442"/>
      <c r="C12" s="442"/>
      <c r="D12" s="442"/>
      <c r="E12" s="442"/>
      <c r="F12" s="442"/>
      <c r="G12" s="442"/>
      <c r="H12" s="442"/>
      <c r="I12" s="442"/>
      <c r="M12" s="120"/>
      <c r="N12" s="120"/>
      <c r="O12" s="120"/>
      <c r="P12" s="120"/>
      <c r="Q12" s="120"/>
      <c r="R12" s="120"/>
      <c r="S12" s="120"/>
    </row>
    <row r="13" spans="1:19" ht="16.5" customHeight="1">
      <c r="A13" s="2" t="s">
        <v>302</v>
      </c>
      <c r="B13" s="442"/>
      <c r="C13" s="442"/>
      <c r="D13" s="442"/>
      <c r="E13" s="442"/>
      <c r="F13" s="442"/>
      <c r="G13" s="236">
        <f>ROUND('WP-4 Salaries &amp; Wages Expense'!O1055,0)</f>
        <v>2938650</v>
      </c>
      <c r="H13" s="442"/>
      <c r="I13" s="442"/>
      <c r="M13" s="24"/>
      <c r="N13" s="24"/>
      <c r="O13" s="24"/>
      <c r="P13" s="24"/>
      <c r="Q13" s="24"/>
      <c r="R13" s="24"/>
      <c r="S13" s="24"/>
    </row>
    <row r="14" spans="1:19">
      <c r="A14" s="2" t="s">
        <v>303</v>
      </c>
      <c r="B14" s="442"/>
      <c r="C14" s="442"/>
      <c r="D14" s="442"/>
      <c r="E14" s="442"/>
      <c r="F14" s="442"/>
      <c r="G14" s="234">
        <f>ROUND('WP-4 Salaries &amp; Wages Expense'!J1055*-1,0)</f>
        <v>-2736689</v>
      </c>
      <c r="H14" s="442"/>
      <c r="I14" s="442"/>
      <c r="M14" s="120"/>
      <c r="N14" s="120"/>
      <c r="O14" s="120"/>
      <c r="P14" s="120"/>
      <c r="Q14" s="120"/>
      <c r="R14" s="120"/>
      <c r="S14" s="120"/>
    </row>
    <row r="15" spans="1:19">
      <c r="B15" s="442"/>
      <c r="C15" s="442"/>
      <c r="D15" s="442"/>
      <c r="E15" s="442"/>
      <c r="F15" s="442"/>
      <c r="G15" s="442"/>
      <c r="H15" s="442"/>
      <c r="M15" s="279"/>
      <c r="N15" s="279"/>
      <c r="O15" s="279"/>
      <c r="P15" s="279"/>
      <c r="Q15" s="279"/>
      <c r="R15" s="279"/>
      <c r="S15" s="279"/>
    </row>
    <row r="16" spans="1:19" ht="16.5" thickBot="1">
      <c r="B16" s="442"/>
      <c r="C16" s="442"/>
      <c r="D16" s="33" t="s">
        <v>304</v>
      </c>
      <c r="E16" s="442"/>
      <c r="F16" s="442"/>
      <c r="G16" s="442"/>
      <c r="H16" s="442"/>
      <c r="I16" s="235">
        <f>SUM(G13:G14)</f>
        <v>201961</v>
      </c>
      <c r="M16" s="120"/>
      <c r="N16" s="120"/>
      <c r="O16" s="120"/>
      <c r="P16" s="120"/>
      <c r="Q16" s="120"/>
      <c r="R16" s="120"/>
      <c r="S16" s="120"/>
    </row>
    <row r="17" spans="1:19" ht="16.5" thickTop="1">
      <c r="B17" s="442"/>
      <c r="C17" s="442"/>
      <c r="D17" s="442"/>
      <c r="E17" s="442"/>
      <c r="F17" s="442"/>
      <c r="G17" s="442"/>
      <c r="H17" s="442"/>
      <c r="I17" s="442"/>
      <c r="M17" s="120"/>
      <c r="N17" s="120"/>
      <c r="O17" s="120"/>
      <c r="P17" s="120"/>
      <c r="Q17" s="120"/>
      <c r="R17" s="120"/>
      <c r="S17" s="120"/>
    </row>
    <row r="18" spans="1:19">
      <c r="A18" s="468" t="s">
        <v>82</v>
      </c>
      <c r="B18" s="468"/>
      <c r="C18" s="468"/>
      <c r="D18" s="468"/>
      <c r="E18" s="468"/>
      <c r="F18" s="468"/>
      <c r="G18" s="468"/>
      <c r="H18" s="468"/>
      <c r="I18" s="468"/>
      <c r="M18" s="120"/>
      <c r="N18" s="120"/>
      <c r="O18" s="120"/>
      <c r="P18" s="120"/>
      <c r="Q18" s="120"/>
      <c r="R18" s="120"/>
      <c r="S18" s="120"/>
    </row>
    <row r="19" spans="1:19">
      <c r="A19" s="469" t="s">
        <v>305</v>
      </c>
      <c r="B19" s="469"/>
      <c r="C19" s="469"/>
      <c r="D19" s="469"/>
      <c r="E19" s="469"/>
      <c r="F19" s="469"/>
      <c r="G19" s="469"/>
      <c r="H19" s="469"/>
      <c r="I19" s="469"/>
      <c r="M19" s="120"/>
      <c r="N19" s="120"/>
      <c r="O19" s="120"/>
      <c r="P19" s="120"/>
      <c r="Q19" s="120"/>
      <c r="R19" s="120"/>
      <c r="S19" s="120"/>
    </row>
    <row r="20" spans="1:19" ht="33" customHeight="1">
      <c r="A20" s="472" t="s">
        <v>306</v>
      </c>
      <c r="B20" s="472"/>
      <c r="C20" s="472"/>
      <c r="D20" s="472"/>
      <c r="E20" s="472"/>
      <c r="F20" s="472"/>
      <c r="G20" s="472"/>
      <c r="H20" s="472"/>
      <c r="I20" s="472"/>
      <c r="M20" s="120"/>
      <c r="N20" s="120"/>
      <c r="O20" s="120"/>
      <c r="P20" s="120"/>
      <c r="Q20" s="120"/>
      <c r="R20" s="120"/>
      <c r="S20" s="120"/>
    </row>
    <row r="21" spans="1:19">
      <c r="A21" s="442"/>
      <c r="B21" s="442"/>
      <c r="C21" s="442"/>
      <c r="D21" s="442"/>
      <c r="E21" s="442"/>
      <c r="F21" s="442"/>
      <c r="G21" s="442"/>
      <c r="H21" s="442"/>
      <c r="I21" s="442"/>
    </row>
    <row r="22" spans="1:19">
      <c r="A22" s="416" t="s">
        <v>307</v>
      </c>
      <c r="B22" s="442"/>
      <c r="C22" s="442"/>
      <c r="D22" s="442"/>
      <c r="E22" s="442"/>
      <c r="F22" s="442"/>
      <c r="G22" s="442"/>
      <c r="H22" s="442"/>
      <c r="I22" s="442"/>
    </row>
    <row r="23" spans="1:19">
      <c r="A23" s="92" t="s">
        <v>308</v>
      </c>
      <c r="B23" s="442"/>
      <c r="C23" s="442"/>
      <c r="D23" s="442"/>
      <c r="E23" s="414">
        <f>G13</f>
        <v>2938650</v>
      </c>
      <c r="F23" s="442"/>
      <c r="G23" s="442"/>
      <c r="H23" s="442"/>
      <c r="I23" s="442"/>
    </row>
    <row r="24" spans="1:19">
      <c r="A24" s="92" t="s">
        <v>309</v>
      </c>
      <c r="B24" s="442"/>
      <c r="C24" s="442"/>
      <c r="D24" s="442"/>
      <c r="E24" s="395">
        <v>0.03</v>
      </c>
      <c r="F24" s="442"/>
      <c r="G24" s="442"/>
      <c r="H24" s="442"/>
      <c r="I24" s="442"/>
    </row>
    <row r="25" spans="1:19" ht="6.75" customHeight="1">
      <c r="A25" s="417"/>
      <c r="B25" s="442"/>
      <c r="C25" s="442"/>
      <c r="D25" s="442"/>
      <c r="E25" s="442"/>
      <c r="F25" s="442"/>
      <c r="G25" s="442"/>
      <c r="H25" s="442"/>
      <c r="I25" s="442"/>
    </row>
    <row r="26" spans="1:19" ht="20.100000000000001" customHeight="1">
      <c r="A26" s="92" t="s">
        <v>310</v>
      </c>
      <c r="B26" s="446"/>
      <c r="C26" s="446"/>
      <c r="D26" s="446"/>
      <c r="E26" s="446"/>
      <c r="F26" s="442"/>
      <c r="G26" s="415">
        <f>E23*E24</f>
        <v>88159.5</v>
      </c>
      <c r="H26" s="442"/>
      <c r="I26" s="442"/>
      <c r="K26" s="237">
        <f>G26-'WP-4 Salaries &amp; Wages Expense'!Q1055</f>
        <v>-7.6054265082348138E-4</v>
      </c>
    </row>
    <row r="27" spans="1:19" ht="20.100000000000001" customHeight="1">
      <c r="A27" s="447"/>
      <c r="B27" s="447"/>
      <c r="C27" s="447"/>
      <c r="D27" s="447"/>
      <c r="E27" s="447"/>
      <c r="F27" s="442"/>
      <c r="G27" s="415"/>
      <c r="H27" s="442"/>
      <c r="I27" s="442"/>
      <c r="K27" s="237"/>
    </row>
    <row r="28" spans="1:19" ht="20.100000000000001" customHeight="1">
      <c r="A28" s="416" t="s">
        <v>311</v>
      </c>
      <c r="B28" s="447"/>
      <c r="C28" s="447"/>
      <c r="D28" s="447"/>
      <c r="E28" s="447"/>
      <c r="F28" s="442"/>
      <c r="G28" s="415"/>
      <c r="H28" s="442"/>
      <c r="I28" s="442"/>
      <c r="K28" s="237"/>
    </row>
    <row r="29" spans="1:19" ht="20.100000000000001" customHeight="1">
      <c r="A29" s="92" t="s">
        <v>312</v>
      </c>
      <c r="B29" s="447"/>
      <c r="C29" s="447"/>
      <c r="D29" s="447"/>
      <c r="E29" s="418">
        <f>'WP-4 Salaries &amp; Wages Expense'!S1055</f>
        <v>316859.21000000002</v>
      </c>
      <c r="F29" s="442"/>
      <c r="G29" s="415"/>
      <c r="H29" s="442"/>
      <c r="I29" s="442"/>
      <c r="K29" s="237"/>
    </row>
    <row r="30" spans="1:19" ht="20.100000000000001" customHeight="1">
      <c r="A30" s="92" t="s">
        <v>309</v>
      </c>
      <c r="E30" s="395">
        <v>0.03</v>
      </c>
      <c r="F30" s="442"/>
      <c r="G30" s="415"/>
      <c r="H30" s="442"/>
      <c r="I30" s="442"/>
      <c r="K30" s="237"/>
    </row>
    <row r="31" spans="1:19" ht="6" customHeight="1">
      <c r="B31" s="2"/>
      <c r="C31" s="2"/>
      <c r="D31" s="2"/>
      <c r="E31" s="2"/>
    </row>
    <row r="32" spans="1:19">
      <c r="A32" s="92" t="s">
        <v>313</v>
      </c>
      <c r="F32" s="442"/>
      <c r="G32" s="234">
        <f>E29*E30</f>
        <v>9505.7762999999995</v>
      </c>
      <c r="H32" s="442"/>
      <c r="I32" s="442"/>
      <c r="K32" s="141">
        <f>G32-'WP-4 Salaries &amp; Wages Expense'!T1055</f>
        <v>0</v>
      </c>
    </row>
    <row r="33" spans="1:13">
      <c r="A33" s="442"/>
      <c r="B33" s="442"/>
      <c r="C33" s="442"/>
      <c r="D33" s="442"/>
      <c r="E33" s="442"/>
      <c r="F33" s="442"/>
      <c r="G33" s="442"/>
      <c r="H33" s="442"/>
      <c r="M33" s="120"/>
    </row>
    <row r="34" spans="1:13" ht="16.5" thickBot="1">
      <c r="A34" s="442"/>
      <c r="B34" s="442"/>
      <c r="C34" s="442"/>
      <c r="D34" s="33" t="s">
        <v>304</v>
      </c>
      <c r="E34" s="442"/>
      <c r="F34" s="442"/>
      <c r="G34" s="442"/>
      <c r="H34" s="442"/>
      <c r="I34" s="235">
        <f>SUM(G26:G32)</f>
        <v>97665.276299999998</v>
      </c>
    </row>
    <row r="35" spans="1:13" ht="16.5" thickTop="1">
      <c r="A35" s="442"/>
      <c r="B35" s="442"/>
      <c r="C35" s="442"/>
      <c r="D35" s="33"/>
      <c r="E35" s="442"/>
      <c r="F35" s="442"/>
      <c r="G35" s="442"/>
      <c r="H35" s="442"/>
      <c r="I35" s="283"/>
    </row>
    <row r="36" spans="1:13">
      <c r="A36" s="2"/>
      <c r="B36" s="2"/>
      <c r="C36" s="2"/>
      <c r="D36" s="2"/>
      <c r="E36" s="2"/>
      <c r="F36" s="2"/>
      <c r="G36" s="2"/>
      <c r="H36" s="2"/>
      <c r="I36" s="443" t="str">
        <f>I$1</f>
        <v>OUCC Attachment CFS-1</v>
      </c>
    </row>
    <row r="37" spans="1:13">
      <c r="A37" s="2"/>
      <c r="B37" s="2"/>
      <c r="C37" s="2"/>
      <c r="D37" s="2"/>
      <c r="E37" s="2"/>
      <c r="F37" s="2"/>
      <c r="G37" s="2"/>
      <c r="H37" s="2"/>
      <c r="I37" s="443" t="s">
        <v>298</v>
      </c>
    </row>
    <row r="38" spans="1:13">
      <c r="A38" s="2"/>
      <c r="B38" s="2"/>
      <c r="C38" s="2"/>
      <c r="D38" s="2"/>
      <c r="E38" s="2"/>
      <c r="F38" s="2"/>
      <c r="G38" s="2"/>
      <c r="H38" s="2"/>
      <c r="I38" s="443" t="s">
        <v>55</v>
      </c>
    </row>
    <row r="39" spans="1:13" ht="20.25">
      <c r="A39" s="453" t="str">
        <f>+Inputs!$C$5</f>
        <v>City of Anderson</v>
      </c>
      <c r="B39" s="453"/>
      <c r="C39" s="453"/>
      <c r="D39" s="453"/>
      <c r="E39" s="453"/>
      <c r="F39" s="453"/>
      <c r="G39" s="453"/>
      <c r="H39" s="453"/>
      <c r="I39" s="453"/>
    </row>
    <row r="40" spans="1:13" ht="18.75">
      <c r="A40" s="454" t="str">
        <f>"CAUSE NUMBER "&amp;Inputs!$C$6</f>
        <v>CAUSE NUMBER 46171</v>
      </c>
      <c r="B40" s="454"/>
      <c r="C40" s="454"/>
      <c r="D40" s="454"/>
      <c r="E40" s="454"/>
      <c r="F40" s="454"/>
      <c r="G40" s="454"/>
      <c r="H40" s="454"/>
      <c r="I40" s="454"/>
    </row>
    <row r="41" spans="1:13">
      <c r="A41" s="442"/>
      <c r="B41" s="442"/>
      <c r="C41" s="442"/>
      <c r="D41" s="442"/>
      <c r="E41" s="442"/>
      <c r="F41" s="442"/>
      <c r="G41" s="442"/>
      <c r="H41" s="442"/>
      <c r="I41" s="442"/>
    </row>
    <row r="42" spans="1:13">
      <c r="A42" s="452" t="s">
        <v>299</v>
      </c>
      <c r="B42" s="452"/>
      <c r="C42" s="452"/>
      <c r="D42" s="452"/>
      <c r="E42" s="452"/>
      <c r="F42" s="452"/>
      <c r="G42" s="452"/>
      <c r="H42" s="452"/>
      <c r="I42" s="452"/>
    </row>
    <row r="43" spans="1:13">
      <c r="A43" s="442"/>
      <c r="B43" s="442"/>
      <c r="C43" s="442"/>
      <c r="D43" s="442"/>
      <c r="E43" s="442"/>
      <c r="F43" s="442"/>
      <c r="G43" s="442"/>
      <c r="H43" s="442"/>
      <c r="I43" s="442"/>
    </row>
    <row r="44" spans="1:13" s="243" customFormat="1">
      <c r="A44" s="468" t="s">
        <v>84</v>
      </c>
      <c r="B44" s="468"/>
      <c r="C44" s="468"/>
      <c r="D44" s="468"/>
      <c r="E44" s="468"/>
      <c r="F44" s="468"/>
      <c r="G44" s="468"/>
      <c r="H44" s="468"/>
      <c r="I44" s="468"/>
    </row>
    <row r="45" spans="1:13" s="243" customFormat="1">
      <c r="A45" s="469" t="s">
        <v>314</v>
      </c>
      <c r="B45" s="469"/>
      <c r="C45" s="469"/>
      <c r="D45" s="469"/>
      <c r="E45" s="469"/>
      <c r="F45" s="469"/>
      <c r="G45" s="469"/>
      <c r="H45" s="469"/>
      <c r="I45" s="469"/>
    </row>
    <row r="46" spans="1:13" ht="30.75" customHeight="1">
      <c r="A46" s="472" t="s">
        <v>315</v>
      </c>
      <c r="B46" s="472"/>
      <c r="C46" s="472"/>
      <c r="D46" s="472"/>
      <c r="E46" s="472"/>
      <c r="F46" s="472"/>
      <c r="G46" s="472"/>
      <c r="H46" s="472"/>
      <c r="I46" s="472"/>
    </row>
    <row r="47" spans="1:13">
      <c r="A47" s="442"/>
      <c r="B47" s="442"/>
      <c r="C47" s="442"/>
      <c r="D47" s="442"/>
      <c r="E47" s="442"/>
      <c r="F47" s="442"/>
      <c r="G47" s="442"/>
      <c r="H47" s="442"/>
      <c r="I47" s="442"/>
    </row>
    <row r="48" spans="1:13" s="243" customFormat="1">
      <c r="A48" s="233" t="s">
        <v>316</v>
      </c>
      <c r="B48" s="442"/>
      <c r="C48" s="442"/>
      <c r="D48" s="442"/>
      <c r="E48" s="442"/>
      <c r="F48" s="442"/>
      <c r="G48" s="139">
        <f>'WP-4 Salaries &amp; Wages Expense'!W1058</f>
        <v>33227.407499999972</v>
      </c>
      <c r="H48" s="442"/>
      <c r="I48" s="442"/>
    </row>
    <row r="49" spans="1:13">
      <c r="A49" s="233" t="s">
        <v>317</v>
      </c>
      <c r="B49" s="442"/>
      <c r="C49" s="442"/>
      <c r="D49" s="442"/>
      <c r="E49" s="442"/>
      <c r="F49" s="442"/>
      <c r="G49" s="398">
        <f>'WP-4 Salaries &amp; Wages Expense'!W1057</f>
        <v>-235113.98999999996</v>
      </c>
      <c r="H49" s="442"/>
      <c r="I49" s="442"/>
    </row>
    <row r="50" spans="1:13">
      <c r="A50" s="442"/>
      <c r="B50" s="442"/>
      <c r="C50" s="442"/>
      <c r="D50" s="442"/>
      <c r="E50" s="442"/>
      <c r="F50" s="442"/>
      <c r="G50" s="442"/>
      <c r="H50" s="442"/>
      <c r="I50" s="442"/>
      <c r="K50" s="141"/>
    </row>
    <row r="51" spans="1:13" ht="16.5" thickBot="1">
      <c r="A51" s="442"/>
      <c r="B51" s="442"/>
      <c r="C51" s="442"/>
      <c r="D51" s="33" t="s">
        <v>304</v>
      </c>
      <c r="E51" s="442"/>
      <c r="F51" s="442"/>
      <c r="G51" s="442"/>
      <c r="H51" s="442"/>
      <c r="I51" s="282">
        <f>SUM(G48:G49)</f>
        <v>-201886.58249999999</v>
      </c>
    </row>
    <row r="52" spans="1:13" ht="16.5" thickTop="1">
      <c r="A52" s="442"/>
      <c r="B52" s="442"/>
      <c r="C52" s="442"/>
      <c r="D52" s="442"/>
      <c r="E52" s="442"/>
      <c r="F52" s="442"/>
      <c r="G52" s="442"/>
      <c r="H52" s="442"/>
      <c r="I52" s="442"/>
    </row>
    <row r="53" spans="1:13">
      <c r="A53" s="468" t="s">
        <v>86</v>
      </c>
      <c r="B53" s="468"/>
      <c r="C53" s="468"/>
      <c r="D53" s="468"/>
      <c r="E53" s="468"/>
      <c r="F53" s="468"/>
      <c r="G53" s="468"/>
      <c r="H53" s="468"/>
      <c r="I53" s="468"/>
    </row>
    <row r="54" spans="1:13">
      <c r="A54" s="469" t="s">
        <v>318</v>
      </c>
      <c r="B54" s="469"/>
      <c r="C54" s="469"/>
      <c r="D54" s="469"/>
      <c r="E54" s="469"/>
      <c r="F54" s="469"/>
      <c r="G54" s="469"/>
      <c r="H54" s="469"/>
      <c r="I54" s="469"/>
    </row>
    <row r="55" spans="1:13">
      <c r="A55" s="472" t="s">
        <v>319</v>
      </c>
      <c r="B55" s="472"/>
      <c r="C55" s="472"/>
      <c r="D55" s="472"/>
      <c r="E55" s="472"/>
      <c r="F55" s="472"/>
      <c r="G55" s="472"/>
      <c r="H55" s="472"/>
      <c r="I55" s="472"/>
      <c r="K55" s="2" t="s">
        <v>197</v>
      </c>
    </row>
    <row r="56" spans="1:13">
      <c r="A56" s="442"/>
      <c r="B56" s="442"/>
      <c r="C56" s="442"/>
      <c r="D56" s="442"/>
      <c r="E56" s="442"/>
      <c r="F56" s="442"/>
      <c r="G56" s="442"/>
      <c r="H56" s="442"/>
      <c r="I56" s="442"/>
      <c r="K56" s="237">
        <f>E57-G13-I34-G48</f>
        <v>480000.3162</v>
      </c>
      <c r="M56" s="2" t="s">
        <v>320</v>
      </c>
    </row>
    <row r="57" spans="1:13">
      <c r="A57" s="233" t="s">
        <v>321</v>
      </c>
      <c r="B57" s="442"/>
      <c r="C57" s="442"/>
      <c r="D57" s="442"/>
      <c r="E57" s="415">
        <f>ROUND('Sch 4 PF IS'!L20,0)</f>
        <v>3549543</v>
      </c>
      <c r="F57" s="442"/>
      <c r="H57" s="442"/>
      <c r="I57" s="442"/>
      <c r="K57" s="141"/>
    </row>
    <row r="58" spans="1:13">
      <c r="A58" s="233" t="s">
        <v>322</v>
      </c>
      <c r="B58" s="442"/>
      <c r="C58" s="442"/>
      <c r="D58" s="442"/>
      <c r="E58" s="395">
        <v>0.112</v>
      </c>
      <c r="F58" s="442"/>
      <c r="G58" s="336"/>
      <c r="H58" s="442"/>
      <c r="I58" s="442"/>
    </row>
    <row r="59" spans="1:13">
      <c r="A59" s="233"/>
      <c r="B59" s="442"/>
      <c r="C59" s="442"/>
      <c r="D59" s="442"/>
      <c r="E59" s="338"/>
      <c r="F59" s="442"/>
      <c r="G59" s="336"/>
      <c r="H59" s="442"/>
      <c r="I59" s="442"/>
    </row>
    <row r="60" spans="1:13">
      <c r="A60" s="233" t="s">
        <v>323</v>
      </c>
      <c r="B60" s="442"/>
      <c r="C60" s="442"/>
      <c r="D60" s="442"/>
      <c r="E60" s="337"/>
      <c r="F60" s="442"/>
      <c r="G60" s="236">
        <f>ROUND(E57*E58,0)</f>
        <v>397549</v>
      </c>
      <c r="H60" s="442"/>
      <c r="I60" s="442"/>
    </row>
    <row r="61" spans="1:13">
      <c r="A61" s="233" t="s">
        <v>324</v>
      </c>
      <c r="B61" s="442"/>
      <c r="C61" s="442"/>
      <c r="D61" s="442"/>
      <c r="E61" s="442"/>
      <c r="F61" s="442"/>
      <c r="G61" s="396">
        <f>ROUND('Sch 4 PF IS'!F25*-1,0)</f>
        <v>-387109</v>
      </c>
      <c r="H61" s="442"/>
      <c r="I61" s="442"/>
    </row>
    <row r="62" spans="1:13">
      <c r="A62" s="442"/>
      <c r="B62" s="442"/>
      <c r="C62" s="442"/>
      <c r="D62" s="442"/>
      <c r="E62" s="442"/>
      <c r="F62" s="442"/>
      <c r="G62" s="442"/>
      <c r="H62" s="442"/>
      <c r="I62" s="442"/>
    </row>
    <row r="63" spans="1:13" ht="16.5" thickBot="1">
      <c r="A63" s="442"/>
      <c r="B63" s="442"/>
      <c r="C63" s="442"/>
      <c r="D63" s="33" t="s">
        <v>304</v>
      </c>
      <c r="E63" s="442"/>
      <c r="F63" s="442"/>
      <c r="G63" s="442"/>
      <c r="H63" s="442"/>
      <c r="I63" s="282">
        <f>SUM(G60:G62)</f>
        <v>10440</v>
      </c>
    </row>
    <row r="64" spans="1:13" ht="16.5" thickTop="1">
      <c r="A64" s="442"/>
      <c r="B64" s="442"/>
      <c r="C64" s="442"/>
      <c r="D64" s="442"/>
      <c r="E64" s="442"/>
      <c r="F64" s="442"/>
      <c r="G64" s="442"/>
      <c r="H64" s="442"/>
      <c r="I64" s="442"/>
    </row>
    <row r="65" spans="1:9">
      <c r="A65" s="468" t="s">
        <v>90</v>
      </c>
      <c r="B65" s="468"/>
      <c r="C65" s="468"/>
      <c r="D65" s="468"/>
      <c r="E65" s="468"/>
      <c r="F65" s="468"/>
      <c r="G65" s="468"/>
      <c r="H65" s="468"/>
      <c r="I65" s="468"/>
    </row>
    <row r="66" spans="1:9">
      <c r="A66" s="469" t="s">
        <v>94</v>
      </c>
      <c r="B66" s="469"/>
      <c r="C66" s="469"/>
      <c r="D66" s="469"/>
      <c r="E66" s="469"/>
      <c r="F66" s="469"/>
      <c r="G66" s="469"/>
      <c r="H66" s="469"/>
      <c r="I66" s="469"/>
    </row>
    <row r="67" spans="1:9">
      <c r="A67" s="472" t="s">
        <v>325</v>
      </c>
      <c r="B67" s="472"/>
      <c r="C67" s="472"/>
      <c r="D67" s="472"/>
      <c r="E67" s="472"/>
      <c r="F67" s="472"/>
      <c r="G67" s="472"/>
      <c r="H67" s="472"/>
      <c r="I67" s="472"/>
    </row>
    <row r="68" spans="1:9">
      <c r="A68" s="442"/>
      <c r="B68" s="442"/>
      <c r="C68" s="442"/>
      <c r="D68" s="442"/>
      <c r="E68" s="442"/>
      <c r="F68" s="442"/>
      <c r="G68" s="442"/>
      <c r="H68" s="442"/>
      <c r="I68" s="442"/>
    </row>
    <row r="69" spans="1:9">
      <c r="A69" s="233" t="s">
        <v>321</v>
      </c>
      <c r="B69" s="442"/>
      <c r="C69" s="442"/>
      <c r="D69" s="442"/>
      <c r="E69" s="336">
        <f>ROUND(E57,0)</f>
        <v>3549543</v>
      </c>
      <c r="F69" s="442"/>
      <c r="H69" s="442"/>
      <c r="I69" s="442"/>
    </row>
    <row r="70" spans="1:9">
      <c r="A70" s="233" t="s">
        <v>326</v>
      </c>
      <c r="B70" s="442"/>
      <c r="C70" s="442"/>
      <c r="D70" s="442"/>
      <c r="E70" s="363">
        <v>7.6499999999999999E-2</v>
      </c>
      <c r="F70" s="442"/>
      <c r="G70" s="336"/>
      <c r="H70" s="442"/>
      <c r="I70" s="442"/>
    </row>
    <row r="71" spans="1:9">
      <c r="A71" s="233"/>
      <c r="B71" s="442"/>
      <c r="C71" s="442"/>
      <c r="D71" s="442"/>
      <c r="E71" s="338"/>
      <c r="F71" s="442"/>
      <c r="G71" s="336"/>
      <c r="H71" s="442"/>
      <c r="I71" s="442"/>
    </row>
    <row r="72" spans="1:9">
      <c r="A72" s="233" t="s">
        <v>327</v>
      </c>
      <c r="B72" s="442"/>
      <c r="C72" s="442"/>
      <c r="D72" s="442"/>
      <c r="E72" s="337"/>
      <c r="F72" s="442"/>
      <c r="G72" s="236">
        <f>ROUND(E69*E70,0)</f>
        <v>271540</v>
      </c>
      <c r="H72" s="442"/>
      <c r="I72" s="442"/>
    </row>
    <row r="73" spans="1:9">
      <c r="A73" s="233" t="s">
        <v>328</v>
      </c>
      <c r="B73" s="442"/>
      <c r="C73" s="442"/>
      <c r="D73" s="442"/>
      <c r="E73" s="442"/>
      <c r="F73" s="442"/>
      <c r="G73" s="397">
        <f>ROUND('Sch 4 PF IS'!F26*-1,0)</f>
        <v>-257265</v>
      </c>
      <c r="H73" s="442"/>
      <c r="I73" s="442"/>
    </row>
    <row r="74" spans="1:9">
      <c r="A74" s="442"/>
      <c r="B74" s="442"/>
      <c r="C74" s="442"/>
      <c r="D74" s="442"/>
      <c r="E74" s="442"/>
      <c r="F74" s="442"/>
      <c r="G74" s="442"/>
      <c r="H74" s="442"/>
      <c r="I74" s="442"/>
    </row>
    <row r="75" spans="1:9" ht="16.5" thickBot="1">
      <c r="A75" s="442"/>
      <c r="B75" s="442"/>
      <c r="C75" s="442"/>
      <c r="D75" s="33" t="s">
        <v>304</v>
      </c>
      <c r="E75" s="442"/>
      <c r="F75" s="442"/>
      <c r="G75" s="442"/>
      <c r="H75" s="442"/>
      <c r="I75" s="282">
        <f>SUM(G72:G74)</f>
        <v>14275</v>
      </c>
    </row>
    <row r="76" spans="1:9" ht="16.5" thickTop="1">
      <c r="A76" s="442"/>
      <c r="B76" s="442"/>
      <c r="C76" s="442"/>
      <c r="D76" s="442"/>
      <c r="E76" s="442"/>
      <c r="F76" s="442"/>
      <c r="G76" s="442"/>
      <c r="H76" s="442"/>
      <c r="I76" s="442"/>
    </row>
    <row r="77" spans="1:9">
      <c r="A77" s="2"/>
      <c r="B77" s="2"/>
      <c r="C77" s="2"/>
      <c r="D77" s="2"/>
      <c r="E77" s="2"/>
      <c r="F77" s="2"/>
      <c r="G77" s="2"/>
      <c r="H77" s="2"/>
      <c r="I77" s="443" t="str">
        <f>I$1</f>
        <v>OUCC Attachment CFS-1</v>
      </c>
    </row>
    <row r="78" spans="1:9">
      <c r="A78" s="2"/>
      <c r="B78" s="2"/>
      <c r="C78" s="2"/>
      <c r="D78" s="2"/>
      <c r="E78" s="2"/>
      <c r="F78" s="2"/>
      <c r="G78" s="2"/>
      <c r="H78" s="2"/>
      <c r="I78" s="443" t="s">
        <v>298</v>
      </c>
    </row>
    <row r="79" spans="1:9">
      <c r="A79" s="2"/>
      <c r="B79" s="2"/>
      <c r="C79" s="2"/>
      <c r="D79" s="2"/>
      <c r="E79" s="2"/>
      <c r="F79" s="2"/>
      <c r="G79" s="2"/>
      <c r="H79" s="2"/>
      <c r="I79" s="443" t="s">
        <v>66</v>
      </c>
    </row>
    <row r="80" spans="1:9" ht="20.25">
      <c r="A80" s="453" t="str">
        <f>+Inputs!$C$5</f>
        <v>City of Anderson</v>
      </c>
      <c r="B80" s="453"/>
      <c r="C80" s="453"/>
      <c r="D80" s="453"/>
      <c r="E80" s="453"/>
      <c r="F80" s="453"/>
      <c r="G80" s="453"/>
      <c r="H80" s="453"/>
      <c r="I80" s="453"/>
    </row>
    <row r="81" spans="1:28" ht="18.75">
      <c r="A81" s="454" t="str">
        <f>"CAUSE NUMBER "&amp;Inputs!$C$6</f>
        <v>CAUSE NUMBER 46171</v>
      </c>
      <c r="B81" s="454"/>
      <c r="C81" s="454"/>
      <c r="D81" s="454"/>
      <c r="E81" s="454"/>
      <c r="F81" s="454"/>
      <c r="G81" s="454"/>
      <c r="H81" s="454"/>
      <c r="I81" s="454"/>
    </row>
    <row r="82" spans="1:28" ht="16.5" thickBot="1">
      <c r="A82" s="442"/>
      <c r="B82" s="442"/>
      <c r="C82" s="442"/>
      <c r="D82" s="442"/>
      <c r="E82" s="442"/>
      <c r="F82" s="442"/>
      <c r="G82" s="442"/>
      <c r="H82" s="442"/>
      <c r="I82" s="442"/>
    </row>
    <row r="83" spans="1:28">
      <c r="A83" s="452" t="s">
        <v>299</v>
      </c>
      <c r="B83" s="452"/>
      <c r="C83" s="452"/>
      <c r="D83" s="452"/>
      <c r="E83" s="452"/>
      <c r="F83" s="452"/>
      <c r="G83" s="452"/>
      <c r="H83" s="452"/>
      <c r="I83" s="452"/>
      <c r="K83" s="258" t="s">
        <v>329</v>
      </c>
      <c r="L83" s="259"/>
      <c r="M83" s="259"/>
      <c r="N83" s="259"/>
      <c r="O83" s="259"/>
      <c r="P83" s="259"/>
      <c r="Q83" s="259"/>
      <c r="R83" s="259"/>
      <c r="S83" s="260"/>
      <c r="T83" s="28"/>
      <c r="U83" s="28"/>
      <c r="V83" s="28"/>
      <c r="W83" s="28"/>
      <c r="X83" s="28"/>
      <c r="Y83" s="28"/>
      <c r="Z83" s="28"/>
      <c r="AA83" s="28"/>
      <c r="AB83" s="143"/>
    </row>
    <row r="84" spans="1:28">
      <c r="A84" s="442"/>
      <c r="B84" s="442"/>
      <c r="C84" s="442"/>
      <c r="D84" s="442"/>
      <c r="E84" s="442"/>
      <c r="F84" s="442"/>
      <c r="G84" s="442"/>
      <c r="H84" s="442"/>
      <c r="I84" s="442"/>
      <c r="K84" s="261"/>
      <c r="L84" s="262"/>
      <c r="M84" s="262"/>
      <c r="N84" s="262"/>
      <c r="O84" s="262"/>
      <c r="P84" s="262"/>
      <c r="Q84" s="262"/>
      <c r="R84" s="262"/>
      <c r="S84" s="251"/>
      <c r="AB84" s="115"/>
    </row>
    <row r="85" spans="1:28">
      <c r="A85" s="468" t="s">
        <v>92</v>
      </c>
      <c r="B85" s="468"/>
      <c r="C85" s="468"/>
      <c r="D85" s="468"/>
      <c r="E85" s="468"/>
      <c r="F85" s="468"/>
      <c r="G85" s="468"/>
      <c r="H85" s="468"/>
      <c r="I85" s="468"/>
      <c r="K85" s="263" t="s">
        <v>330</v>
      </c>
      <c r="L85" s="264"/>
      <c r="M85" s="264"/>
      <c r="N85" s="264"/>
      <c r="O85" s="264"/>
      <c r="P85" s="264"/>
      <c r="Q85" s="252">
        <v>393110</v>
      </c>
      <c r="R85" s="264"/>
      <c r="S85" s="250"/>
      <c r="AB85" s="115"/>
    </row>
    <row r="86" spans="1:28">
      <c r="A86" s="469" t="s">
        <v>97</v>
      </c>
      <c r="B86" s="469"/>
      <c r="C86" s="469"/>
      <c r="D86" s="469"/>
      <c r="E86" s="469"/>
      <c r="F86" s="469"/>
      <c r="G86" s="469"/>
      <c r="H86" s="469"/>
      <c r="I86" s="469"/>
      <c r="K86" s="261" t="s">
        <v>331</v>
      </c>
      <c r="L86" s="262"/>
      <c r="M86" s="262"/>
      <c r="N86" s="262"/>
      <c r="O86" s="262"/>
      <c r="P86" s="262"/>
      <c r="Q86" s="253">
        <v>-216624</v>
      </c>
      <c r="R86" s="262"/>
      <c r="S86" s="251" t="s">
        <v>332</v>
      </c>
      <c r="AB86" s="115"/>
    </row>
    <row r="87" spans="1:28">
      <c r="A87" s="2" t="s">
        <v>333</v>
      </c>
      <c r="K87" s="263"/>
      <c r="L87" s="264"/>
      <c r="M87" s="264"/>
      <c r="N87" s="264"/>
      <c r="O87" s="264"/>
      <c r="P87" s="264"/>
      <c r="Q87" s="264"/>
      <c r="R87" s="264"/>
      <c r="S87" s="250" t="s">
        <v>334</v>
      </c>
      <c r="AB87" s="115"/>
    </row>
    <row r="88" spans="1:28" ht="16.5" thickBot="1">
      <c r="A88" s="442"/>
      <c r="B88" s="442"/>
      <c r="C88" s="442"/>
      <c r="D88" s="442"/>
      <c r="E88" s="442"/>
      <c r="F88" s="442"/>
      <c r="G88" s="442"/>
      <c r="H88" s="442"/>
      <c r="I88" s="442"/>
      <c r="K88" s="261" t="s">
        <v>335</v>
      </c>
      <c r="L88" s="262"/>
      <c r="M88" s="262"/>
      <c r="N88" s="262"/>
      <c r="O88" s="262"/>
      <c r="P88" s="262"/>
      <c r="Q88" s="262"/>
      <c r="R88" s="262"/>
      <c r="S88" s="254">
        <f>SUM(Q85:Q86)</f>
        <v>176486</v>
      </c>
      <c r="AB88" s="115"/>
    </row>
    <row r="89" spans="1:28" ht="17.25" thickTop="1" thickBot="1">
      <c r="A89" s="233" t="s">
        <v>336</v>
      </c>
      <c r="B89" s="442"/>
      <c r="C89" s="442"/>
      <c r="D89" s="442"/>
      <c r="E89" s="442"/>
      <c r="F89" s="442"/>
      <c r="G89" s="236">
        <f>ROUND('WP-7 Tank Maint'!B33,0)</f>
        <v>393110</v>
      </c>
      <c r="H89" s="442"/>
      <c r="I89" s="442"/>
      <c r="K89" s="31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117"/>
    </row>
    <row r="90" spans="1:28" s="243" customFormat="1" ht="16.5" thickBot="1">
      <c r="A90" s="233" t="s">
        <v>337</v>
      </c>
      <c r="B90" s="442"/>
      <c r="C90" s="442"/>
      <c r="D90" s="33"/>
      <c r="E90" s="442"/>
      <c r="F90" s="442"/>
      <c r="G90" s="234">
        <f>ROUND('WP-7 Tank Maint'!O29*-1,0)</f>
        <v>-312901</v>
      </c>
      <c r="H90" s="442"/>
      <c r="I90" s="442"/>
    </row>
    <row r="91" spans="1:28" s="233" customFormat="1">
      <c r="A91" s="442"/>
      <c r="B91" s="442"/>
      <c r="C91" s="442"/>
      <c r="D91" s="442"/>
      <c r="E91" s="442"/>
      <c r="F91" s="442"/>
      <c r="G91" s="442"/>
      <c r="H91" s="442"/>
      <c r="I91" s="442"/>
      <c r="K91" s="258" t="s">
        <v>338</v>
      </c>
      <c r="L91" s="259"/>
      <c r="M91" s="259"/>
      <c r="N91" s="259"/>
      <c r="O91" s="259"/>
      <c r="P91" s="259"/>
      <c r="Q91" s="259"/>
      <c r="R91" s="259"/>
      <c r="S91" s="259"/>
      <c r="T91" s="265"/>
      <c r="U91" s="265"/>
      <c r="V91" s="265"/>
      <c r="W91" s="265"/>
      <c r="X91" s="265"/>
      <c r="Y91" s="265"/>
      <c r="Z91" s="265"/>
      <c r="AA91" s="265"/>
      <c r="AB91" s="266"/>
    </row>
    <row r="92" spans="1:28" s="233" customFormat="1" ht="16.5" thickBot="1">
      <c r="A92" s="442"/>
      <c r="B92" s="442"/>
      <c r="C92" s="442"/>
      <c r="D92" s="33" t="s">
        <v>304</v>
      </c>
      <c r="E92" s="442"/>
      <c r="F92" s="442"/>
      <c r="G92" s="442"/>
      <c r="H92" s="442"/>
      <c r="I92" s="235">
        <f>ROUND(SUM(G89:G90),0)</f>
        <v>80209</v>
      </c>
      <c r="K92" s="261" t="s">
        <v>339</v>
      </c>
      <c r="L92" s="262"/>
      <c r="M92" s="262"/>
      <c r="N92" s="262"/>
      <c r="O92" s="262"/>
      <c r="P92" s="262"/>
      <c r="Q92" s="262"/>
      <c r="R92" s="262"/>
      <c r="S92" s="262"/>
      <c r="AB92" s="267"/>
    </row>
    <row r="93" spans="1:28" s="233" customFormat="1" ht="18" thickTop="1">
      <c r="A93" s="442"/>
      <c r="B93" s="442"/>
      <c r="C93" s="442"/>
      <c r="D93" s="442"/>
      <c r="E93" s="442"/>
      <c r="F93" s="442"/>
      <c r="G93" s="442"/>
      <c r="H93" s="442"/>
      <c r="I93" s="442"/>
      <c r="K93" s="268"/>
      <c r="L93" s="264"/>
      <c r="M93" s="269"/>
      <c r="N93" s="270"/>
      <c r="O93" s="264"/>
      <c r="P93" s="269"/>
      <c r="Q93" s="269" t="s">
        <v>340</v>
      </c>
      <c r="R93" s="264"/>
      <c r="S93" s="264"/>
      <c r="AB93" s="267"/>
    </row>
    <row r="94" spans="1:28" s="233" customFormat="1">
      <c r="A94" s="442"/>
      <c r="B94" s="442"/>
      <c r="C94" s="442"/>
      <c r="D94" s="442"/>
      <c r="E94" s="442"/>
      <c r="F94" s="442"/>
      <c r="G94" s="442"/>
      <c r="H94" s="442"/>
      <c r="I94" s="442"/>
      <c r="K94" s="271" t="s">
        <v>118</v>
      </c>
      <c r="L94" s="262"/>
      <c r="M94" s="262"/>
      <c r="N94" s="262"/>
      <c r="O94" s="262"/>
      <c r="P94" s="255"/>
      <c r="Q94" s="255">
        <v>-55839</v>
      </c>
      <c r="R94" s="262"/>
      <c r="S94" s="262" t="s">
        <v>341</v>
      </c>
      <c r="AB94" s="267"/>
    </row>
    <row r="95" spans="1:28" s="233" customFormat="1">
      <c r="A95" s="468" t="s">
        <v>98</v>
      </c>
      <c r="B95" s="468"/>
      <c r="C95" s="468"/>
      <c r="D95" s="468"/>
      <c r="E95" s="468"/>
      <c r="F95" s="468"/>
      <c r="G95" s="468"/>
      <c r="H95" s="468"/>
      <c r="I95" s="468"/>
      <c r="K95" s="272" t="s">
        <v>121</v>
      </c>
      <c r="L95" s="264"/>
      <c r="M95" s="264"/>
      <c r="N95" s="264"/>
      <c r="O95" s="264"/>
      <c r="P95" s="256"/>
      <c r="Q95" s="256">
        <v>-45029</v>
      </c>
      <c r="R95" s="264"/>
      <c r="S95" s="250" t="s">
        <v>342</v>
      </c>
      <c r="AB95" s="267"/>
    </row>
    <row r="96" spans="1:28" s="233" customFormat="1">
      <c r="A96" s="469" t="s">
        <v>105</v>
      </c>
      <c r="B96" s="469"/>
      <c r="C96" s="469"/>
      <c r="D96" s="469"/>
      <c r="E96" s="469"/>
      <c r="F96" s="469"/>
      <c r="G96" s="469"/>
      <c r="H96" s="469"/>
      <c r="I96" s="469"/>
      <c r="K96" s="271" t="s">
        <v>123</v>
      </c>
      <c r="L96" s="262"/>
      <c r="M96" s="262"/>
      <c r="N96" s="262"/>
      <c r="O96" s="262"/>
      <c r="P96" s="257"/>
      <c r="Q96" s="253">
        <v>-5118</v>
      </c>
      <c r="R96" s="262"/>
      <c r="S96" s="251" t="s">
        <v>343</v>
      </c>
      <c r="AB96" s="267"/>
    </row>
    <row r="97" spans="1:28" s="233" customFormat="1">
      <c r="A97" s="470" t="s">
        <v>344</v>
      </c>
      <c r="B97" s="470"/>
      <c r="C97" s="470"/>
      <c r="D97" s="470"/>
      <c r="E97" s="470"/>
      <c r="F97" s="470"/>
      <c r="G97" s="470"/>
      <c r="H97" s="470"/>
      <c r="I97" s="470"/>
      <c r="K97" s="273"/>
      <c r="L97" s="264"/>
      <c r="M97" s="264"/>
      <c r="N97" s="264"/>
      <c r="O97" s="256"/>
      <c r="P97" s="256"/>
      <c r="Q97" s="256"/>
      <c r="R97" s="264"/>
      <c r="S97" s="250"/>
      <c r="AB97" s="267"/>
    </row>
    <row r="98" spans="1:28" s="233" customFormat="1" ht="16.5" thickBot="1">
      <c r="A98"/>
      <c r="B98"/>
      <c r="C98"/>
      <c r="D98"/>
      <c r="E98"/>
      <c r="F98"/>
      <c r="G98"/>
      <c r="H98"/>
      <c r="I98"/>
      <c r="K98" s="274" t="s">
        <v>345</v>
      </c>
      <c r="L98" s="275"/>
      <c r="M98" s="275"/>
      <c r="N98" s="275"/>
      <c r="O98" s="275"/>
      <c r="P98" s="275"/>
      <c r="Q98" s="275"/>
      <c r="R98" s="275"/>
      <c r="S98" s="276">
        <f>SUM(Q94:Q96)</f>
        <v>-105986</v>
      </c>
      <c r="T98" s="277"/>
      <c r="U98" s="277"/>
      <c r="V98" s="277"/>
      <c r="W98" s="277"/>
      <c r="X98" s="277"/>
      <c r="Y98" s="277"/>
      <c r="Z98" s="277"/>
      <c r="AA98" s="277"/>
      <c r="AB98" s="278"/>
    </row>
    <row r="99" spans="1:28" s="233" customFormat="1">
      <c r="A99" s="5" t="s">
        <v>346</v>
      </c>
      <c r="B99" s="5"/>
      <c r="C99" s="5" t="s">
        <v>347</v>
      </c>
      <c r="D99"/>
      <c r="E99" s="5" t="s">
        <v>340</v>
      </c>
      <c r="F99"/>
      <c r="G99"/>
      <c r="H99"/>
      <c r="I99"/>
    </row>
    <row r="100" spans="1:28" s="233" customFormat="1">
      <c r="A100" t="s">
        <v>348</v>
      </c>
      <c r="B100"/>
      <c r="C100" t="s">
        <v>349</v>
      </c>
      <c r="D100"/>
      <c r="E100" s="45">
        <v>58333</v>
      </c>
      <c r="F100"/>
      <c r="G100" s="2"/>
      <c r="H100"/>
      <c r="I100"/>
    </row>
    <row r="101" spans="1:28" s="233" customFormat="1">
      <c r="A101" t="s">
        <v>350</v>
      </c>
      <c r="B101"/>
      <c r="C101" t="s">
        <v>351</v>
      </c>
      <c r="D101"/>
      <c r="E101" s="46">
        <v>58333</v>
      </c>
      <c r="F101"/>
      <c r="G101"/>
      <c r="H101"/>
      <c r="I101"/>
    </row>
    <row r="102" spans="1:28" s="233" customFormat="1">
      <c r="A102" t="s">
        <v>352</v>
      </c>
      <c r="B102"/>
      <c r="C102" t="s">
        <v>353</v>
      </c>
      <c r="D102"/>
      <c r="E102" s="46">
        <v>58333</v>
      </c>
      <c r="F102"/>
      <c r="G102"/>
      <c r="H102"/>
      <c r="I102"/>
    </row>
    <row r="103" spans="1:28">
      <c r="A103" t="s">
        <v>354</v>
      </c>
      <c r="C103" t="s">
        <v>355</v>
      </c>
      <c r="E103" s="137">
        <v>58333</v>
      </c>
    </row>
    <row r="104" spans="1:28">
      <c r="E104" s="61"/>
    </row>
    <row r="105" spans="1:28">
      <c r="A105" s="2" t="s">
        <v>356</v>
      </c>
      <c r="G105" s="139">
        <f>SUM(E100:E103)</f>
        <v>233332</v>
      </c>
    </row>
    <row r="106" spans="1:28">
      <c r="A106" s="2" t="s">
        <v>357</v>
      </c>
      <c r="G106" s="137">
        <f>ROUND('Sch 4 PF IS'!F36*-1,0)</f>
        <v>-174999</v>
      </c>
      <c r="I106" s="219"/>
    </row>
    <row r="108" spans="1:28" ht="16.5" thickBot="1">
      <c r="D108" s="33" t="s">
        <v>304</v>
      </c>
      <c r="I108" s="140">
        <f>ROUND(SUM(G105:G106),0)</f>
        <v>58333</v>
      </c>
    </row>
    <row r="109" spans="1:28" ht="16.5" thickTop="1"/>
    <row r="111" spans="1:28">
      <c r="A111" s="2"/>
      <c r="B111" s="2"/>
      <c r="C111" s="2"/>
      <c r="D111" s="2"/>
      <c r="E111" s="2"/>
      <c r="F111" s="2"/>
      <c r="G111" s="2"/>
      <c r="H111" s="2"/>
      <c r="I111" s="443" t="str">
        <f>I$1</f>
        <v>OUCC Attachment CFS-1</v>
      </c>
    </row>
    <row r="112" spans="1:28">
      <c r="A112" s="2"/>
      <c r="B112" s="2"/>
      <c r="C112" s="2"/>
      <c r="D112" s="2"/>
      <c r="E112" s="2"/>
      <c r="F112" s="2"/>
      <c r="G112" s="2"/>
      <c r="H112" s="2"/>
      <c r="I112" s="443" t="s">
        <v>298</v>
      </c>
    </row>
    <row r="113" spans="1:9">
      <c r="A113" s="2"/>
      <c r="B113" s="2"/>
      <c r="C113" s="2"/>
      <c r="D113" s="2"/>
      <c r="E113" s="2"/>
      <c r="F113" s="2"/>
      <c r="G113" s="2"/>
      <c r="H113" s="2"/>
      <c r="I113" s="443" t="s">
        <v>69</v>
      </c>
    </row>
    <row r="114" spans="1:9" ht="20.25">
      <c r="A114" s="453" t="str">
        <f>+Inputs!$C$5</f>
        <v>City of Anderson</v>
      </c>
      <c r="B114" s="453"/>
      <c r="C114" s="453"/>
      <c r="D114" s="453"/>
      <c r="E114" s="453"/>
      <c r="F114" s="453"/>
      <c r="G114" s="453"/>
      <c r="H114" s="453"/>
      <c r="I114" s="453"/>
    </row>
    <row r="115" spans="1:9" ht="18.75">
      <c r="A115" s="454" t="str">
        <f>"CAUSE NUMBER "&amp;Inputs!$C$6</f>
        <v>CAUSE NUMBER 46171</v>
      </c>
      <c r="B115" s="454"/>
      <c r="C115" s="454"/>
      <c r="D115" s="454"/>
      <c r="E115" s="454"/>
      <c r="F115" s="454"/>
      <c r="G115" s="454"/>
      <c r="H115" s="454"/>
      <c r="I115" s="454"/>
    </row>
    <row r="116" spans="1:9">
      <c r="A116" s="442"/>
      <c r="B116" s="442"/>
      <c r="C116" s="442"/>
      <c r="D116" s="442"/>
      <c r="E116" s="442"/>
      <c r="F116" s="442"/>
      <c r="G116" s="442"/>
      <c r="H116" s="442"/>
      <c r="I116" s="442"/>
    </row>
    <row r="117" spans="1:9">
      <c r="A117" s="452" t="s">
        <v>299</v>
      </c>
      <c r="B117" s="452"/>
      <c r="C117" s="452"/>
      <c r="D117" s="452"/>
      <c r="E117" s="452"/>
      <c r="F117" s="452"/>
      <c r="G117" s="452"/>
      <c r="H117" s="452"/>
      <c r="I117" s="452"/>
    </row>
    <row r="119" spans="1:9">
      <c r="A119" s="468" t="s">
        <v>100</v>
      </c>
      <c r="B119" s="468"/>
      <c r="C119" s="468"/>
      <c r="D119" s="468"/>
      <c r="E119" s="468"/>
      <c r="F119" s="468"/>
      <c r="G119" s="468"/>
      <c r="H119" s="468"/>
      <c r="I119" s="468"/>
    </row>
    <row r="120" spans="1:9">
      <c r="A120" s="469" t="s">
        <v>129</v>
      </c>
      <c r="B120" s="469"/>
      <c r="C120" s="469"/>
      <c r="D120" s="469"/>
      <c r="E120" s="469"/>
      <c r="F120" s="469"/>
      <c r="G120" s="469"/>
      <c r="H120" s="469"/>
      <c r="I120" s="469"/>
    </row>
    <row r="121" spans="1:9">
      <c r="A121" s="2" t="s">
        <v>358</v>
      </c>
    </row>
    <row r="123" spans="1:9">
      <c r="A123" s="231" t="s">
        <v>359</v>
      </c>
    </row>
    <row r="124" spans="1:9">
      <c r="A124" s="194" t="s">
        <v>128</v>
      </c>
      <c r="E124" s="27">
        <v>125000</v>
      </c>
      <c r="F124" s="24"/>
      <c r="G124" s="24"/>
      <c r="H124" s="24"/>
      <c r="I124" s="24"/>
    </row>
    <row r="125" spans="1:9">
      <c r="A125" s="194" t="s">
        <v>130</v>
      </c>
      <c r="E125" s="24">
        <v>29500</v>
      </c>
      <c r="F125" s="24"/>
      <c r="G125" s="24"/>
      <c r="H125" s="24"/>
      <c r="I125" s="24"/>
    </row>
    <row r="126" spans="1:9">
      <c r="A126" s="194" t="s">
        <v>131</v>
      </c>
      <c r="E126" s="52">
        <v>145000</v>
      </c>
      <c r="F126" s="24"/>
      <c r="G126" s="24"/>
      <c r="H126" s="24"/>
      <c r="I126" s="24"/>
    </row>
    <row r="127" spans="1:9">
      <c r="A127" s="2"/>
      <c r="E127" s="24"/>
      <c r="F127" s="24"/>
      <c r="G127" s="24"/>
      <c r="H127" s="24"/>
      <c r="I127" s="24"/>
    </row>
    <row r="128" spans="1:9">
      <c r="A128" s="399" t="s">
        <v>132</v>
      </c>
      <c r="E128" s="24"/>
      <c r="F128" s="24"/>
      <c r="G128" s="27">
        <f>SUM(E124:E126)</f>
        <v>299500</v>
      </c>
      <c r="H128" s="24"/>
      <c r="I128" s="24"/>
    </row>
    <row r="129" spans="1:9">
      <c r="A129" s="399" t="s">
        <v>360</v>
      </c>
      <c r="E129" s="24"/>
      <c r="F129" s="24"/>
      <c r="G129" s="52">
        <v>3</v>
      </c>
      <c r="H129" s="24"/>
      <c r="I129" s="24"/>
    </row>
    <row r="130" spans="1:9">
      <c r="E130" s="24"/>
      <c r="F130" s="24"/>
      <c r="G130" s="24"/>
      <c r="H130" s="24"/>
      <c r="I130" s="24"/>
    </row>
    <row r="131" spans="1:9" ht="16.5" thickBot="1">
      <c r="A131" s="231" t="s">
        <v>359</v>
      </c>
      <c r="D131" s="33" t="s">
        <v>304</v>
      </c>
      <c r="E131" s="46"/>
      <c r="F131" s="46"/>
      <c r="G131" s="46"/>
      <c r="H131" s="46"/>
      <c r="I131" s="140">
        <f>ROUND(G128/G129,0)</f>
        <v>99833</v>
      </c>
    </row>
    <row r="132" spans="1:9" ht="16.5" thickTop="1">
      <c r="E132" s="46"/>
      <c r="F132" s="46"/>
      <c r="G132" s="46"/>
      <c r="H132" s="46"/>
      <c r="I132" s="46"/>
    </row>
    <row r="134" spans="1:9">
      <c r="A134" s="231" t="s">
        <v>361</v>
      </c>
      <c r="D134" s="33"/>
    </row>
    <row r="135" spans="1:9" ht="30" customHeight="1" thickBot="1">
      <c r="A135" s="471" t="s">
        <v>362</v>
      </c>
      <c r="B135" s="471"/>
      <c r="C135" s="471"/>
      <c r="D135" s="419" t="s">
        <v>304</v>
      </c>
      <c r="E135" s="420"/>
      <c r="F135" s="420"/>
      <c r="G135" s="420"/>
      <c r="H135" s="420"/>
      <c r="I135" s="421">
        <f>I131*-1</f>
        <v>-99833</v>
      </c>
    </row>
    <row r="136" spans="1:9" ht="16.5" thickTop="1"/>
  </sheetData>
  <mergeCells count="35">
    <mergeCell ref="A85:I85"/>
    <mergeCell ref="A86:I86"/>
    <mergeCell ref="A4:I4"/>
    <mergeCell ref="A5:I5"/>
    <mergeCell ref="A7:I7"/>
    <mergeCell ref="A9:I9"/>
    <mergeCell ref="A10:I10"/>
    <mergeCell ref="A18:I18"/>
    <mergeCell ref="A19:I19"/>
    <mergeCell ref="A11:I11"/>
    <mergeCell ref="A20:I20"/>
    <mergeCell ref="A44:I44"/>
    <mergeCell ref="A45:I45"/>
    <mergeCell ref="A46:I46"/>
    <mergeCell ref="A83:I83"/>
    <mergeCell ref="A39:I39"/>
    <mergeCell ref="A40:I40"/>
    <mergeCell ref="A42:I42"/>
    <mergeCell ref="A80:I80"/>
    <mergeCell ref="A81:I81"/>
    <mergeCell ref="A67:I67"/>
    <mergeCell ref="A53:I53"/>
    <mergeCell ref="A54:I54"/>
    <mergeCell ref="A55:I55"/>
    <mergeCell ref="A65:I65"/>
    <mergeCell ref="A66:I66"/>
    <mergeCell ref="A95:I95"/>
    <mergeCell ref="A96:I96"/>
    <mergeCell ref="A97:I97"/>
    <mergeCell ref="A135:C135"/>
    <mergeCell ref="A114:I114"/>
    <mergeCell ref="A115:I115"/>
    <mergeCell ref="A117:I117"/>
    <mergeCell ref="A119:I119"/>
    <mergeCell ref="A120:I120"/>
  </mergeCells>
  <phoneticPr fontId="7" type="noConversion"/>
  <pageMargins left="0.75" right="0.75" top="1" bottom="1" header="0.5" footer="0.5"/>
  <pageSetup orientation="portrait" r:id="rId1"/>
  <headerFooter alignWithMargins="0"/>
  <rowBreaks count="3" manualBreakCount="3">
    <brk id="35" max="8" man="1"/>
    <brk id="76" max="8" man="1"/>
    <brk id="11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61"/>
  </sheetPr>
  <dimension ref="A1:O37"/>
  <sheetViews>
    <sheetView tabSelected="1" view="pageBreakPreview" zoomScaleNormal="100" zoomScaleSheetLayoutView="100" workbookViewId="0">
      <selection activeCell="B15" sqref="B15"/>
    </sheetView>
  </sheetViews>
  <sheetFormatPr defaultRowHeight="15.75"/>
  <cols>
    <col min="1" max="1" width="2.75" customWidth="1"/>
    <col min="2" max="2" width="33.5" customWidth="1"/>
    <col min="3" max="5" width="1.625" customWidth="1"/>
    <col min="6" max="6" width="12.25" customWidth="1"/>
    <col min="7" max="7" width="1.625" customWidth="1"/>
    <col min="8" max="8" width="12.25" customWidth="1"/>
    <col min="9" max="9" width="1.625" customWidth="1"/>
    <col min="10" max="10" width="6.875" customWidth="1"/>
    <col min="11" max="11" width="1.625" customWidth="1"/>
    <col min="12" max="12" width="11.75" customWidth="1"/>
    <col min="13" max="13" width="1.625" customWidth="1"/>
    <col min="14" max="14" width="12.375" customWidth="1"/>
    <col min="15" max="15" width="1.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443" t="str">
        <f>+'Sch 1 - Phased'!W1</f>
        <v>OUCC Attachment CFS-1</v>
      </c>
      <c r="M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43" t="s">
        <v>363</v>
      </c>
      <c r="M2" s="2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43" t="s">
        <v>295</v>
      </c>
      <c r="M3" s="2"/>
    </row>
    <row r="4" spans="1:15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9"/>
      <c r="N4" s="9"/>
    </row>
    <row r="5" spans="1:15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10"/>
      <c r="N5" s="10"/>
      <c r="O5" s="473"/>
    </row>
    <row r="6" spans="1:15">
      <c r="O6" s="473"/>
    </row>
    <row r="7" spans="1:15">
      <c r="A7" s="462" t="s">
        <v>364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240"/>
      <c r="N7" s="240"/>
      <c r="O7" s="473"/>
    </row>
    <row r="8" spans="1:15">
      <c r="A8" s="445"/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8"/>
    </row>
    <row r="9" spans="1:15">
      <c r="A9" s="445"/>
      <c r="B9" s="445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8"/>
    </row>
    <row r="10" spans="1:15">
      <c r="A10" s="445"/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8"/>
    </row>
    <row r="11" spans="1:15">
      <c r="A11" s="445"/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8"/>
    </row>
    <row r="12" spans="1:15">
      <c r="A12" s="445"/>
      <c r="B12" s="445"/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8"/>
    </row>
    <row r="13" spans="1:15">
      <c r="A13" s="445"/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8"/>
    </row>
    <row r="14" spans="1:15">
      <c r="A14" s="445"/>
      <c r="B14" s="445"/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8"/>
    </row>
    <row r="15" spans="1:15">
      <c r="A15" s="445"/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8"/>
    </row>
    <row r="16" spans="1:15">
      <c r="A16" s="445"/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8"/>
    </row>
    <row r="17" spans="1:15" ht="52.5" customHeight="1">
      <c r="A17" s="474" t="s">
        <v>365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45"/>
      <c r="N17" s="445"/>
      <c r="O17" s="448"/>
    </row>
    <row r="18" spans="1:15">
      <c r="A18" s="445"/>
      <c r="B18" s="445"/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8"/>
    </row>
    <row r="19" spans="1:15">
      <c r="A19" s="445"/>
      <c r="B19" s="445"/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8"/>
    </row>
    <row r="20" spans="1:15">
      <c r="A20" s="445"/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8"/>
    </row>
    <row r="21" spans="1:15">
      <c r="A21" s="445"/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8"/>
    </row>
    <row r="22" spans="1:15">
      <c r="A22" s="445"/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8"/>
    </row>
    <row r="23" spans="1:15">
      <c r="A23" s="445"/>
      <c r="B23" s="445"/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8"/>
    </row>
    <row r="24" spans="1:15">
      <c r="A24" s="445"/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8"/>
    </row>
    <row r="26" spans="1:15">
      <c r="A26" s="57"/>
      <c r="M26" s="219"/>
    </row>
    <row r="27" spans="1:15">
      <c r="M27" s="219"/>
    </row>
    <row r="28" spans="1:15">
      <c r="M28" s="219"/>
    </row>
    <row r="29" spans="1:15">
      <c r="M29" s="219"/>
    </row>
    <row r="30" spans="1:15">
      <c r="N30" s="219"/>
    </row>
    <row r="31" spans="1:15">
      <c r="N31" s="139"/>
    </row>
    <row r="33" spans="12:14">
      <c r="N33" s="139"/>
    </row>
    <row r="37" spans="12:14">
      <c r="L37" s="46"/>
    </row>
  </sheetData>
  <mergeCells count="5">
    <mergeCell ref="O5:O7"/>
    <mergeCell ref="A17:L17"/>
    <mergeCell ref="A4:L4"/>
    <mergeCell ref="A5:L5"/>
    <mergeCell ref="A7:L7"/>
  </mergeCells>
  <phoneticPr fontId="7" type="noConversion"/>
  <printOptions horizontalCentered="1"/>
  <pageMargins left="0.5" right="0.5" top="0.5" bottom="0.75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99A9-D7A4-4EC6-A07E-35C069B1A2D4}">
  <sheetPr>
    <tabColor indexed="29"/>
  </sheetPr>
  <dimension ref="A1:AB24"/>
  <sheetViews>
    <sheetView view="pageBreakPreview" topLeftCell="B6" zoomScale="130" zoomScaleNormal="100" zoomScaleSheetLayoutView="130" workbookViewId="0">
      <selection activeCell="B27" sqref="B27"/>
    </sheetView>
  </sheetViews>
  <sheetFormatPr defaultRowHeight="15.75"/>
  <cols>
    <col min="1" max="1" width="2.75" style="57" customWidth="1"/>
    <col min="2" max="2" width="39.375" customWidth="1"/>
    <col min="3" max="3" width="1.625" customWidth="1"/>
    <col min="4" max="4" width="14.125" bestFit="1" customWidth="1"/>
    <col min="5" max="5" width="1.625" customWidth="1"/>
    <col min="6" max="6" width="11.75" bestFit="1" customWidth="1"/>
    <col min="7" max="7" width="1.625" customWidth="1"/>
    <col min="8" max="8" width="16.25" customWidth="1"/>
    <col min="9" max="9" width="1.625" customWidth="1"/>
    <col min="10" max="10" width="30.5" bestFit="1" customWidth="1"/>
    <col min="11" max="11" width="11.125" bestFit="1" customWidth="1"/>
    <col min="12" max="12" width="10.125" customWidth="1"/>
    <col min="13" max="13" width="9.5" bestFit="1" customWidth="1"/>
    <col min="14" max="14" width="4.25" bestFit="1" customWidth="1"/>
    <col min="15" max="15" width="11.75" customWidth="1"/>
    <col min="16" max="16" width="11.625" customWidth="1"/>
  </cols>
  <sheetData>
    <row r="1" spans="1:13">
      <c r="B1" s="2"/>
      <c r="C1" s="2"/>
      <c r="D1" s="2"/>
      <c r="E1" s="2"/>
      <c r="F1" s="2"/>
      <c r="G1" s="2"/>
      <c r="H1" s="443" t="str">
        <f>+'Sch 1 - Phased'!W1</f>
        <v>OUCC Attachment CFS-1</v>
      </c>
      <c r="I1" s="2"/>
      <c r="J1" s="2"/>
      <c r="M1" s="213" t="s">
        <v>366</v>
      </c>
    </row>
    <row r="2" spans="1:13">
      <c r="B2" s="2"/>
      <c r="C2" s="2"/>
      <c r="D2" s="2"/>
      <c r="E2" s="2"/>
      <c r="F2" s="2"/>
      <c r="G2" s="2"/>
      <c r="H2" s="26" t="s">
        <v>367</v>
      </c>
      <c r="I2" s="2"/>
      <c r="J2" s="2"/>
    </row>
    <row r="3" spans="1:13">
      <c r="B3" s="2"/>
      <c r="C3" s="2"/>
      <c r="D3" s="2"/>
      <c r="E3" s="2"/>
      <c r="F3" s="2"/>
      <c r="G3" s="2"/>
      <c r="H3" s="443" t="s">
        <v>295</v>
      </c>
      <c r="I3" s="2"/>
      <c r="J3" s="2"/>
    </row>
    <row r="4" spans="1:13" ht="20.100000000000001" customHeight="1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9"/>
      <c r="J4" s="9"/>
      <c r="K4" s="9"/>
    </row>
    <row r="5" spans="1:13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10"/>
      <c r="J5" s="10"/>
      <c r="K5" s="10"/>
    </row>
    <row r="6" spans="1:13">
      <c r="A6" s="442"/>
      <c r="C6" s="442"/>
      <c r="D6" s="442"/>
      <c r="E6" s="442"/>
      <c r="F6" s="442"/>
      <c r="G6" s="442"/>
      <c r="H6" s="442"/>
      <c r="I6" s="442"/>
      <c r="J6" s="442"/>
      <c r="K6" s="442"/>
    </row>
    <row r="7" spans="1:13">
      <c r="A7" s="462" t="s">
        <v>368</v>
      </c>
      <c r="B7" s="462"/>
      <c r="C7" s="462"/>
      <c r="D7" s="462"/>
      <c r="E7" s="462"/>
      <c r="F7" s="462"/>
      <c r="G7" s="462"/>
      <c r="H7" s="462"/>
      <c r="I7" s="240"/>
      <c r="J7" s="240"/>
      <c r="K7" s="240"/>
    </row>
    <row r="8" spans="1:13">
      <c r="A8"/>
    </row>
    <row r="9" spans="1:13">
      <c r="A9"/>
    </row>
    <row r="10" spans="1:13">
      <c r="A10"/>
    </row>
    <row r="11" spans="1:13">
      <c r="A11"/>
    </row>
    <row r="12" spans="1:13">
      <c r="A12"/>
    </row>
    <row r="13" spans="1:13">
      <c r="A13"/>
    </row>
    <row r="14" spans="1:13" s="393" customFormat="1" ht="61.5" customHeight="1">
      <c r="B14" s="475" t="s">
        <v>369</v>
      </c>
      <c r="C14" s="475"/>
      <c r="D14" s="475"/>
      <c r="E14" s="475"/>
      <c r="F14" s="475"/>
      <c r="G14" s="475"/>
      <c r="H14" s="475"/>
    </row>
    <row r="15" spans="1:13">
      <c r="A15"/>
    </row>
    <row r="16" spans="1:13">
      <c r="A16"/>
    </row>
    <row r="17" spans="1:28">
      <c r="A17"/>
    </row>
    <row r="18" spans="1:28">
      <c r="A18"/>
    </row>
    <row r="24" spans="1:28">
      <c r="R24" s="241"/>
      <c r="S24" s="239"/>
      <c r="T24" s="239"/>
      <c r="V24" s="239"/>
      <c r="W24" s="239"/>
      <c r="X24" s="242"/>
      <c r="Y24" s="242"/>
      <c r="Z24" s="242"/>
      <c r="AA24" s="239"/>
      <c r="AB24" s="239"/>
    </row>
  </sheetData>
  <mergeCells count="4">
    <mergeCell ref="A4:H4"/>
    <mergeCell ref="A5:H5"/>
    <mergeCell ref="A7:H7"/>
    <mergeCell ref="B14:H14"/>
  </mergeCells>
  <hyperlinks>
    <hyperlink ref="M1" r:id="rId1" location="50-5.1-9-1" display="https://iar.iga.in.gov/code/2025/50/5.1 - 50-5.1-9-1" xr:uid="{1024A53F-2686-442F-AFF1-28F4533FECFE}"/>
  </hyperlinks>
  <pageMargins left="0.5" right="0.5" top="0.5" bottom="0.75" header="0.5" footer="0.5"/>
  <pageSetup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11"/>
  </sheetPr>
  <dimension ref="A1:I32"/>
  <sheetViews>
    <sheetView view="pageBreakPreview" zoomScaleNormal="125" zoomScaleSheetLayoutView="100" workbookViewId="0">
      <selection activeCell="B27" sqref="B27"/>
    </sheetView>
  </sheetViews>
  <sheetFormatPr defaultRowHeight="15.75"/>
  <cols>
    <col min="1" max="1" width="2.75" style="57" customWidth="1"/>
    <col min="2" max="2" width="6.875" customWidth="1"/>
    <col min="3" max="3" width="31.5" customWidth="1"/>
    <col min="4" max="4" width="1.625" customWidth="1"/>
    <col min="5" max="5" width="14.5" customWidth="1"/>
    <col min="6" max="6" width="1.625" customWidth="1"/>
    <col min="7" max="7" width="14.5" customWidth="1"/>
    <col min="8" max="8" width="1.625" customWidth="1"/>
    <col min="9" max="9" width="14.5" customWidth="1"/>
  </cols>
  <sheetData>
    <row r="1" spans="1:9">
      <c r="B1" s="2"/>
      <c r="C1" s="2"/>
      <c r="D1" s="2"/>
      <c r="E1" s="2"/>
      <c r="F1" s="2"/>
      <c r="I1" s="443" t="str">
        <f>+'Sch 1 - Phased'!W1</f>
        <v>OUCC Attachment CFS-1</v>
      </c>
    </row>
    <row r="2" spans="1:9">
      <c r="B2" s="2"/>
      <c r="C2" s="2"/>
      <c r="D2" s="2"/>
      <c r="E2" s="2"/>
      <c r="F2" s="2"/>
      <c r="I2" s="26" t="s">
        <v>370</v>
      </c>
    </row>
    <row r="3" spans="1:9">
      <c r="B3" s="2"/>
      <c r="C3" s="2"/>
      <c r="D3" s="2"/>
      <c r="E3" s="2"/>
      <c r="F3" s="2"/>
      <c r="I3" s="443" t="s">
        <v>295</v>
      </c>
    </row>
    <row r="4" spans="1:9" ht="20.100000000000001" customHeight="1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</row>
    <row r="5" spans="1:9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</row>
    <row r="6" spans="1:9">
      <c r="A6"/>
    </row>
    <row r="7" spans="1:9">
      <c r="A7" s="462" t="s">
        <v>44</v>
      </c>
      <c r="B7" s="462"/>
      <c r="C7" s="462"/>
      <c r="D7" s="462"/>
      <c r="E7" s="462"/>
      <c r="F7" s="462"/>
      <c r="G7" s="462"/>
      <c r="H7" s="462"/>
      <c r="I7" s="462"/>
    </row>
    <row r="8" spans="1:9">
      <c r="A8"/>
      <c r="I8" s="442" t="s">
        <v>33</v>
      </c>
    </row>
    <row r="9" spans="1:9">
      <c r="E9" s="5" t="s">
        <v>34</v>
      </c>
      <c r="G9" s="5" t="s">
        <v>33</v>
      </c>
      <c r="I9" s="5" t="s">
        <v>36</v>
      </c>
    </row>
    <row r="10" spans="1:9">
      <c r="A10" s="57">
        <v>1</v>
      </c>
      <c r="B10" t="s">
        <v>371</v>
      </c>
      <c r="E10" s="45">
        <v>10327225</v>
      </c>
      <c r="G10" s="45">
        <f>SUM('Sch 4 PF IS'!L20:L39)</f>
        <v>9584595</v>
      </c>
      <c r="I10" s="45">
        <f>+G10-E10</f>
        <v>-742630</v>
      </c>
    </row>
    <row r="11" spans="1:9">
      <c r="A11" s="57">
        <v>2</v>
      </c>
      <c r="B11" s="2" t="s">
        <v>372</v>
      </c>
      <c r="C11" s="2" t="s">
        <v>244</v>
      </c>
      <c r="E11" s="46">
        <v>908049</v>
      </c>
      <c r="G11" s="46">
        <v>0</v>
      </c>
      <c r="I11" s="46">
        <f t="shared" ref="I11:I12" si="0">+G11-E11</f>
        <v>-908049</v>
      </c>
    </row>
    <row r="12" spans="1:9">
      <c r="A12" s="57">
        <v>3</v>
      </c>
      <c r="B12" t="s">
        <v>373</v>
      </c>
      <c r="C12" t="s">
        <v>235</v>
      </c>
      <c r="E12" s="64">
        <v>0</v>
      </c>
      <c r="G12" s="46">
        <f>-'Sch 4 PF IS'!L27</f>
        <v>-900000</v>
      </c>
      <c r="I12" s="46">
        <f t="shared" si="0"/>
        <v>-900000</v>
      </c>
    </row>
    <row r="13" spans="1:9" ht="8.4499999999999993" customHeight="1">
      <c r="E13" s="138"/>
      <c r="G13" s="138"/>
      <c r="I13" s="138"/>
    </row>
    <row r="14" spans="1:9">
      <c r="A14" s="57">
        <v>4</v>
      </c>
      <c r="B14" t="s">
        <v>374</v>
      </c>
      <c r="E14" s="24">
        <f>SUM(E10:E13)</f>
        <v>11235274</v>
      </c>
      <c r="G14" s="61">
        <f>SUM(G10:G12)</f>
        <v>8684595</v>
      </c>
      <c r="I14" s="61">
        <f>G14-E14</f>
        <v>-2550679</v>
      </c>
    </row>
    <row r="15" spans="1:9">
      <c r="A15" s="57">
        <v>5</v>
      </c>
      <c r="B15" s="2" t="s">
        <v>375</v>
      </c>
      <c r="E15" s="384">
        <f>ROUND(2/12,5)</f>
        <v>0.16667000000000001</v>
      </c>
      <c r="G15" s="61"/>
      <c r="I15" s="61"/>
    </row>
    <row r="16" spans="1:9">
      <c r="A16" s="57">
        <v>6</v>
      </c>
      <c r="B16" t="s">
        <v>376</v>
      </c>
      <c r="E16" s="62"/>
      <c r="G16" s="385">
        <f>ROUND(45/360,5)</f>
        <v>0.125</v>
      </c>
      <c r="I16" s="385"/>
    </row>
    <row r="17" spans="1:9" ht="8.4499999999999993" customHeight="1"/>
    <row r="18" spans="1:9">
      <c r="A18" s="57">
        <v>7</v>
      </c>
      <c r="B18" t="s">
        <v>377</v>
      </c>
      <c r="E18" s="24">
        <f>ROUND(E14*E15,0)*0+1872546</f>
        <v>1872546</v>
      </c>
      <c r="G18" s="54">
        <f>ROUND(G14*G16,0)</f>
        <v>1085574</v>
      </c>
      <c r="I18" s="54">
        <f>G18-E18</f>
        <v>-786972</v>
      </c>
    </row>
    <row r="19" spans="1:9">
      <c r="A19" s="57">
        <v>8</v>
      </c>
      <c r="B19" t="s">
        <v>373</v>
      </c>
      <c r="C19" t="s">
        <v>378</v>
      </c>
      <c r="E19" s="137">
        <f>E31</f>
        <v>1317168</v>
      </c>
      <c r="G19" s="63">
        <f>G31</f>
        <v>1217060</v>
      </c>
      <c r="I19" s="63">
        <f t="shared" ref="I19:I31" si="1">G19-E19</f>
        <v>-100108</v>
      </c>
    </row>
    <row r="20" spans="1:9" ht="8.4499999999999993" customHeight="1"/>
    <row r="21" spans="1:9">
      <c r="A21" s="57">
        <v>9</v>
      </c>
      <c r="B21" t="s">
        <v>379</v>
      </c>
      <c r="E21" s="139">
        <f>E18-E19</f>
        <v>555378</v>
      </c>
      <c r="G21" s="386">
        <f>G18-G19</f>
        <v>-131486</v>
      </c>
      <c r="I21" s="386">
        <f t="shared" si="1"/>
        <v>-686864</v>
      </c>
    </row>
    <row r="22" spans="1:9">
      <c r="E22" s="139"/>
      <c r="G22" s="386"/>
      <c r="I22" s="386"/>
    </row>
    <row r="23" spans="1:9">
      <c r="E23" s="139"/>
      <c r="G23" s="386"/>
      <c r="I23" s="386"/>
    </row>
    <row r="24" spans="1:9">
      <c r="E24" s="139"/>
      <c r="G24" s="386"/>
      <c r="I24" s="386"/>
    </row>
    <row r="25" spans="1:9" ht="16.5" thickBot="1"/>
    <row r="26" spans="1:9">
      <c r="A26" s="57">
        <v>10</v>
      </c>
      <c r="B26" s="387" t="s">
        <v>378</v>
      </c>
      <c r="C26" s="388"/>
      <c r="D26" s="388"/>
      <c r="E26" s="28"/>
      <c r="F26" s="28"/>
      <c r="G26" s="28"/>
      <c r="H26" s="28"/>
      <c r="I26" s="143"/>
    </row>
    <row r="27" spans="1:9">
      <c r="A27" s="57">
        <v>11</v>
      </c>
      <c r="B27" s="12" t="s">
        <v>244</v>
      </c>
      <c r="C27" s="33"/>
      <c r="D27" s="33"/>
      <c r="E27" s="386">
        <v>639660</v>
      </c>
      <c r="G27" s="238">
        <v>0</v>
      </c>
      <c r="I27" s="422">
        <f t="shared" si="1"/>
        <v>-639660</v>
      </c>
    </row>
    <row r="28" spans="1:9">
      <c r="A28" s="57">
        <v>12</v>
      </c>
      <c r="B28" s="12" t="s">
        <v>380</v>
      </c>
      <c r="E28" s="55">
        <v>0</v>
      </c>
      <c r="G28" s="55">
        <f>ROUND('Sch 2 - BS'!F24*0.75,0)</f>
        <v>539553</v>
      </c>
      <c r="I28" s="73">
        <f t="shared" si="1"/>
        <v>539553</v>
      </c>
    </row>
    <row r="29" spans="1:9">
      <c r="A29" s="57">
        <v>13</v>
      </c>
      <c r="B29" s="12" t="s">
        <v>163</v>
      </c>
      <c r="E29" s="55">
        <f>'Sch 2 - BS'!F25</f>
        <v>170488</v>
      </c>
      <c r="G29" s="55">
        <f>'Sch 2 - BS'!F25</f>
        <v>170488</v>
      </c>
      <c r="I29" s="73">
        <f t="shared" si="1"/>
        <v>0</v>
      </c>
    </row>
    <row r="30" spans="1:9">
      <c r="A30" s="57">
        <v>14</v>
      </c>
      <c r="B30" s="12" t="s">
        <v>381</v>
      </c>
      <c r="E30" s="125">
        <f>'Sch 2 - BS'!F30</f>
        <v>507019</v>
      </c>
      <c r="G30" s="125">
        <f>'Sch 2 - BS'!F30</f>
        <v>507019</v>
      </c>
      <c r="I30" s="130">
        <f t="shared" si="1"/>
        <v>0</v>
      </c>
    </row>
    <row r="31" spans="1:9">
      <c r="A31" s="57">
        <v>15</v>
      </c>
      <c r="B31" s="30"/>
      <c r="C31" t="s">
        <v>382</v>
      </c>
      <c r="E31" s="54">
        <f>SUM(E27:E30)+1</f>
        <v>1317168</v>
      </c>
      <c r="G31" s="54">
        <f>SUM(G28:G30)</f>
        <v>1217060</v>
      </c>
      <c r="I31" s="116">
        <f t="shared" si="1"/>
        <v>-100108</v>
      </c>
    </row>
    <row r="32" spans="1:9" ht="16.5" thickBot="1">
      <c r="B32" s="31"/>
      <c r="C32" s="32"/>
      <c r="D32" s="32"/>
      <c r="E32" s="32"/>
      <c r="F32" s="32"/>
      <c r="G32" s="32"/>
      <c r="H32" s="32"/>
      <c r="I32" s="117"/>
    </row>
  </sheetData>
  <mergeCells count="3">
    <mergeCell ref="A4:I4"/>
    <mergeCell ref="A5:I5"/>
    <mergeCell ref="A7:I7"/>
  </mergeCells>
  <phoneticPr fontId="7" type="noConversion"/>
  <pageMargins left="0.5" right="0.5" top="0.5" bottom="0.75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34"/>
  </sheetPr>
  <dimension ref="A1:W39"/>
  <sheetViews>
    <sheetView view="pageBreakPreview" topLeftCell="A4" zoomScale="98" zoomScaleNormal="100" zoomScaleSheetLayoutView="98" workbookViewId="0">
      <selection activeCell="B27" sqref="B27"/>
    </sheetView>
  </sheetViews>
  <sheetFormatPr defaultRowHeight="15.75"/>
  <cols>
    <col min="1" max="1" width="2.625" customWidth="1"/>
    <col min="2" max="2" width="6.75" bestFit="1" customWidth="1"/>
    <col min="3" max="3" width="1.625" customWidth="1"/>
    <col min="4" max="4" width="11.375" bestFit="1" customWidth="1"/>
    <col min="5" max="5" width="1.625" customWidth="1"/>
    <col min="6" max="6" width="11.375" bestFit="1" customWidth="1"/>
    <col min="7" max="7" width="1.625" customWidth="1"/>
    <col min="8" max="8" width="14.125" customWidth="1"/>
    <col min="9" max="9" width="1.625" customWidth="1"/>
    <col min="10" max="10" width="11.375" bestFit="1" customWidth="1"/>
    <col min="11" max="11" width="1.625" customWidth="1"/>
    <col min="12" max="12" width="11.375" bestFit="1" customWidth="1"/>
    <col min="13" max="13" width="1.625" customWidth="1"/>
    <col min="14" max="14" width="10.5" bestFit="1" customWidth="1"/>
    <col min="15" max="15" width="1.625" customWidth="1"/>
    <col min="16" max="19" width="8.625" style="66"/>
  </cols>
  <sheetData>
    <row r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455" t="str">
        <f>+'Sch 1 - Phased'!W1</f>
        <v>OUCC Attachment CFS-1</v>
      </c>
      <c r="M1" s="455"/>
      <c r="N1" s="455"/>
      <c r="O1" s="2"/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26"/>
      <c r="N2" s="26" t="s">
        <v>383</v>
      </c>
      <c r="O2" s="2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443"/>
      <c r="N3" s="443" t="s">
        <v>295</v>
      </c>
      <c r="O3" s="2"/>
    </row>
    <row r="4" spans="1:20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66" t="s">
        <v>384</v>
      </c>
    </row>
    <row r="5" spans="1:20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66" t="s">
        <v>385</v>
      </c>
    </row>
    <row r="6" spans="1:20">
      <c r="P6" s="66" t="s">
        <v>386</v>
      </c>
    </row>
    <row r="7" spans="1:20">
      <c r="A7" s="462" t="s">
        <v>42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Q7" s="473" t="s">
        <v>387</v>
      </c>
      <c r="R7" s="473"/>
      <c r="S7" s="473"/>
      <c r="T7" s="473"/>
    </row>
    <row r="8" spans="1:20">
      <c r="A8" s="445"/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Q8" s="473"/>
      <c r="R8" s="473"/>
      <c r="S8" s="473"/>
      <c r="T8" s="473"/>
    </row>
    <row r="9" spans="1:20">
      <c r="A9" s="445"/>
      <c r="B9" s="445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Q9" s="473"/>
      <c r="R9" s="473"/>
      <c r="S9" s="473"/>
      <c r="T9" s="473"/>
    </row>
    <row r="10" spans="1:20">
      <c r="A10" s="445"/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Q10" s="473"/>
      <c r="R10" s="473"/>
      <c r="S10" s="473"/>
      <c r="T10" s="473"/>
    </row>
    <row r="11" spans="1:20">
      <c r="A11" s="445"/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Q11" s="473"/>
      <c r="R11" s="473"/>
      <c r="S11" s="473"/>
      <c r="T11" s="473"/>
    </row>
    <row r="12" spans="1:20">
      <c r="A12" s="445"/>
      <c r="B12" s="445"/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Q12" s="473"/>
      <c r="R12" s="473"/>
      <c r="S12" s="473"/>
      <c r="T12" s="473"/>
    </row>
    <row r="13" spans="1:20">
      <c r="A13" s="445"/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Q13" s="473"/>
      <c r="R13" s="473"/>
      <c r="S13" s="473"/>
      <c r="T13" s="473"/>
    </row>
    <row r="14" spans="1:20">
      <c r="A14" s="445"/>
      <c r="B14" s="445"/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Q14" s="473"/>
      <c r="R14" s="473"/>
      <c r="S14" s="473"/>
      <c r="T14" s="473"/>
    </row>
    <row r="15" spans="1:20">
      <c r="A15" s="445"/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Q15" s="473"/>
      <c r="R15" s="473"/>
      <c r="S15" s="473"/>
      <c r="T15" s="473"/>
    </row>
    <row r="16" spans="1:20">
      <c r="A16" s="445"/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Q16" s="473"/>
      <c r="R16" s="473"/>
      <c r="S16" s="473"/>
      <c r="T16" s="473"/>
    </row>
    <row r="17" spans="1:22" ht="45.95" customHeight="1">
      <c r="A17" s="476" t="s">
        <v>388</v>
      </c>
      <c r="B17" s="477"/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45"/>
      <c r="Q17" s="473"/>
      <c r="R17" s="473"/>
      <c r="S17" s="473"/>
      <c r="T17" s="473"/>
    </row>
    <row r="18" spans="1:22">
      <c r="A18" s="445"/>
      <c r="B18" s="445"/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Q18" s="473"/>
      <c r="R18" s="473"/>
      <c r="S18" s="473"/>
      <c r="T18" s="473"/>
    </row>
    <row r="19" spans="1:22">
      <c r="A19" s="445"/>
      <c r="B19" s="445"/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Q19" s="473"/>
      <c r="R19" s="473"/>
      <c r="S19" s="473"/>
      <c r="T19" s="473"/>
    </row>
    <row r="20" spans="1:22">
      <c r="A20" s="445"/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Q20" s="473"/>
      <c r="R20" s="473"/>
      <c r="S20" s="473"/>
      <c r="T20" s="473"/>
    </row>
    <row r="21" spans="1:22">
      <c r="A21" s="445"/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Q21" s="473"/>
      <c r="R21" s="473"/>
      <c r="S21" s="473"/>
      <c r="T21" s="473"/>
    </row>
    <row r="22" spans="1:22">
      <c r="A22" s="445"/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Q22" s="473"/>
      <c r="R22" s="473"/>
      <c r="S22" s="473"/>
      <c r="T22" s="473"/>
    </row>
    <row r="23" spans="1:22">
      <c r="A23" s="445"/>
      <c r="B23" s="445"/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Q23" s="473"/>
      <c r="R23" s="473"/>
      <c r="S23" s="473"/>
      <c r="T23" s="473"/>
    </row>
    <row r="24" spans="1:22">
      <c r="Q24" s="473"/>
      <c r="R24" s="473"/>
      <c r="S24" s="473"/>
      <c r="T24" s="473"/>
    </row>
    <row r="25" spans="1:22">
      <c r="A25" t="s">
        <v>389</v>
      </c>
      <c r="Q25" s="473"/>
      <c r="R25" s="473"/>
      <c r="S25" s="473"/>
      <c r="T25" s="473"/>
    </row>
    <row r="27" spans="1:22">
      <c r="A27" s="57">
        <v>1</v>
      </c>
      <c r="D27" s="5" t="s">
        <v>259</v>
      </c>
      <c r="E27" s="442"/>
      <c r="F27" s="5" t="s">
        <v>285</v>
      </c>
      <c r="G27" s="442"/>
      <c r="H27" s="5" t="s">
        <v>287</v>
      </c>
      <c r="I27" s="442"/>
      <c r="J27" s="5" t="s">
        <v>290</v>
      </c>
      <c r="K27" s="442"/>
      <c r="L27" s="5" t="s">
        <v>292</v>
      </c>
      <c r="M27" s="442"/>
      <c r="N27" s="5" t="s">
        <v>292</v>
      </c>
      <c r="P27" s="66" t="s">
        <v>390</v>
      </c>
    </row>
    <row r="28" spans="1:22" ht="6" customHeight="1"/>
    <row r="29" spans="1:22">
      <c r="A29" s="57">
        <v>2</v>
      </c>
      <c r="B29" s="2" t="s">
        <v>391</v>
      </c>
      <c r="D29" s="27">
        <v>1306190</v>
      </c>
      <c r="E29" s="27"/>
      <c r="F29" s="27">
        <v>1315090</v>
      </c>
      <c r="G29" s="24"/>
      <c r="H29" s="27">
        <v>937680</v>
      </c>
      <c r="I29" s="24"/>
      <c r="J29" s="27">
        <v>940890</v>
      </c>
      <c r="K29" s="24"/>
      <c r="L29" s="27">
        <v>937140</v>
      </c>
      <c r="M29" s="46"/>
      <c r="N29" s="27">
        <v>0</v>
      </c>
      <c r="O29" s="24"/>
      <c r="P29" s="473"/>
      <c r="Q29" s="473"/>
      <c r="R29" s="473"/>
      <c r="S29" s="473"/>
      <c r="T29" s="473"/>
      <c r="U29" s="473"/>
      <c r="V29" s="473"/>
    </row>
    <row r="30" spans="1:22">
      <c r="A30" s="57">
        <v>3</v>
      </c>
      <c r="B30" s="2">
        <v>2025</v>
      </c>
      <c r="D30" s="24"/>
      <c r="E30" s="24"/>
      <c r="F30" s="24">
        <v>1000</v>
      </c>
      <c r="G30" s="24"/>
      <c r="H30" s="24">
        <v>1166150</v>
      </c>
      <c r="I30" s="27"/>
      <c r="J30" s="24">
        <v>2910250</v>
      </c>
      <c r="K30" s="27"/>
      <c r="L30" s="24">
        <v>2911250</v>
      </c>
      <c r="M30" s="27"/>
      <c r="N30" s="24">
        <v>0</v>
      </c>
      <c r="O30" s="24"/>
      <c r="P30" s="473"/>
      <c r="Q30" s="473"/>
      <c r="R30" s="473"/>
      <c r="S30" s="473"/>
      <c r="T30" s="473"/>
      <c r="U30" s="473"/>
      <c r="V30" s="473"/>
    </row>
    <row r="31" spans="1:22">
      <c r="A31" s="57">
        <v>4</v>
      </c>
      <c r="B31" s="2" t="s">
        <v>392</v>
      </c>
      <c r="D31" s="24">
        <v>0</v>
      </c>
      <c r="E31" s="24"/>
      <c r="F31" s="24">
        <v>0</v>
      </c>
      <c r="G31" s="24"/>
      <c r="H31" s="24">
        <v>0</v>
      </c>
      <c r="I31" s="24"/>
      <c r="J31" s="24">
        <v>0</v>
      </c>
      <c r="K31" s="24"/>
      <c r="L31" s="24">
        <v>0</v>
      </c>
      <c r="M31" s="24"/>
      <c r="N31" s="24">
        <v>0</v>
      </c>
      <c r="O31" s="24"/>
      <c r="P31" s="473"/>
      <c r="Q31" s="473"/>
      <c r="R31" s="473"/>
      <c r="S31" s="473"/>
      <c r="T31" s="473"/>
      <c r="U31" s="473"/>
      <c r="V31" s="473"/>
    </row>
    <row r="32" spans="1:22">
      <c r="A32" s="57">
        <v>5</v>
      </c>
      <c r="B32" t="s">
        <v>393</v>
      </c>
      <c r="D32" s="24"/>
      <c r="E32" s="24"/>
      <c r="F32" s="24"/>
      <c r="G32" s="24"/>
      <c r="H32" s="24">
        <v>419327</v>
      </c>
      <c r="I32" s="24"/>
      <c r="J32" s="24">
        <v>387086</v>
      </c>
      <c r="K32" s="24"/>
      <c r="L32" s="24">
        <v>469977</v>
      </c>
      <c r="M32" s="24"/>
      <c r="N32" s="24">
        <v>0</v>
      </c>
      <c r="O32" s="24"/>
      <c r="T32" s="66"/>
      <c r="U32" s="66"/>
      <c r="V32" s="66"/>
    </row>
    <row r="33" spans="1:23">
      <c r="A33" s="57">
        <v>6</v>
      </c>
      <c r="B33">
        <v>2027</v>
      </c>
      <c r="D33" s="25"/>
      <c r="E33" s="25"/>
      <c r="F33" s="25"/>
      <c r="G33" s="25"/>
      <c r="H33" s="25"/>
      <c r="I33" s="25"/>
      <c r="J33" s="25">
        <v>833356</v>
      </c>
      <c r="K33" s="25"/>
      <c r="L33" s="25">
        <v>932325</v>
      </c>
      <c r="M33" s="25"/>
      <c r="N33" s="25">
        <v>0</v>
      </c>
      <c r="O33" s="24"/>
      <c r="Q33" s="473" t="s">
        <v>394</v>
      </c>
      <c r="R33" s="473"/>
      <c r="S33" s="473"/>
      <c r="T33" s="473"/>
      <c r="U33" s="473"/>
      <c r="V33" s="473"/>
    </row>
    <row r="34" spans="1:23">
      <c r="A34" s="57">
        <v>7</v>
      </c>
      <c r="B34">
        <v>2028</v>
      </c>
      <c r="D34" s="24"/>
      <c r="E34" s="24"/>
      <c r="F34" s="24"/>
      <c r="G34" s="24"/>
      <c r="H34" s="24"/>
      <c r="I34" s="24"/>
      <c r="J34" s="24"/>
      <c r="K34" s="24"/>
      <c r="L34" s="24">
        <v>78929</v>
      </c>
      <c r="M34" s="24"/>
      <c r="N34" s="24">
        <v>72857</v>
      </c>
      <c r="O34" s="24"/>
      <c r="Q34" s="448"/>
      <c r="R34" s="448"/>
      <c r="S34" s="448"/>
      <c r="T34" s="448"/>
      <c r="U34" s="448"/>
      <c r="V34" s="448"/>
    </row>
    <row r="35" spans="1:23">
      <c r="A35" s="57">
        <v>8</v>
      </c>
      <c r="B35">
        <v>2029</v>
      </c>
      <c r="D35" s="27"/>
      <c r="F35" s="27"/>
      <c r="H35" s="27"/>
      <c r="J35" s="27"/>
      <c r="L35" s="27"/>
      <c r="M35" s="27"/>
      <c r="N35" s="24">
        <v>72857</v>
      </c>
      <c r="Q35" s="448"/>
      <c r="R35" s="448"/>
      <c r="S35" s="448"/>
      <c r="T35" s="448"/>
      <c r="U35" s="448"/>
      <c r="V35" s="448"/>
    </row>
    <row r="36" spans="1:23" ht="6" customHeight="1">
      <c r="A36" s="57"/>
      <c r="B36" s="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T36" s="66"/>
      <c r="U36" s="66"/>
      <c r="V36" s="66"/>
    </row>
    <row r="37" spans="1:23" ht="16.5" thickBot="1">
      <c r="A37" s="57">
        <v>9</v>
      </c>
      <c r="D37" s="362">
        <f>SUM(D29:D36)</f>
        <v>1306190</v>
      </c>
      <c r="F37" s="362">
        <f t="shared" ref="F37" si="0">SUM(F29:F36)</f>
        <v>1316090</v>
      </c>
      <c r="H37" s="362">
        <f t="shared" ref="H37" si="1">SUM(H29:H36)</f>
        <v>2523157</v>
      </c>
      <c r="J37" s="362">
        <f t="shared" ref="J37" si="2">SUM(J29:J36)</f>
        <v>5071582</v>
      </c>
      <c r="L37" s="362">
        <f t="shared" ref="L37" si="3">SUM(L29:L36)</f>
        <v>5329621</v>
      </c>
      <c r="N37" s="362">
        <f t="shared" ref="N37" si="4">SUM(N29:N36)</f>
        <v>145714</v>
      </c>
      <c r="P37" s="473" t="s">
        <v>395</v>
      </c>
      <c r="Q37" s="473"/>
      <c r="R37" s="473"/>
      <c r="S37" s="473"/>
      <c r="T37" s="473"/>
      <c r="U37" s="473"/>
      <c r="V37" s="473"/>
      <c r="W37" s="473"/>
    </row>
    <row r="38" spans="1:23" ht="16.5" thickTop="1">
      <c r="A38" s="57"/>
      <c r="B38" s="33"/>
      <c r="P38" s="473"/>
      <c r="Q38" s="473"/>
      <c r="R38" s="473"/>
      <c r="S38" s="473"/>
      <c r="T38" s="473"/>
      <c r="U38" s="473"/>
      <c r="V38" s="473"/>
      <c r="W38" s="473"/>
    </row>
    <row r="39" spans="1:23">
      <c r="T39" s="66"/>
      <c r="U39" s="66"/>
      <c r="V39" s="66"/>
    </row>
  </sheetData>
  <mergeCells count="9">
    <mergeCell ref="L1:N1"/>
    <mergeCell ref="Q33:V33"/>
    <mergeCell ref="P37:W38"/>
    <mergeCell ref="A4:O4"/>
    <mergeCell ref="A5:O5"/>
    <mergeCell ref="A7:O7"/>
    <mergeCell ref="Q7:T25"/>
    <mergeCell ref="P29:V31"/>
    <mergeCell ref="A17:N17"/>
  </mergeCells>
  <phoneticPr fontId="7" type="noConversion"/>
  <pageMargins left="0.5" right="0.5" top="0.5" bottom="0.75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51"/>
  </sheetPr>
  <dimension ref="A1:N36"/>
  <sheetViews>
    <sheetView view="pageBreakPreview" zoomScale="96" zoomScaleNormal="100" zoomScaleSheetLayoutView="96" workbookViewId="0">
      <selection activeCell="B27" sqref="B27"/>
    </sheetView>
  </sheetViews>
  <sheetFormatPr defaultRowHeight="15.75"/>
  <cols>
    <col min="1" max="1" width="1.625" customWidth="1"/>
    <col min="2" max="2" width="6.75" customWidth="1"/>
    <col min="3" max="3" width="1.625" customWidth="1"/>
    <col min="4" max="4" width="9.625" bestFit="1" customWidth="1"/>
    <col min="5" max="5" width="1.625" customWidth="1"/>
    <col min="6" max="6" width="9.625" bestFit="1" customWidth="1"/>
    <col min="7" max="7" width="1.625" customWidth="1"/>
    <col min="8" max="8" width="23" customWidth="1"/>
    <col min="9" max="9" width="1.625" customWidth="1"/>
    <col min="10" max="10" width="9.625" bestFit="1" customWidth="1"/>
    <col min="11" max="11" width="1.625" customWidth="1"/>
    <col min="12" max="12" width="9.625" bestFit="1" customWidth="1"/>
    <col min="13" max="13" width="1.625" customWidth="1"/>
    <col min="14" max="14" width="10.25" bestFit="1" customWidth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455" t="str">
        <f>+'Sch 1 - Phased'!W1</f>
        <v>OUCC Attachment CFS-1</v>
      </c>
      <c r="K1" s="455"/>
      <c r="L1" s="455"/>
      <c r="M1" s="455"/>
      <c r="N1" s="455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26" t="s">
        <v>396</v>
      </c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N3" s="443" t="s">
        <v>295</v>
      </c>
    </row>
    <row r="4" spans="1:14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</row>
    <row r="5" spans="1:14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</row>
    <row r="6" spans="1:14">
      <c r="M6" s="66"/>
      <c r="N6" s="66"/>
    </row>
    <row r="7" spans="1:14">
      <c r="A7" s="462" t="s">
        <v>43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</row>
    <row r="8" spans="1:14">
      <c r="A8" s="445"/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</row>
    <row r="9" spans="1:14">
      <c r="A9" s="445"/>
      <c r="B9" s="445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</row>
    <row r="10" spans="1:14">
      <c r="A10" s="445"/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</row>
    <row r="11" spans="1:14">
      <c r="A11" s="445"/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</row>
    <row r="12" spans="1:14">
      <c r="A12" s="445"/>
      <c r="B12" s="445"/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</row>
    <row r="13" spans="1:14">
      <c r="A13" s="445"/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</row>
    <row r="14" spans="1:14">
      <c r="A14" s="445"/>
      <c r="B14" s="445"/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</row>
    <row r="15" spans="1:14">
      <c r="A15" s="445"/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</row>
    <row r="16" spans="1:14" ht="60" customHeight="1">
      <c r="A16" s="475" t="s">
        <v>397</v>
      </c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</row>
    <row r="17" spans="1:14">
      <c r="A17" s="445"/>
      <c r="B17" s="445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</row>
    <row r="18" spans="1:14">
      <c r="A18" s="445"/>
      <c r="B18" s="445"/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</row>
    <row r="19" spans="1:14">
      <c r="A19" s="445"/>
      <c r="B19" s="445"/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</row>
    <row r="20" spans="1:14">
      <c r="A20" s="445"/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</row>
    <row r="21" spans="1:14">
      <c r="A21" s="445"/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</row>
    <row r="22" spans="1:14">
      <c r="M22" s="66"/>
      <c r="N22" s="66"/>
    </row>
    <row r="23" spans="1:14">
      <c r="A23" t="s">
        <v>398</v>
      </c>
      <c r="M23" s="66"/>
      <c r="N23" s="66"/>
    </row>
    <row r="24" spans="1:14">
      <c r="M24" s="66"/>
      <c r="N24" s="66"/>
    </row>
    <row r="25" spans="1:14">
      <c r="A25" s="57">
        <v>1</v>
      </c>
      <c r="D25" s="5" t="s">
        <v>259</v>
      </c>
      <c r="E25" s="442"/>
      <c r="F25" s="5" t="s">
        <v>285</v>
      </c>
      <c r="G25" s="442"/>
      <c r="H25" s="5" t="s">
        <v>287</v>
      </c>
      <c r="I25" s="442"/>
      <c r="J25" s="5" t="s">
        <v>290</v>
      </c>
      <c r="K25" s="442"/>
      <c r="L25" s="5" t="s">
        <v>292</v>
      </c>
      <c r="M25" s="442"/>
      <c r="N25" s="5" t="s">
        <v>292</v>
      </c>
    </row>
    <row r="27" spans="1:14">
      <c r="A27" s="57">
        <v>2</v>
      </c>
      <c r="B27" s="2" t="s">
        <v>391</v>
      </c>
    </row>
    <row r="28" spans="1:14">
      <c r="A28" s="57">
        <v>3</v>
      </c>
      <c r="B28" s="2">
        <v>2025</v>
      </c>
      <c r="D28" s="27">
        <v>582950</v>
      </c>
      <c r="E28" s="27"/>
      <c r="F28" s="27">
        <v>582950</v>
      </c>
      <c r="G28" s="24"/>
      <c r="H28" s="27">
        <v>582950</v>
      </c>
      <c r="I28" s="24"/>
      <c r="J28" s="27">
        <v>582950</v>
      </c>
      <c r="K28" s="24"/>
      <c r="L28" s="27">
        <v>582950</v>
      </c>
      <c r="M28" s="46"/>
      <c r="N28" s="27">
        <v>0</v>
      </c>
    </row>
    <row r="29" spans="1:14">
      <c r="A29" s="57">
        <v>4</v>
      </c>
      <c r="B29" s="2" t="s">
        <v>392</v>
      </c>
      <c r="D29" s="24">
        <v>0</v>
      </c>
      <c r="E29" s="24"/>
      <c r="F29" s="24">
        <v>0</v>
      </c>
      <c r="G29" s="24"/>
      <c r="H29" s="24">
        <v>0</v>
      </c>
      <c r="I29" s="24"/>
      <c r="J29" s="24">
        <v>0</v>
      </c>
      <c r="K29" s="24"/>
      <c r="L29" s="24">
        <v>0</v>
      </c>
      <c r="M29" s="24"/>
      <c r="N29" s="24">
        <v>0</v>
      </c>
    </row>
    <row r="30" spans="1:14">
      <c r="A30" s="57">
        <v>5</v>
      </c>
      <c r="B30" t="s">
        <v>393</v>
      </c>
      <c r="D30" s="24"/>
      <c r="E30" s="24"/>
      <c r="F30" s="24"/>
      <c r="G30" s="24"/>
      <c r="H30" s="24">
        <v>95215</v>
      </c>
      <c r="I30" s="24"/>
      <c r="J30" s="24">
        <v>94001</v>
      </c>
      <c r="K30" s="24"/>
      <c r="L30" s="24">
        <v>94001</v>
      </c>
      <c r="M30" s="24"/>
      <c r="N30" s="24">
        <v>0</v>
      </c>
    </row>
    <row r="31" spans="1:14">
      <c r="A31" s="57">
        <v>6</v>
      </c>
      <c r="B31">
        <v>2027</v>
      </c>
      <c r="D31" s="25"/>
      <c r="E31" s="25"/>
      <c r="F31" s="25"/>
      <c r="G31" s="25"/>
      <c r="H31" s="25"/>
      <c r="I31" s="25"/>
      <c r="J31" s="25">
        <v>187730</v>
      </c>
      <c r="K31" s="25"/>
      <c r="L31" s="25">
        <v>186516</v>
      </c>
      <c r="M31" s="25"/>
      <c r="N31" s="25">
        <v>0</v>
      </c>
    </row>
    <row r="32" spans="1:14">
      <c r="A32" s="57">
        <v>7</v>
      </c>
      <c r="B32">
        <v>2028</v>
      </c>
      <c r="D32" s="24"/>
      <c r="E32" s="24"/>
      <c r="F32" s="24"/>
      <c r="G32" s="24"/>
      <c r="H32" s="24"/>
      <c r="I32" s="24"/>
      <c r="J32" s="24"/>
      <c r="K32" s="24"/>
      <c r="L32" s="24">
        <v>15786</v>
      </c>
      <c r="M32" s="24"/>
      <c r="N32" s="24">
        <v>14571</v>
      </c>
    </row>
    <row r="33" spans="1:14">
      <c r="A33" s="57">
        <v>8</v>
      </c>
      <c r="B33">
        <v>2029</v>
      </c>
      <c r="D33" s="27"/>
      <c r="F33" s="27"/>
      <c r="H33" s="27"/>
      <c r="J33" s="27"/>
      <c r="L33" s="27"/>
      <c r="M33" s="27"/>
      <c r="N33" s="24">
        <v>14571</v>
      </c>
    </row>
    <row r="34" spans="1:14" ht="6" customHeight="1">
      <c r="A34" s="57"/>
      <c r="B34" s="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ht="16.5" thickBot="1">
      <c r="A35" s="57">
        <v>9</v>
      </c>
      <c r="D35" s="362">
        <f>SUM(D28:D34)</f>
        <v>582950</v>
      </c>
      <c r="F35" s="362">
        <f>SUM(F28:F34)</f>
        <v>582950</v>
      </c>
      <c r="H35" s="362">
        <f>SUM(H28:H34)</f>
        <v>678165</v>
      </c>
      <c r="J35" s="362">
        <f>SUM(J28:J34)</f>
        <v>864681</v>
      </c>
      <c r="L35" s="362">
        <f>SUM(L28:L34)</f>
        <v>879253</v>
      </c>
      <c r="N35" s="362">
        <f>SUM(N28:N34)</f>
        <v>29142</v>
      </c>
    </row>
    <row r="36" spans="1:14" ht="16.5" thickTop="1">
      <c r="A36" s="57"/>
      <c r="B36" s="33"/>
    </row>
  </sheetData>
  <mergeCells count="5">
    <mergeCell ref="J1:N1"/>
    <mergeCell ref="A4:N4"/>
    <mergeCell ref="A5:N5"/>
    <mergeCell ref="A7:N7"/>
    <mergeCell ref="A16:N16"/>
  </mergeCells>
  <phoneticPr fontId="7" type="noConversion"/>
  <printOptions horizontalCentered="1"/>
  <pageMargins left="0.5" right="0.5" top="0.5" bottom="0.75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indexed="10"/>
  </sheetPr>
  <dimension ref="A1:S89"/>
  <sheetViews>
    <sheetView view="pageBreakPreview" topLeftCell="A37" zoomScaleNormal="100" zoomScaleSheetLayoutView="100" workbookViewId="0">
      <selection activeCell="B27" sqref="B27"/>
    </sheetView>
  </sheetViews>
  <sheetFormatPr defaultRowHeight="15.75"/>
  <cols>
    <col min="2" max="2" width="8.625" bestFit="1" customWidth="1"/>
    <col min="3" max="3" width="1" customWidth="1"/>
    <col min="4" max="4" width="11.875" customWidth="1"/>
    <col min="5" max="5" width="1.625" customWidth="1"/>
    <col min="6" max="6" width="21.125" customWidth="1"/>
    <col min="7" max="7" width="1.625" customWidth="1"/>
    <col min="8" max="8" width="10.5" customWidth="1"/>
    <col min="9" max="9" width="1.625" customWidth="1"/>
    <col min="10" max="10" width="10.5" customWidth="1"/>
    <col min="11" max="11" width="1.875" customWidth="1"/>
    <col min="12" max="12" width="10" customWidth="1"/>
  </cols>
  <sheetData>
    <row r="1" spans="1:19">
      <c r="L1" s="443" t="str">
        <f>+'Sch 1 - Phased'!W1</f>
        <v>OUCC Attachment CFS-1</v>
      </c>
    </row>
    <row r="2" spans="1:19">
      <c r="L2" s="26" t="s">
        <v>399</v>
      </c>
    </row>
    <row r="3" spans="1:19">
      <c r="L3" s="443" t="s">
        <v>295</v>
      </c>
    </row>
    <row r="4" spans="1:19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</row>
    <row r="5" spans="1:19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66"/>
      <c r="N5" s="66"/>
      <c r="O5" s="66"/>
      <c r="P5" s="66"/>
      <c r="Q5" s="66"/>
    </row>
    <row r="6" spans="1:19">
      <c r="M6" s="66"/>
      <c r="N6" s="66"/>
      <c r="O6" s="66"/>
      <c r="P6" s="66"/>
      <c r="Q6" s="66"/>
    </row>
    <row r="7" spans="1:19" s="33" customFormat="1">
      <c r="A7" s="452" t="s">
        <v>400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66"/>
      <c r="N7" s="66"/>
      <c r="O7" s="66"/>
      <c r="P7" s="66"/>
      <c r="Q7" s="66"/>
      <c r="R7"/>
      <c r="S7"/>
    </row>
    <row r="8" spans="1:19" s="33" customFormat="1">
      <c r="A8" s="445"/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66"/>
      <c r="N8" s="66"/>
      <c r="O8" s="66"/>
      <c r="P8" s="66"/>
      <c r="Q8" s="66"/>
      <c r="R8"/>
      <c r="S8"/>
    </row>
    <row r="9" spans="1:19" s="33" customFormat="1">
      <c r="A9" s="445"/>
      <c r="B9" s="445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66"/>
      <c r="N9" s="66"/>
      <c r="O9" s="66"/>
      <c r="P9" s="66"/>
      <c r="Q9" s="66"/>
      <c r="R9"/>
      <c r="S9"/>
    </row>
    <row r="10" spans="1:19" s="33" customFormat="1">
      <c r="A10" s="445"/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66"/>
      <c r="N10" s="66"/>
      <c r="O10" s="66"/>
      <c r="P10" s="66"/>
      <c r="Q10" s="66"/>
      <c r="R10"/>
      <c r="S10"/>
    </row>
    <row r="11" spans="1:19" s="33" customFormat="1">
      <c r="A11" s="445"/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66"/>
      <c r="N11" s="66"/>
      <c r="O11" s="66"/>
      <c r="P11" s="66"/>
      <c r="Q11" s="66"/>
      <c r="R11"/>
      <c r="S11"/>
    </row>
    <row r="12" spans="1:19" s="33" customFormat="1">
      <c r="A12" s="445"/>
      <c r="B12" s="445"/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66"/>
      <c r="N12" s="66"/>
      <c r="O12" s="66"/>
      <c r="P12" s="66"/>
      <c r="Q12" s="66"/>
      <c r="R12"/>
      <c r="S12"/>
    </row>
    <row r="13" spans="1:19" s="33" customFormat="1">
      <c r="A13" s="445"/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66"/>
      <c r="N13" s="66"/>
      <c r="O13" s="66"/>
      <c r="P13" s="66"/>
      <c r="Q13" s="66"/>
      <c r="R13"/>
      <c r="S13"/>
    </row>
    <row r="14" spans="1:19" s="33" customFormat="1">
      <c r="A14" s="445"/>
      <c r="B14" s="445"/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66"/>
      <c r="N14" s="66"/>
      <c r="O14" s="66"/>
      <c r="P14" s="66"/>
      <c r="Q14" s="66"/>
      <c r="R14"/>
      <c r="S14"/>
    </row>
    <row r="15" spans="1:19" s="33" customFormat="1">
      <c r="A15" s="445"/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66"/>
      <c r="N15" s="66"/>
      <c r="O15" s="66"/>
      <c r="P15" s="66"/>
      <c r="Q15" s="66"/>
      <c r="R15"/>
      <c r="S15"/>
    </row>
    <row r="16" spans="1:19" s="33" customFormat="1" ht="60" customHeight="1">
      <c r="A16" s="474" t="s">
        <v>401</v>
      </c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66"/>
      <c r="N16" s="66"/>
      <c r="O16" s="66"/>
      <c r="P16" s="66"/>
      <c r="Q16" s="66"/>
      <c r="R16"/>
      <c r="S16"/>
    </row>
    <row r="17" spans="1:19" s="33" customFormat="1">
      <c r="A17" s="445"/>
      <c r="B17" s="445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66"/>
      <c r="N17" s="66"/>
      <c r="O17" s="66"/>
      <c r="P17" s="66"/>
      <c r="Q17" s="66"/>
      <c r="R17"/>
      <c r="S17"/>
    </row>
    <row r="18" spans="1:19" s="33" customFormat="1">
      <c r="A18" s="445"/>
      <c r="B18" s="445"/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66"/>
      <c r="N18" s="66"/>
      <c r="O18" s="66"/>
      <c r="P18" s="66"/>
      <c r="Q18" s="66"/>
      <c r="R18"/>
      <c r="S18"/>
    </row>
    <row r="19" spans="1:19" s="33" customFormat="1">
      <c r="A19" s="445"/>
      <c r="B19" s="445"/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66"/>
      <c r="N19" s="66"/>
      <c r="O19" s="66"/>
      <c r="P19" s="66"/>
      <c r="Q19" s="66"/>
      <c r="R19"/>
      <c r="S19"/>
    </row>
    <row r="20" spans="1:19" s="33" customFormat="1">
      <c r="A20" s="445"/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66"/>
      <c r="N20" s="66"/>
      <c r="O20" s="66"/>
      <c r="P20" s="66"/>
      <c r="Q20" s="66"/>
      <c r="R20"/>
      <c r="S20"/>
    </row>
    <row r="21" spans="1:19" s="33" customFormat="1">
      <c r="A21" s="445"/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66"/>
      <c r="N21" s="66"/>
      <c r="O21" s="66"/>
      <c r="P21" s="66"/>
      <c r="Q21" s="66"/>
      <c r="R21"/>
      <c r="S21"/>
    </row>
    <row r="22" spans="1:19" s="33" customFormat="1">
      <c r="A22" s="445"/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66"/>
      <c r="N22" s="66"/>
      <c r="O22" s="66"/>
      <c r="P22" s="66"/>
      <c r="Q22" s="66"/>
      <c r="R22"/>
      <c r="S22"/>
    </row>
    <row r="23" spans="1:19" s="33" customFormat="1">
      <c r="A23" s="445"/>
      <c r="B23" s="445"/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66"/>
      <c r="N23" s="66"/>
      <c r="O23" s="66"/>
      <c r="P23" s="66"/>
      <c r="Q23" s="66"/>
      <c r="R23"/>
      <c r="S23"/>
    </row>
    <row r="24" spans="1:19" s="33" customFormat="1">
      <c r="A24" s="445"/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66"/>
      <c r="N24" s="66"/>
      <c r="O24" s="66"/>
      <c r="P24" s="66"/>
      <c r="Q24" s="66"/>
      <c r="R24"/>
      <c r="S24"/>
    </row>
    <row r="25" spans="1:19">
      <c r="M25" s="473"/>
      <c r="N25" s="473"/>
      <c r="O25" s="473"/>
      <c r="P25" s="473"/>
      <c r="Q25" s="473"/>
    </row>
    <row r="26" spans="1:19">
      <c r="F26" s="442"/>
      <c r="H26" s="442" t="s">
        <v>34</v>
      </c>
      <c r="J26" s="442" t="s">
        <v>33</v>
      </c>
      <c r="L26" s="442" t="s">
        <v>33</v>
      </c>
      <c r="M26" s="473"/>
      <c r="N26" s="473"/>
      <c r="O26" s="473"/>
      <c r="P26" s="473"/>
      <c r="Q26" s="473"/>
    </row>
    <row r="27" spans="1:19">
      <c r="F27" s="5" t="s">
        <v>402</v>
      </c>
      <c r="H27" s="5" t="s">
        <v>264</v>
      </c>
      <c r="J27" s="5" t="s">
        <v>264</v>
      </c>
      <c r="L27" s="5" t="s">
        <v>36</v>
      </c>
      <c r="M27" s="473"/>
      <c r="N27" s="473"/>
      <c r="O27" s="473"/>
      <c r="P27" s="473"/>
      <c r="Q27" s="473"/>
    </row>
    <row r="28" spans="1:19">
      <c r="A28" s="2" t="s">
        <v>403</v>
      </c>
      <c r="M28" s="66"/>
      <c r="N28" s="66"/>
      <c r="O28" s="66"/>
      <c r="P28" s="66"/>
      <c r="Q28" s="66"/>
    </row>
    <row r="29" spans="1:19">
      <c r="A29" s="2" t="s">
        <v>404</v>
      </c>
      <c r="B29" s="46">
        <v>500</v>
      </c>
      <c r="C29" s="46"/>
      <c r="D29" s="2" t="s">
        <v>405</v>
      </c>
      <c r="E29" s="2"/>
      <c r="F29" s="87">
        <v>4.1680000000000001</v>
      </c>
      <c r="G29" s="87"/>
      <c r="H29" s="86">
        <f>ROUND(F29*(1+'Sch 1 - Phased'!E$33),4)</f>
        <v>5.1725000000000003</v>
      </c>
      <c r="I29" s="86"/>
      <c r="J29" s="86">
        <f>ROUND(H29*(1+'Sch 1 - Phased'!G$33),4)</f>
        <v>6.0804999999999998</v>
      </c>
      <c r="K29" s="86"/>
      <c r="L29" s="86">
        <f>+J29-H29</f>
        <v>0.90799999999999947</v>
      </c>
      <c r="M29" s="215"/>
      <c r="N29" s="216">
        <f>F29*5</f>
        <v>20.84</v>
      </c>
      <c r="O29" s="215"/>
      <c r="P29" s="215"/>
      <c r="Q29" s="66"/>
    </row>
    <row r="30" spans="1:19">
      <c r="A30" s="2" t="s">
        <v>406</v>
      </c>
      <c r="B30" s="46">
        <v>4000</v>
      </c>
      <c r="C30" s="46"/>
      <c r="D30" s="2" t="s">
        <v>405</v>
      </c>
      <c r="E30" s="2"/>
      <c r="F30" s="85">
        <v>2.363</v>
      </c>
      <c r="G30" s="85"/>
      <c r="H30" s="64">
        <f>ROUND(F30*(1+'Sch 1 - Phased'!E$33),4)</f>
        <v>2.9325000000000001</v>
      </c>
      <c r="I30" s="85"/>
      <c r="J30" s="64">
        <f>ROUND(H30*(1+'Sch 1 - Phased'!G$33),4)</f>
        <v>3.4472999999999998</v>
      </c>
      <c r="K30" s="85"/>
      <c r="L30" s="64">
        <f t="shared" ref="L30:L68" si="0">+J30-H30</f>
        <v>0.5147999999999997</v>
      </c>
      <c r="M30" s="215"/>
      <c r="N30" s="215"/>
      <c r="O30" s="215"/>
      <c r="P30" s="215"/>
      <c r="Q30" s="66"/>
    </row>
    <row r="31" spans="1:19">
      <c r="A31" s="2" t="s">
        <v>406</v>
      </c>
      <c r="B31" s="46">
        <v>255000</v>
      </c>
      <c r="C31" s="46"/>
      <c r="D31" s="2" t="s">
        <v>405</v>
      </c>
      <c r="E31" s="2"/>
      <c r="F31" s="85">
        <v>2.044</v>
      </c>
      <c r="G31" s="85"/>
      <c r="H31" s="64">
        <f>ROUND(F31*(1+'Sch 1 - Phased'!E$33),4)</f>
        <v>2.5366</v>
      </c>
      <c r="I31" s="85"/>
      <c r="J31" s="64">
        <f>ROUND(H31*(1+'Sch 1 - Phased'!G$33),4)</f>
        <v>2.9819</v>
      </c>
      <c r="K31" s="85"/>
      <c r="L31" s="64">
        <f t="shared" si="0"/>
        <v>0.44530000000000003</v>
      </c>
      <c r="M31" s="215"/>
      <c r="N31" s="215"/>
      <c r="O31" s="215"/>
      <c r="P31" s="215"/>
      <c r="Q31" s="66"/>
    </row>
    <row r="32" spans="1:19">
      <c r="A32" s="2" t="s">
        <v>406</v>
      </c>
      <c r="B32" s="46">
        <v>700000</v>
      </c>
      <c r="C32" s="46"/>
      <c r="D32" s="2" t="s">
        <v>405</v>
      </c>
      <c r="E32" s="2"/>
      <c r="F32" s="85">
        <v>1.768</v>
      </c>
      <c r="G32" s="85"/>
      <c r="H32" s="64">
        <f>ROUND(F32*(1+'Sch 1 - Phased'!E$33),4)</f>
        <v>2.1941000000000002</v>
      </c>
      <c r="I32" s="85"/>
      <c r="J32" s="64">
        <f>ROUND(H32*(1+'Sch 1 - Phased'!G$33),4)</f>
        <v>2.5792999999999999</v>
      </c>
      <c r="K32" s="85"/>
      <c r="L32" s="64">
        <f t="shared" si="0"/>
        <v>0.38519999999999976</v>
      </c>
    </row>
    <row r="33" spans="1:12">
      <c r="A33" s="2" t="s">
        <v>406</v>
      </c>
      <c r="B33" s="46">
        <v>100000</v>
      </c>
      <c r="C33" s="46"/>
      <c r="D33" s="2" t="s">
        <v>405</v>
      </c>
      <c r="E33" s="2"/>
      <c r="F33" s="85">
        <v>1.5389999999999999</v>
      </c>
      <c r="G33" s="85"/>
      <c r="H33" s="64">
        <f>ROUND(F33*(1+'Sch 1 - Phased'!E$33),4)</f>
        <v>1.9098999999999999</v>
      </c>
      <c r="I33" s="85"/>
      <c r="J33" s="64">
        <f>ROUND(H33*(1+'Sch 1 - Phased'!G$33),4)</f>
        <v>2.2452000000000001</v>
      </c>
      <c r="K33" s="85"/>
      <c r="L33" s="64">
        <f t="shared" si="0"/>
        <v>0.33530000000000015</v>
      </c>
    </row>
    <row r="34" spans="1:12">
      <c r="H34" s="64"/>
      <c r="J34" s="64"/>
      <c r="L34" s="64"/>
    </row>
    <row r="35" spans="1:12">
      <c r="A35" s="2" t="s">
        <v>407</v>
      </c>
      <c r="H35" s="64"/>
      <c r="J35" s="64"/>
      <c r="L35" s="64"/>
    </row>
    <row r="36" spans="1:12">
      <c r="B36" s="443" t="s">
        <v>408</v>
      </c>
      <c r="C36" s="443"/>
      <c r="D36" t="s">
        <v>409</v>
      </c>
      <c r="F36" s="86">
        <v>16.66</v>
      </c>
      <c r="H36" s="64">
        <f>ROUND(F36*(1+'Sch 1 - Phased'!E$33),4)</f>
        <v>20.6751</v>
      </c>
      <c r="J36" s="64">
        <f>ROUND(H36*(1+'Sch 1 - Phased'!G$33),4)</f>
        <v>24.304500000000001</v>
      </c>
      <c r="K36" s="86"/>
      <c r="L36" s="64">
        <f t="shared" si="0"/>
        <v>3.6294000000000004</v>
      </c>
    </row>
    <row r="37" spans="1:12">
      <c r="B37" s="88">
        <v>0.75</v>
      </c>
      <c r="C37" s="88"/>
      <c r="D37" t="s">
        <v>409</v>
      </c>
      <c r="F37" s="64">
        <v>32.19</v>
      </c>
      <c r="H37" s="64">
        <f>ROUND(F37*(1+'Sch 1 - Phased'!E$33),4)</f>
        <v>39.947800000000001</v>
      </c>
      <c r="J37" s="64">
        <f>ROUND(H37*(1+'Sch 1 - Phased'!G$33),4)</f>
        <v>46.9604</v>
      </c>
      <c r="K37" s="64"/>
      <c r="L37" s="64">
        <f t="shared" si="0"/>
        <v>7.0125999999999991</v>
      </c>
    </row>
    <row r="38" spans="1:12">
      <c r="B38">
        <v>1</v>
      </c>
      <c r="D38" t="s">
        <v>409</v>
      </c>
      <c r="F38" s="64">
        <v>60.64</v>
      </c>
      <c r="H38" s="64">
        <f>ROUND(F38*(1+'Sch 1 - Phased'!E$33),4)</f>
        <v>75.254199999999997</v>
      </c>
      <c r="J38" s="64">
        <f>ROUND(H38*(1+'Sch 1 - Phased'!G$33),4)</f>
        <v>88.464500000000001</v>
      </c>
      <c r="K38" s="64"/>
      <c r="L38" s="64">
        <f t="shared" si="0"/>
        <v>13.210300000000004</v>
      </c>
    </row>
    <row r="39" spans="1:12">
      <c r="B39" s="89">
        <v>1.5</v>
      </c>
      <c r="C39" s="89"/>
      <c r="D39" t="s">
        <v>409</v>
      </c>
      <c r="F39" s="64">
        <v>119.22</v>
      </c>
      <c r="H39" s="64">
        <f>ROUND(F39*(1+'Sch 1 - Phased'!E$33),4)</f>
        <v>147.952</v>
      </c>
      <c r="J39" s="64">
        <f>ROUND(H39*(1+'Sch 1 - Phased'!G$33),4)</f>
        <v>173.9239</v>
      </c>
      <c r="K39" s="64"/>
      <c r="L39" s="64">
        <f t="shared" si="0"/>
        <v>25.971900000000005</v>
      </c>
    </row>
    <row r="40" spans="1:12">
      <c r="B40" s="2">
        <v>2</v>
      </c>
      <c r="C40" s="2"/>
      <c r="D40" t="s">
        <v>409</v>
      </c>
      <c r="F40" s="64">
        <v>145.06</v>
      </c>
      <c r="H40" s="64">
        <f>ROUND(F40*(1+'Sch 1 - Phased'!E$33),4)</f>
        <v>180.01949999999999</v>
      </c>
      <c r="J40" s="64">
        <f>ROUND(H40*(1+'Sch 1 - Phased'!G$33),4)</f>
        <v>211.6207</v>
      </c>
      <c r="K40" s="64"/>
      <c r="L40" s="64">
        <f t="shared" si="0"/>
        <v>31.601200000000006</v>
      </c>
    </row>
    <row r="41" spans="1:12">
      <c r="B41" s="2">
        <v>3</v>
      </c>
      <c r="C41" s="2"/>
      <c r="D41" t="s">
        <v>409</v>
      </c>
      <c r="F41" s="64">
        <v>229.2</v>
      </c>
      <c r="H41" s="64">
        <f>ROUND(F41*(1+'Sch 1 - Phased'!E$33),4)</f>
        <v>284.43720000000002</v>
      </c>
      <c r="J41" s="64">
        <f>ROUND(H41*(1+'Sch 1 - Phased'!G$33),4)</f>
        <v>334.3682</v>
      </c>
      <c r="K41" s="64"/>
      <c r="L41" s="64">
        <f t="shared" si="0"/>
        <v>49.930999999999983</v>
      </c>
    </row>
    <row r="42" spans="1:12">
      <c r="B42" s="2">
        <v>4</v>
      </c>
      <c r="C42" s="2"/>
      <c r="D42" t="s">
        <v>409</v>
      </c>
      <c r="F42" s="64">
        <v>288.42</v>
      </c>
      <c r="H42" s="64">
        <f>ROUND(F42*(1+'Sch 1 - Phased'!E$33),4)</f>
        <v>357.92919999999998</v>
      </c>
      <c r="J42" s="64">
        <f>ROUND(H42*(1+'Sch 1 - Phased'!G$33),4)</f>
        <v>420.76119999999997</v>
      </c>
      <c r="K42" s="64"/>
      <c r="L42" s="64">
        <f t="shared" si="0"/>
        <v>62.831999999999994</v>
      </c>
    </row>
    <row r="43" spans="1:12">
      <c r="B43" s="2">
        <v>6</v>
      </c>
      <c r="C43" s="2"/>
      <c r="D43" t="s">
        <v>409</v>
      </c>
      <c r="F43" s="64">
        <v>596.72</v>
      </c>
      <c r="H43" s="64">
        <f>ROUND(F43*(1+'Sch 1 - Phased'!E$33),4)</f>
        <v>740.52949999999998</v>
      </c>
      <c r="J43" s="64">
        <f>ROUND(H43*(1+'Sch 1 - Phased'!G$33),4)</f>
        <v>870.52430000000004</v>
      </c>
      <c r="K43" s="64"/>
      <c r="L43" s="64">
        <f t="shared" si="0"/>
        <v>129.99480000000005</v>
      </c>
    </row>
    <row r="44" spans="1:12">
      <c r="B44" s="2">
        <v>8</v>
      </c>
      <c r="C44" s="2"/>
      <c r="D44" t="s">
        <v>409</v>
      </c>
      <c r="F44" s="64">
        <v>897.33</v>
      </c>
      <c r="H44" s="64">
        <f>ROUND(F44*(1+'Sch 1 - Phased'!E$33),4)</f>
        <v>1113.5864999999999</v>
      </c>
      <c r="J44" s="64">
        <f>ROUND(H44*(1+'Sch 1 - Phased'!G$33),4)</f>
        <v>1309.0688</v>
      </c>
      <c r="K44" s="64"/>
      <c r="L44" s="64">
        <f t="shared" si="0"/>
        <v>195.48230000000012</v>
      </c>
    </row>
    <row r="45" spans="1:12">
      <c r="B45" s="2">
        <v>10</v>
      </c>
      <c r="C45" s="2"/>
      <c r="D45" t="s">
        <v>409</v>
      </c>
      <c r="F45" s="64">
        <v>1217.0999999999999</v>
      </c>
      <c r="H45" s="64">
        <f>ROUND(F45*(1+'Sch 1 - Phased'!E$33),4)</f>
        <v>1510.4211</v>
      </c>
      <c r="J45" s="64">
        <f>ROUND(H45*(1+'Sch 1 - Phased'!G$33),4)</f>
        <v>1775.5650000000001</v>
      </c>
      <c r="K45" s="64"/>
      <c r="L45" s="64">
        <f t="shared" si="0"/>
        <v>265.14390000000003</v>
      </c>
    </row>
    <row r="46" spans="1:12">
      <c r="H46" s="64"/>
      <c r="J46" s="64"/>
      <c r="L46" s="64"/>
    </row>
    <row r="47" spans="1:12">
      <c r="A47" s="2" t="s">
        <v>410</v>
      </c>
      <c r="H47" s="64"/>
      <c r="J47" s="64"/>
      <c r="L47" s="64"/>
    </row>
    <row r="48" spans="1:12">
      <c r="B48" s="2">
        <v>2</v>
      </c>
      <c r="D48" s="2" t="s">
        <v>411</v>
      </c>
      <c r="F48">
        <v>2.66</v>
      </c>
      <c r="H48" s="64"/>
      <c r="J48" s="64"/>
      <c r="L48" s="64">
        <f t="shared" si="0"/>
        <v>0</v>
      </c>
    </row>
    <row r="49" spans="1:12">
      <c r="B49" s="89">
        <v>2.5</v>
      </c>
      <c r="D49" s="2" t="s">
        <v>411</v>
      </c>
      <c r="F49">
        <v>4.79</v>
      </c>
      <c r="H49" s="64"/>
      <c r="J49" s="64"/>
      <c r="L49" s="64">
        <f t="shared" si="0"/>
        <v>0</v>
      </c>
    </row>
    <row r="50" spans="1:12">
      <c r="B50" s="2">
        <v>3</v>
      </c>
      <c r="D50" s="2" t="s">
        <v>411</v>
      </c>
      <c r="F50">
        <v>7.74</v>
      </c>
      <c r="H50" s="64"/>
      <c r="J50" s="64"/>
      <c r="L50" s="64">
        <f t="shared" si="0"/>
        <v>0</v>
      </c>
    </row>
    <row r="51" spans="1:12">
      <c r="B51" s="2">
        <v>4</v>
      </c>
      <c r="D51" s="2" t="s">
        <v>411</v>
      </c>
      <c r="F51">
        <v>16.53</v>
      </c>
      <c r="H51" s="64"/>
      <c r="J51" s="64"/>
      <c r="L51" s="64"/>
    </row>
    <row r="52" spans="1:12">
      <c r="B52" s="2">
        <v>6</v>
      </c>
      <c r="D52" s="2" t="s">
        <v>411</v>
      </c>
      <c r="F52">
        <v>47.97</v>
      </c>
      <c r="H52" s="64"/>
      <c r="J52" s="64"/>
      <c r="L52" s="64"/>
    </row>
    <row r="53" spans="1:12">
      <c r="B53" s="2">
        <v>8</v>
      </c>
      <c r="D53" s="2" t="s">
        <v>411</v>
      </c>
      <c r="F53">
        <v>102.22</v>
      </c>
      <c r="H53" s="64"/>
      <c r="J53" s="64"/>
      <c r="L53" s="64"/>
    </row>
    <row r="54" spans="1:12">
      <c r="B54" s="2">
        <v>10</v>
      </c>
      <c r="D54" s="2" t="s">
        <v>411</v>
      </c>
      <c r="F54">
        <v>183.83</v>
      </c>
      <c r="H54" s="64"/>
      <c r="J54" s="64"/>
      <c r="L54" s="64"/>
    </row>
    <row r="55" spans="1:12">
      <c r="B55" s="2">
        <v>12</v>
      </c>
      <c r="D55" s="2" t="s">
        <v>411</v>
      </c>
      <c r="F55">
        <v>296.94</v>
      </c>
      <c r="H55" s="64"/>
      <c r="J55" s="64"/>
      <c r="L55" s="64"/>
    </row>
    <row r="56" spans="1:12">
      <c r="A56" s="2"/>
      <c r="H56" s="64"/>
      <c r="J56" s="64"/>
      <c r="L56" s="64"/>
    </row>
    <row r="57" spans="1:12">
      <c r="A57" s="2" t="s">
        <v>412</v>
      </c>
      <c r="F57">
        <v>47.97</v>
      </c>
      <c r="H57" s="64"/>
      <c r="J57" s="64"/>
      <c r="L57" s="64">
        <f t="shared" si="0"/>
        <v>0</v>
      </c>
    </row>
    <row r="58" spans="1:12">
      <c r="H58" s="64"/>
      <c r="J58" s="64"/>
      <c r="L58" s="64"/>
    </row>
    <row r="59" spans="1:12">
      <c r="A59" t="s">
        <v>413</v>
      </c>
      <c r="H59" s="64"/>
      <c r="J59" s="64"/>
      <c r="L59" s="64"/>
    </row>
    <row r="60" spans="1:12">
      <c r="B60" s="88">
        <v>0.625</v>
      </c>
      <c r="D60" s="2" t="s">
        <v>414</v>
      </c>
      <c r="F60" s="86">
        <v>2.67</v>
      </c>
      <c r="G60" s="86"/>
      <c r="H60" s="64">
        <f>ROUND(F60*(1+'Sch 1 - Phased'!E$33),4)</f>
        <v>3.3134999999999999</v>
      </c>
      <c r="I60" s="86"/>
      <c r="J60" s="64">
        <f>ROUND(H60*(1+'Sch 1 - Phased'!G$33),4)</f>
        <v>3.8952</v>
      </c>
      <c r="K60" s="86"/>
      <c r="L60" s="64">
        <f t="shared" si="0"/>
        <v>0.58170000000000011</v>
      </c>
    </row>
    <row r="61" spans="1:12">
      <c r="B61" s="88">
        <v>0.75</v>
      </c>
      <c r="D61" s="2" t="s">
        <v>414</v>
      </c>
      <c r="F61" s="64">
        <v>3.87</v>
      </c>
      <c r="H61" s="64">
        <f>ROUND(F61*(1+'Sch 1 - Phased'!E$33),4)</f>
        <v>4.8026999999999997</v>
      </c>
      <c r="J61" s="64">
        <f>ROUND(H61*(1+'Sch 1 - Phased'!G$33),4)</f>
        <v>5.6458000000000004</v>
      </c>
      <c r="K61" s="64"/>
      <c r="L61" s="64">
        <f t="shared" si="0"/>
        <v>0.84310000000000063</v>
      </c>
    </row>
    <row r="62" spans="1:12">
      <c r="B62">
        <v>1</v>
      </c>
      <c r="D62" s="2" t="s">
        <v>414</v>
      </c>
      <c r="F62" s="64">
        <v>6.86</v>
      </c>
      <c r="H62" s="64">
        <f>ROUND(F62*(1+'Sch 1 - Phased'!E$33),4)</f>
        <v>8.5132999999999992</v>
      </c>
      <c r="J62" s="64">
        <f>ROUND(H62*(1+'Sch 1 - Phased'!G$33),4)</f>
        <v>10.0078</v>
      </c>
      <c r="K62" s="64"/>
      <c r="L62" s="64">
        <f t="shared" si="0"/>
        <v>1.4945000000000004</v>
      </c>
    </row>
    <row r="63" spans="1:12">
      <c r="B63" s="89">
        <v>1.5</v>
      </c>
      <c r="D63" s="2" t="s">
        <v>414</v>
      </c>
      <c r="F63" s="64">
        <v>15.46</v>
      </c>
      <c r="H63" s="64">
        <f>ROUND(F63*(1+'Sch 1 - Phased'!E$33),4)</f>
        <v>19.1859</v>
      </c>
      <c r="J63" s="64">
        <f>ROUND(H63*(1+'Sch 1 - Phased'!G$33),4)</f>
        <v>22.553899999999999</v>
      </c>
      <c r="K63" s="64"/>
      <c r="L63" s="64">
        <f t="shared" si="0"/>
        <v>3.3679999999999986</v>
      </c>
    </row>
    <row r="64" spans="1:12">
      <c r="B64" s="2">
        <v>2</v>
      </c>
      <c r="D64" s="2" t="s">
        <v>414</v>
      </c>
      <c r="F64" s="64">
        <v>27.47</v>
      </c>
      <c r="H64" s="64">
        <f>ROUND(F64*(1+'Sch 1 - Phased'!E$33),4)</f>
        <v>34.090299999999999</v>
      </c>
      <c r="J64" s="64">
        <f>ROUND(H64*(1+'Sch 1 - Phased'!G$33),4)</f>
        <v>40.074599999999997</v>
      </c>
      <c r="K64" s="64"/>
      <c r="L64" s="64">
        <f t="shared" si="0"/>
        <v>5.9842999999999975</v>
      </c>
    </row>
    <row r="65" spans="1:12">
      <c r="B65" s="2">
        <v>3</v>
      </c>
      <c r="D65" s="2" t="s">
        <v>414</v>
      </c>
      <c r="F65" s="64">
        <v>61.81</v>
      </c>
      <c r="H65" s="64">
        <f>ROUND(F65*(1+'Sch 1 - Phased'!E$33),4)</f>
        <v>76.706199999999995</v>
      </c>
      <c r="J65" s="64">
        <f>ROUND(H65*(1+'Sch 1 - Phased'!G$33),4)</f>
        <v>90.171400000000006</v>
      </c>
      <c r="K65" s="64"/>
      <c r="L65" s="64">
        <f t="shared" si="0"/>
        <v>13.46520000000001</v>
      </c>
    </row>
    <row r="66" spans="1:12">
      <c r="B66" s="2">
        <v>4</v>
      </c>
      <c r="D66" s="2" t="s">
        <v>414</v>
      </c>
      <c r="F66" s="64">
        <v>109.88</v>
      </c>
      <c r="H66" s="64">
        <f>ROUND(F66*(1+'Sch 1 - Phased'!E$33),4)</f>
        <v>136.36109999999999</v>
      </c>
      <c r="J66" s="64">
        <f>ROUND(H66*(1+'Sch 1 - Phased'!G$33),4)</f>
        <v>160.29830000000001</v>
      </c>
      <c r="K66" s="64"/>
      <c r="L66" s="64">
        <f t="shared" si="0"/>
        <v>23.937200000000018</v>
      </c>
    </row>
    <row r="67" spans="1:12">
      <c r="B67" s="2">
        <v>6</v>
      </c>
      <c r="D67" s="2" t="s">
        <v>414</v>
      </c>
      <c r="F67" s="64">
        <v>247.22</v>
      </c>
      <c r="H67" s="64">
        <f>ROUND(F67*(1+'Sch 1 - Phased'!E$33),4)</f>
        <v>306.8</v>
      </c>
      <c r="J67" s="64">
        <f>ROUND(H67*(1+'Sch 1 - Phased'!G$33),4)</f>
        <v>360.65660000000003</v>
      </c>
      <c r="K67" s="64"/>
      <c r="L67" s="64">
        <f t="shared" si="0"/>
        <v>53.856600000000014</v>
      </c>
    </row>
    <row r="68" spans="1:12">
      <c r="B68" s="2">
        <v>8</v>
      </c>
      <c r="D68" s="2" t="s">
        <v>414</v>
      </c>
      <c r="F68" s="64">
        <v>439.54</v>
      </c>
      <c r="H68" s="64">
        <f>ROUND(F68*(1+'Sch 1 - Phased'!E$33),4)</f>
        <v>545.46910000000003</v>
      </c>
      <c r="J68" s="64">
        <f>ROUND(H68*(1+'Sch 1 - Phased'!G$33),4)</f>
        <v>641.22239999999999</v>
      </c>
      <c r="K68" s="64"/>
      <c r="L68" s="64">
        <f t="shared" si="0"/>
        <v>95.753299999999967</v>
      </c>
    </row>
    <row r="69" spans="1:12">
      <c r="B69" s="2">
        <v>10</v>
      </c>
      <c r="D69" s="2" t="s">
        <v>414</v>
      </c>
      <c r="F69" s="64">
        <v>686.77</v>
      </c>
      <c r="H69" s="64"/>
      <c r="J69" s="64"/>
      <c r="K69" s="64"/>
      <c r="L69" s="64"/>
    </row>
    <row r="70" spans="1:12">
      <c r="B70" s="2">
        <v>12</v>
      </c>
      <c r="D70" s="2" t="s">
        <v>414</v>
      </c>
      <c r="F70" s="64">
        <v>988.97</v>
      </c>
      <c r="H70" s="64"/>
      <c r="J70" s="64"/>
      <c r="K70" s="64"/>
      <c r="L70" s="64"/>
    </row>
    <row r="71" spans="1:12">
      <c r="B71" s="2"/>
      <c r="D71" s="2"/>
    </row>
    <row r="72" spans="1:12">
      <c r="A72" s="2" t="s">
        <v>415</v>
      </c>
    </row>
    <row r="73" spans="1:12">
      <c r="A73" s="2" t="s">
        <v>416</v>
      </c>
      <c r="F73" s="86">
        <v>295.42</v>
      </c>
      <c r="H73" s="64"/>
      <c r="I73" s="64"/>
      <c r="J73" s="64"/>
      <c r="K73" s="64"/>
      <c r="L73" s="64"/>
    </row>
    <row r="74" spans="1:12">
      <c r="A74" s="2" t="s">
        <v>417</v>
      </c>
      <c r="F74" s="64">
        <v>235.87</v>
      </c>
      <c r="H74" s="64"/>
      <c r="I74" s="64"/>
      <c r="J74" s="64"/>
      <c r="K74" s="64"/>
      <c r="L74" s="64"/>
    </row>
    <row r="76" spans="1:12">
      <c r="A76" t="s">
        <v>418</v>
      </c>
    </row>
    <row r="77" spans="1:12">
      <c r="A77" s="91" t="s">
        <v>419</v>
      </c>
      <c r="F77" s="64">
        <v>30</v>
      </c>
    </row>
    <row r="78" spans="1:12">
      <c r="F78" s="64"/>
    </row>
    <row r="79" spans="1:12">
      <c r="A79" s="2" t="s">
        <v>420</v>
      </c>
      <c r="F79" s="64"/>
    </row>
    <row r="80" spans="1:12">
      <c r="A80" s="92" t="s">
        <v>421</v>
      </c>
      <c r="F80" s="64">
        <v>35</v>
      </c>
    </row>
    <row r="81" spans="1:6">
      <c r="A81" s="92" t="s">
        <v>422</v>
      </c>
      <c r="F81" s="64">
        <v>155</v>
      </c>
    </row>
    <row r="82" spans="1:6">
      <c r="F82" s="64"/>
    </row>
    <row r="83" spans="1:6">
      <c r="A83" t="s">
        <v>423</v>
      </c>
      <c r="F83" s="64"/>
    </row>
    <row r="84" spans="1:6">
      <c r="A84" s="91" t="s">
        <v>421</v>
      </c>
      <c r="F84" s="64">
        <v>35</v>
      </c>
    </row>
    <row r="85" spans="1:6">
      <c r="A85" s="91" t="s">
        <v>422</v>
      </c>
      <c r="F85" s="64">
        <v>155</v>
      </c>
    </row>
    <row r="86" spans="1:6">
      <c r="F86" s="64"/>
    </row>
    <row r="87" spans="1:6">
      <c r="A87" s="2" t="s">
        <v>424</v>
      </c>
      <c r="F87" s="64"/>
    </row>
    <row r="88" spans="1:6">
      <c r="A88" s="92" t="s">
        <v>425</v>
      </c>
      <c r="F88" s="64">
        <v>820</v>
      </c>
    </row>
    <row r="89" spans="1:6">
      <c r="A89" s="92" t="s">
        <v>426</v>
      </c>
      <c r="F89" s="90" t="s">
        <v>427</v>
      </c>
    </row>
  </sheetData>
  <mergeCells count="5">
    <mergeCell ref="M25:Q27"/>
    <mergeCell ref="A4:L4"/>
    <mergeCell ref="A5:L5"/>
    <mergeCell ref="A7:L7"/>
    <mergeCell ref="A16:L16"/>
  </mergeCells>
  <phoneticPr fontId="7" type="noConversion"/>
  <pageMargins left="0.5" right="0.5" top="0.5" bottom="0.75" header="0.5" footer="0.5"/>
  <pageSetup orientation="portrait" horizontalDpi="90" verticalDpi="9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3C8D4-3145-406F-AE60-B5378D7AA894}">
  <sheetPr>
    <tabColor rgb="FF0070C0"/>
  </sheetPr>
  <dimension ref="A1"/>
  <sheetViews>
    <sheetView topLeftCell="A19" workbookViewId="0">
      <selection activeCell="B27" sqref="B27"/>
    </sheetView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D17D-3A6F-43F2-9C53-6EB311EB91B0}">
  <sheetPr>
    <tabColor indexed="34"/>
  </sheetPr>
  <dimension ref="A1:G34"/>
  <sheetViews>
    <sheetView view="pageBreakPreview" zoomScale="130" zoomScaleNormal="100" zoomScaleSheetLayoutView="130" workbookViewId="0">
      <selection activeCell="C14" sqref="C14"/>
    </sheetView>
  </sheetViews>
  <sheetFormatPr defaultColWidth="9" defaultRowHeight="15.75"/>
  <cols>
    <col min="1" max="1" width="5.375" style="2" customWidth="1"/>
    <col min="2" max="2" width="36" style="2" customWidth="1"/>
    <col min="3" max="3" width="14.125" style="2" bestFit="1" customWidth="1"/>
    <col min="4" max="4" width="1.5" style="2" customWidth="1"/>
    <col min="5" max="5" width="12.625" style="2" customWidth="1"/>
    <col min="6" max="6" width="1.625" style="2" customWidth="1"/>
    <col min="7" max="7" width="12.625" style="2" customWidth="1"/>
    <col min="8" max="16384" width="9" style="2"/>
  </cols>
  <sheetData>
    <row r="1" spans="1:7">
      <c r="G1" s="26" t="str">
        <f>'Cover Page'!A3</f>
        <v>OUCC Attachment CFS-1</v>
      </c>
    </row>
    <row r="2" spans="1:7">
      <c r="G2" s="26" t="str">
        <f>"Workpaper "&amp;+Inputs!C11&amp;"-2"</f>
        <v>Workpaper CFS-2</v>
      </c>
    </row>
    <row r="3" spans="1:7">
      <c r="G3" s="26" t="s">
        <v>295</v>
      </c>
    </row>
    <row r="4" spans="1:7" s="3" customFormat="1" ht="20.25">
      <c r="A4" s="453" t="str">
        <f>+Inputs!$C$5</f>
        <v>City of Anderson</v>
      </c>
      <c r="B4" s="453"/>
      <c r="C4" s="453"/>
      <c r="D4" s="453"/>
      <c r="E4" s="453"/>
      <c r="F4" s="453"/>
      <c r="G4" s="453"/>
    </row>
    <row r="5" spans="1:7" s="4" customFormat="1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</row>
    <row r="7" spans="1:7">
      <c r="A7" s="452" t="s">
        <v>428</v>
      </c>
      <c r="B7" s="452"/>
      <c r="C7" s="452"/>
      <c r="D7" s="452"/>
      <c r="E7" s="452"/>
      <c r="F7" s="452"/>
      <c r="G7" s="452"/>
    </row>
    <row r="8" spans="1:7">
      <c r="A8" s="452"/>
      <c r="B8" s="452"/>
      <c r="C8" s="452"/>
      <c r="D8" s="452"/>
      <c r="E8" s="452"/>
      <c r="F8" s="452"/>
      <c r="G8" s="452"/>
    </row>
    <row r="10" spans="1:7">
      <c r="C10" s="442" t="s">
        <v>429</v>
      </c>
      <c r="D10" s="442"/>
      <c r="E10" s="442" t="s">
        <v>430</v>
      </c>
      <c r="G10" s="442" t="str">
        <f>"CN "&amp;+Inputs!C6</f>
        <v>CN 46171</v>
      </c>
    </row>
    <row r="11" spans="1:7">
      <c r="C11" s="5" t="s">
        <v>431</v>
      </c>
      <c r="D11" s="442"/>
      <c r="E11" s="5" t="str">
        <f>"No. "&amp;+Inputs!C6</f>
        <v>No. 46171</v>
      </c>
      <c r="G11" s="5" t="s">
        <v>36</v>
      </c>
    </row>
    <row r="12" spans="1:7" ht="8.25" customHeight="1"/>
    <row r="13" spans="1:7">
      <c r="A13" s="427" t="s">
        <v>38</v>
      </c>
      <c r="B13" s="427"/>
      <c r="C13" s="41">
        <v>6715292</v>
      </c>
      <c r="D13" s="41"/>
      <c r="E13" s="41">
        <f>'Sch 1 - Overall'!F13</f>
        <v>9584595</v>
      </c>
      <c r="F13" s="41"/>
      <c r="G13" s="41">
        <f t="shared" ref="G13:G18" si="0">+E13-C13</f>
        <v>2869303</v>
      </c>
    </row>
    <row r="14" spans="1:7">
      <c r="A14" s="427" t="s">
        <v>134</v>
      </c>
      <c r="B14" s="427"/>
      <c r="C14" s="42"/>
      <c r="D14" s="42"/>
      <c r="E14" s="42">
        <f>'Sch 1 - Overall'!F14</f>
        <v>592692</v>
      </c>
      <c r="F14" s="42"/>
      <c r="G14" s="42">
        <f t="shared" si="0"/>
        <v>592692</v>
      </c>
    </row>
    <row r="15" spans="1:7">
      <c r="A15" s="427" t="s">
        <v>364</v>
      </c>
      <c r="B15" s="427"/>
      <c r="C15" s="42">
        <v>952615</v>
      </c>
      <c r="D15" s="42"/>
      <c r="E15" s="42">
        <f>'Sch 1 - Overall'!F15</f>
        <v>2842400</v>
      </c>
      <c r="F15" s="42"/>
      <c r="G15" s="42">
        <f t="shared" si="0"/>
        <v>1889785</v>
      </c>
    </row>
    <row r="16" spans="1:7">
      <c r="A16" s="427" t="s">
        <v>44</v>
      </c>
      <c r="B16" s="427"/>
      <c r="C16" s="42">
        <v>755725</v>
      </c>
      <c r="D16" s="42"/>
      <c r="E16" s="42">
        <f>'Sch 1 - Overall'!F16</f>
        <v>5475335</v>
      </c>
      <c r="F16" s="42"/>
      <c r="G16" s="42">
        <f t="shared" si="0"/>
        <v>4719610</v>
      </c>
    </row>
    <row r="17" spans="1:7">
      <c r="A17" s="427" t="s">
        <v>42</v>
      </c>
      <c r="B17" s="427"/>
      <c r="C17" s="42">
        <v>2029565</v>
      </c>
      <c r="D17" s="42"/>
      <c r="E17" s="42">
        <f>'Sch 1 - Overall'!F17</f>
        <v>908395</v>
      </c>
      <c r="F17" s="42"/>
      <c r="G17" s="42">
        <f t="shared" si="0"/>
        <v>-1121170</v>
      </c>
    </row>
    <row r="18" spans="1:7">
      <c r="A18" s="427" t="s">
        <v>43</v>
      </c>
      <c r="B18" s="427"/>
      <c r="C18" s="42"/>
      <c r="D18" s="42"/>
      <c r="E18" s="42">
        <f>'Sch 1 - Overall'!F18</f>
        <v>0</v>
      </c>
      <c r="F18" s="42"/>
      <c r="G18" s="42">
        <f t="shared" si="0"/>
        <v>0</v>
      </c>
    </row>
    <row r="19" spans="1:7" ht="6" customHeight="1">
      <c r="A19" s="427"/>
      <c r="B19" s="427"/>
      <c r="C19" s="43"/>
      <c r="D19" s="42"/>
      <c r="E19" s="43"/>
      <c r="F19" s="42"/>
      <c r="G19" s="43"/>
    </row>
    <row r="20" spans="1:7">
      <c r="A20" s="427" t="s">
        <v>45</v>
      </c>
      <c r="B20" s="427"/>
      <c r="C20" s="42">
        <f>SUM(C13:C18)</f>
        <v>10453197</v>
      </c>
      <c r="D20" s="42"/>
      <c r="E20" s="42">
        <f>SUM(E13:E18)</f>
        <v>19403417</v>
      </c>
      <c r="F20" s="42"/>
      <c r="G20" s="42">
        <f>SUM(G13:G18)</f>
        <v>8950220</v>
      </c>
    </row>
    <row r="21" spans="1:7">
      <c r="A21" s="427" t="s">
        <v>46</v>
      </c>
      <c r="B21" s="427"/>
      <c r="C21" s="42"/>
      <c r="D21" s="42"/>
      <c r="E21" s="42"/>
      <c r="F21" s="42"/>
      <c r="G21" s="42"/>
    </row>
    <row r="22" spans="1:7">
      <c r="A22" s="427"/>
      <c r="B22" s="427" t="s">
        <v>47</v>
      </c>
      <c r="C22" s="42"/>
      <c r="D22" s="42"/>
      <c r="E22" s="42">
        <f>'Sch 1 - Overall'!F22</f>
        <v>-65119</v>
      </c>
      <c r="F22" s="42"/>
      <c r="G22" s="42">
        <f>+E22-C22</f>
        <v>-65119</v>
      </c>
    </row>
    <row r="23" spans="1:7">
      <c r="A23" s="427"/>
      <c r="B23" s="427" t="s">
        <v>48</v>
      </c>
      <c r="C23" s="42"/>
      <c r="D23" s="42"/>
      <c r="E23" s="42">
        <f>'Sch 1 - Overall'!F23</f>
        <v>-2285</v>
      </c>
      <c r="F23" s="42"/>
      <c r="G23" s="42">
        <f>+E23-C23</f>
        <v>-2285</v>
      </c>
    </row>
    <row r="24" spans="1:7">
      <c r="C24" s="42"/>
      <c r="D24" s="42"/>
      <c r="E24" s="42"/>
      <c r="F24" s="42"/>
      <c r="G24" s="42"/>
    </row>
    <row r="25" spans="1:7" ht="6" customHeight="1">
      <c r="C25" s="43"/>
      <c r="D25" s="42"/>
      <c r="E25" s="43"/>
      <c r="F25" s="42"/>
      <c r="G25" s="43"/>
    </row>
    <row r="26" spans="1:7" ht="16.5" thickBot="1">
      <c r="A26" t="s">
        <v>49</v>
      </c>
      <c r="C26" s="119">
        <f>SUM(C20:C24)</f>
        <v>10453197</v>
      </c>
      <c r="D26" s="42"/>
      <c r="E26" s="51">
        <f>SUM(E20:E24)</f>
        <v>19336013</v>
      </c>
      <c r="F26" s="42"/>
      <c r="G26" s="51">
        <f>SUM(G20:G24)</f>
        <v>8882816</v>
      </c>
    </row>
    <row r="27" spans="1:7" ht="16.5" thickTop="1">
      <c r="A27"/>
      <c r="C27" s="56"/>
      <c r="D27" s="42"/>
      <c r="E27" s="70"/>
      <c r="F27" s="42"/>
      <c r="G27" s="70"/>
    </row>
    <row r="28" spans="1:7">
      <c r="A28" s="2" t="s">
        <v>50</v>
      </c>
      <c r="C28" s="55"/>
      <c r="D28" s="42"/>
      <c r="E28" s="42">
        <f>'Sch 1 - Overall'!F26</f>
        <v>-10961131</v>
      </c>
      <c r="F28" s="42"/>
      <c r="G28" s="55"/>
    </row>
    <row r="29" spans="1:7">
      <c r="A29" s="2" t="s">
        <v>51</v>
      </c>
      <c r="C29" s="55"/>
      <c r="D29" s="42"/>
      <c r="E29" s="42">
        <f>'Sch 1 - Overall'!F27</f>
        <v>-113737</v>
      </c>
      <c r="F29" s="42"/>
      <c r="G29" s="55"/>
    </row>
    <row r="30" spans="1:7" ht="6" customHeight="1">
      <c r="C30" s="55"/>
      <c r="D30" s="42"/>
      <c r="E30" s="43"/>
      <c r="F30" s="42"/>
      <c r="G30" s="55"/>
    </row>
    <row r="31" spans="1:7">
      <c r="A31" t="s">
        <v>432</v>
      </c>
      <c r="C31" s="8"/>
      <c r="E31" s="55">
        <f>+E26+E29+E28</f>
        <v>8261145</v>
      </c>
      <c r="G31" s="8"/>
    </row>
    <row r="32" spans="1:7">
      <c r="A32" t="s">
        <v>433</v>
      </c>
      <c r="E32" s="42">
        <f>-C26</f>
        <v>-10453197</v>
      </c>
    </row>
    <row r="33" spans="2:5" ht="16.5" thickBot="1">
      <c r="B33" t="s">
        <v>434</v>
      </c>
      <c r="E33" s="222">
        <f>SUM(E31:E32)</f>
        <v>-2192052</v>
      </c>
    </row>
    <row r="34" spans="2:5" ht="16.5" thickTop="1"/>
  </sheetData>
  <mergeCells count="4">
    <mergeCell ref="A4:G4"/>
    <mergeCell ref="A5:G5"/>
    <mergeCell ref="A7:G7"/>
    <mergeCell ref="A8:G8"/>
  </mergeCells>
  <printOptions horizontalCentered="1"/>
  <pageMargins left="0.5" right="0.5" top="0.5" bottom="0.75" header="0.5" footer="0.5"/>
  <pageSetup scale="98" fitToHeight="2" orientation="portrait" verticalDpi="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2D53E-9F67-4229-8B61-20BD504A72BF}">
  <sheetPr>
    <tabColor rgb="FFFFFF00"/>
  </sheetPr>
  <dimension ref="A1:R177"/>
  <sheetViews>
    <sheetView view="pageBreakPreview" zoomScale="85" zoomScaleNormal="100" zoomScaleSheetLayoutView="85" workbookViewId="0"/>
  </sheetViews>
  <sheetFormatPr defaultRowHeight="15.75"/>
  <cols>
    <col min="1" max="1" width="5.875" bestFit="1" customWidth="1"/>
    <col min="2" max="2" width="33.75" bestFit="1" customWidth="1"/>
    <col min="3" max="3" width="17.625" style="24" bestFit="1" customWidth="1"/>
    <col min="4" max="6" width="1.625" customWidth="1"/>
    <col min="7" max="7" width="6.875" bestFit="1" customWidth="1"/>
    <col min="8" max="8" width="36.125" bestFit="1" customWidth="1"/>
    <col min="9" max="9" width="20.375" style="120" bestFit="1" customWidth="1"/>
    <col min="10" max="10" width="1.625" customWidth="1"/>
    <col min="11" max="11" width="14.75" style="120" bestFit="1" customWidth="1"/>
    <col min="12" max="13" width="1.625" style="120" customWidth="1"/>
    <col min="14" max="14" width="1.625" customWidth="1"/>
    <col min="15" max="15" width="20.25" style="2" bestFit="1" customWidth="1"/>
    <col min="16" max="16" width="14.75" style="55" bestFit="1" customWidth="1"/>
    <col min="17" max="17" width="1.625" style="2" customWidth="1"/>
    <col min="18" max="18" width="9.75" style="2" bestFit="1" customWidth="1"/>
  </cols>
  <sheetData>
    <row r="1" spans="1:18" s="2" customFormat="1">
      <c r="R1" s="26" t="str">
        <f>'Cover Page'!A3</f>
        <v>OUCC Attachment CFS-1</v>
      </c>
    </row>
    <row r="2" spans="1:18" s="2" customFormat="1">
      <c r="R2" s="26" t="str">
        <f>"Workpaper "&amp;+Inputs!C11&amp;"-3"</f>
        <v>Workpaper CFS-3</v>
      </c>
    </row>
    <row r="3" spans="1:18" s="2" customFormat="1">
      <c r="R3" s="26" t="s">
        <v>295</v>
      </c>
    </row>
    <row r="4" spans="1:18" s="3" customFormat="1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</row>
    <row r="5" spans="1:18" s="4" customFormat="1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</row>
    <row r="6" spans="1:18" s="2" customFormat="1"/>
    <row r="7" spans="1:18" s="2" customFormat="1">
      <c r="A7" s="452" t="s">
        <v>435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</row>
    <row r="9" spans="1:18">
      <c r="K9" s="158" t="s">
        <v>436</v>
      </c>
      <c r="L9" s="158"/>
      <c r="M9" s="158"/>
    </row>
    <row r="10" spans="1:18">
      <c r="A10" s="479" t="s">
        <v>437</v>
      </c>
      <c r="B10" s="479"/>
      <c r="C10" s="479"/>
      <c r="G10" s="479" t="s">
        <v>438</v>
      </c>
      <c r="H10" s="479"/>
      <c r="I10" s="479"/>
      <c r="K10" s="159" t="s">
        <v>36</v>
      </c>
      <c r="L10" s="211"/>
      <c r="M10" s="211"/>
      <c r="O10" s="480" t="s">
        <v>439</v>
      </c>
      <c r="P10" s="480"/>
      <c r="Q10" s="480"/>
      <c r="R10" s="480"/>
    </row>
    <row r="11" spans="1:18">
      <c r="A11" s="33"/>
      <c r="B11" s="33"/>
      <c r="C11" s="144"/>
      <c r="E11" s="164"/>
    </row>
    <row r="12" spans="1:18">
      <c r="A12">
        <v>461.1</v>
      </c>
      <c r="B12" t="s">
        <v>440</v>
      </c>
      <c r="C12" s="46">
        <v>6316621</v>
      </c>
      <c r="E12" s="164"/>
      <c r="G12" t="s">
        <v>441</v>
      </c>
      <c r="H12" t="s">
        <v>442</v>
      </c>
      <c r="I12" s="46">
        <v>-6316621</v>
      </c>
      <c r="K12" s="120">
        <f t="shared" ref="K12:K18" si="0">I12+C12</f>
        <v>0</v>
      </c>
    </row>
    <row r="13" spans="1:18">
      <c r="A13">
        <v>461.2</v>
      </c>
      <c r="B13" t="s">
        <v>443</v>
      </c>
      <c r="C13" s="46">
        <v>2321822</v>
      </c>
      <c r="E13" s="164"/>
      <c r="G13" t="s">
        <v>444</v>
      </c>
      <c r="H13" t="s">
        <v>445</v>
      </c>
      <c r="I13" s="46">
        <v>-2321822</v>
      </c>
      <c r="K13" s="120">
        <f t="shared" si="0"/>
        <v>0</v>
      </c>
    </row>
    <row r="14" spans="1:18">
      <c r="A14">
        <v>461.3</v>
      </c>
      <c r="B14" t="s">
        <v>446</v>
      </c>
      <c r="C14" s="46">
        <v>1594874</v>
      </c>
      <c r="E14" s="164"/>
      <c r="G14" t="s">
        <v>447</v>
      </c>
      <c r="H14" t="s">
        <v>448</v>
      </c>
      <c r="I14" s="46">
        <v>-1594874</v>
      </c>
      <c r="K14" s="120">
        <f t="shared" si="0"/>
        <v>0</v>
      </c>
    </row>
    <row r="15" spans="1:18">
      <c r="A15">
        <v>461.4</v>
      </c>
      <c r="B15" t="s">
        <v>449</v>
      </c>
      <c r="C15" s="46">
        <v>373523</v>
      </c>
      <c r="E15" s="164"/>
      <c r="G15" t="s">
        <v>450</v>
      </c>
      <c r="H15" t="s">
        <v>451</v>
      </c>
      <c r="I15" s="46">
        <v>-373523</v>
      </c>
      <c r="K15" s="120">
        <f t="shared" si="0"/>
        <v>0</v>
      </c>
    </row>
    <row r="16" spans="1:18">
      <c r="A16">
        <v>462.1</v>
      </c>
      <c r="B16" t="s">
        <v>452</v>
      </c>
      <c r="C16" s="46">
        <v>266620</v>
      </c>
      <c r="E16" s="164"/>
      <c r="G16" t="s">
        <v>453</v>
      </c>
      <c r="H16" t="s">
        <v>454</v>
      </c>
      <c r="I16" s="46">
        <v>-266620</v>
      </c>
      <c r="K16" s="120">
        <f t="shared" si="0"/>
        <v>0</v>
      </c>
    </row>
    <row r="17" spans="1:18">
      <c r="A17">
        <v>470</v>
      </c>
      <c r="B17" t="s">
        <v>455</v>
      </c>
      <c r="C17" s="46">
        <v>57115</v>
      </c>
      <c r="E17" s="164"/>
      <c r="G17" t="s">
        <v>456</v>
      </c>
      <c r="H17" t="s">
        <v>457</v>
      </c>
      <c r="I17" s="46">
        <v>-57115</v>
      </c>
      <c r="K17" s="120">
        <f t="shared" si="0"/>
        <v>0</v>
      </c>
    </row>
    <row r="18" spans="1:18">
      <c r="A18">
        <v>472</v>
      </c>
      <c r="B18" t="s">
        <v>458</v>
      </c>
      <c r="C18" s="24">
        <v>21522</v>
      </c>
      <c r="E18" s="164"/>
      <c r="G18" t="s">
        <v>459</v>
      </c>
      <c r="H18" t="s">
        <v>460</v>
      </c>
      <c r="I18" s="46">
        <v>-21522</v>
      </c>
      <c r="K18" s="120">
        <f t="shared" si="0"/>
        <v>0</v>
      </c>
    </row>
    <row r="19" spans="1:18">
      <c r="E19" s="164"/>
      <c r="I19" s="46"/>
    </row>
    <row r="20" spans="1:18">
      <c r="E20" s="164"/>
      <c r="I20" s="46"/>
    </row>
    <row r="21" spans="1:18">
      <c r="A21">
        <v>474</v>
      </c>
      <c r="B21" t="s">
        <v>75</v>
      </c>
      <c r="C21" s="46">
        <v>122772</v>
      </c>
      <c r="E21" s="164"/>
      <c r="G21" t="s">
        <v>461</v>
      </c>
      <c r="H21" t="s">
        <v>462</v>
      </c>
      <c r="I21" s="46">
        <v>-113737</v>
      </c>
    </row>
    <row r="22" spans="1:18">
      <c r="C22" s="46"/>
      <c r="E22" s="164"/>
      <c r="G22" t="s">
        <v>463</v>
      </c>
      <c r="H22" t="s">
        <v>464</v>
      </c>
      <c r="I22" s="46">
        <v>-9034</v>
      </c>
      <c r="K22" s="120">
        <f>I21+I22+C21</f>
        <v>1</v>
      </c>
    </row>
    <row r="23" spans="1:18">
      <c r="C23" s="46"/>
      <c r="E23" s="164"/>
      <c r="I23" s="46"/>
    </row>
    <row r="24" spans="1:18" ht="16.5" thickBot="1">
      <c r="A24" s="33" t="s">
        <v>465</v>
      </c>
      <c r="B24" s="33"/>
      <c r="C24" s="176">
        <f>SUM(C12:C22)</f>
        <v>11074869</v>
      </c>
      <c r="D24" s="33"/>
      <c r="E24" s="175"/>
      <c r="F24" s="33"/>
      <c r="G24" s="33" t="s">
        <v>465</v>
      </c>
      <c r="H24" s="33"/>
      <c r="I24" s="177">
        <f>SUM(I12:I22)</f>
        <v>-11074868</v>
      </c>
      <c r="K24" s="120">
        <f>I24+C24</f>
        <v>1</v>
      </c>
    </row>
    <row r="25" spans="1:18" ht="16.5" thickTop="1">
      <c r="C25" s="46"/>
      <c r="I25" s="24"/>
    </row>
    <row r="26" spans="1:18">
      <c r="C26" s="46"/>
    </row>
    <row r="27" spans="1:18">
      <c r="A27" s="146">
        <v>601</v>
      </c>
      <c r="B27" s="138" t="s">
        <v>78</v>
      </c>
      <c r="C27" s="65">
        <v>3454048</v>
      </c>
      <c r="D27" s="138"/>
      <c r="E27" s="165"/>
      <c r="F27" s="138"/>
      <c r="G27" s="138" t="s">
        <v>466</v>
      </c>
      <c r="H27" s="138" t="s">
        <v>467</v>
      </c>
      <c r="I27" s="147">
        <v>373900.19000000006</v>
      </c>
      <c r="J27" s="138"/>
      <c r="K27" s="160"/>
      <c r="L27" s="163"/>
      <c r="M27" s="163"/>
      <c r="O27" s="2" t="s">
        <v>137</v>
      </c>
      <c r="P27" s="55">
        <v>572700</v>
      </c>
    </row>
    <row r="28" spans="1:18">
      <c r="A28" s="148"/>
      <c r="C28" s="61"/>
      <c r="E28" s="164"/>
      <c r="G28" t="s">
        <v>468</v>
      </c>
      <c r="H28" t="s">
        <v>469</v>
      </c>
      <c r="I28" s="149">
        <v>198799.83000000002</v>
      </c>
      <c r="K28" s="161"/>
      <c r="L28" s="163"/>
      <c r="M28" s="163"/>
      <c r="O28" s="2" t="s">
        <v>137</v>
      </c>
      <c r="P28" s="55">
        <v>1367847</v>
      </c>
    </row>
    <row r="29" spans="1:18">
      <c r="A29" s="148"/>
      <c r="C29" s="61"/>
      <c r="E29" s="164"/>
      <c r="G29" t="s">
        <v>470</v>
      </c>
      <c r="H29" t="s">
        <v>467</v>
      </c>
      <c r="I29" s="149">
        <v>75089.77</v>
      </c>
      <c r="K29" s="161"/>
      <c r="L29" s="163"/>
      <c r="M29" s="163"/>
      <c r="O29" s="2" t="s">
        <v>137</v>
      </c>
      <c r="P29" s="55">
        <v>40126</v>
      </c>
    </row>
    <row r="30" spans="1:18">
      <c r="A30" s="148"/>
      <c r="C30" s="61"/>
      <c r="E30" s="164"/>
      <c r="G30" t="s">
        <v>471</v>
      </c>
      <c r="H30" t="s">
        <v>469</v>
      </c>
      <c r="I30" s="149">
        <v>1292756.97</v>
      </c>
      <c r="K30" s="161"/>
      <c r="L30" s="163"/>
      <c r="M30" s="163"/>
      <c r="O30" s="2" t="s">
        <v>137</v>
      </c>
      <c r="P30" s="55">
        <v>1471131</v>
      </c>
      <c r="R30" s="208">
        <f>SUM(P27:P31)-C27</f>
        <v>-2244</v>
      </c>
    </row>
    <row r="31" spans="1:18">
      <c r="A31" s="148"/>
      <c r="C31" s="61"/>
      <c r="E31" s="164"/>
      <c r="G31" t="s">
        <v>472</v>
      </c>
      <c r="H31" t="s">
        <v>473</v>
      </c>
      <c r="I31" s="149">
        <v>40125.79</v>
      </c>
      <c r="K31" s="161"/>
      <c r="L31" s="163"/>
      <c r="M31" s="163"/>
    </row>
    <row r="32" spans="1:18">
      <c r="A32" s="148"/>
      <c r="C32" s="61"/>
      <c r="E32" s="164"/>
      <c r="G32" t="s">
        <v>474</v>
      </c>
      <c r="H32" t="s">
        <v>475</v>
      </c>
      <c r="I32" s="149">
        <v>42097.129999999983</v>
      </c>
      <c r="K32" s="161"/>
      <c r="L32" s="163"/>
      <c r="M32" s="163"/>
      <c r="P32" s="55">
        <f>SUM(P27:P31)</f>
        <v>3451804</v>
      </c>
    </row>
    <row r="33" spans="1:18">
      <c r="A33" s="148"/>
      <c r="C33" s="61"/>
      <c r="E33" s="164"/>
      <c r="G33" t="s">
        <v>474</v>
      </c>
      <c r="H33" t="s">
        <v>475</v>
      </c>
      <c r="I33" s="149">
        <v>58645.55</v>
      </c>
      <c r="K33" s="161"/>
      <c r="L33" s="163"/>
      <c r="M33" s="163"/>
    </row>
    <row r="34" spans="1:18">
      <c r="A34" s="148"/>
      <c r="C34" s="61"/>
      <c r="E34" s="164"/>
      <c r="G34" t="s">
        <v>474</v>
      </c>
      <c r="H34" t="s">
        <v>475</v>
      </c>
      <c r="I34" s="149">
        <v>75562.81</v>
      </c>
      <c r="K34" s="161"/>
      <c r="L34" s="163"/>
      <c r="M34" s="163"/>
    </row>
    <row r="35" spans="1:18">
      <c r="A35" s="148"/>
      <c r="C35" s="61"/>
      <c r="E35" s="164"/>
      <c r="G35" t="s">
        <v>474</v>
      </c>
      <c r="H35" t="s">
        <v>475</v>
      </c>
      <c r="I35" s="149">
        <v>346322.14999999997</v>
      </c>
      <c r="K35" s="161"/>
      <c r="L35" s="163"/>
      <c r="M35" s="163"/>
    </row>
    <row r="36" spans="1:18">
      <c r="A36" s="148"/>
      <c r="C36" s="61"/>
      <c r="E36" s="164"/>
      <c r="G36" t="s">
        <v>474</v>
      </c>
      <c r="H36" t="s">
        <v>475</v>
      </c>
      <c r="I36" s="149">
        <v>93300.150000000009</v>
      </c>
      <c r="K36" s="161"/>
      <c r="L36" s="163"/>
      <c r="M36" s="163"/>
    </row>
    <row r="37" spans="1:18">
      <c r="A37" s="148"/>
      <c r="C37" s="61"/>
      <c r="E37" s="164"/>
      <c r="G37" t="s">
        <v>474</v>
      </c>
      <c r="H37" t="s">
        <v>475</v>
      </c>
      <c r="I37" s="149">
        <v>61816.029999999984</v>
      </c>
      <c r="K37" s="161"/>
      <c r="L37" s="163"/>
      <c r="M37" s="163"/>
    </row>
    <row r="38" spans="1:18">
      <c r="A38" s="148"/>
      <c r="C38" s="61"/>
      <c r="E38" s="164"/>
      <c r="G38" t="s">
        <v>474</v>
      </c>
      <c r="H38" t="s">
        <v>475</v>
      </c>
      <c r="I38" s="149">
        <v>11495.529999999999</v>
      </c>
      <c r="K38" s="161"/>
      <c r="L38" s="163"/>
      <c r="M38" s="163"/>
    </row>
    <row r="39" spans="1:18">
      <c r="A39" s="148"/>
      <c r="C39" s="61"/>
      <c r="E39" s="164"/>
      <c r="G39" t="s">
        <v>474</v>
      </c>
      <c r="H39" t="s">
        <v>475</v>
      </c>
      <c r="I39" s="149">
        <v>29301.609999999982</v>
      </c>
      <c r="K39" s="161"/>
      <c r="L39" s="163"/>
      <c r="M39" s="163"/>
    </row>
    <row r="40" spans="1:18">
      <c r="A40" s="148"/>
      <c r="C40" s="61"/>
      <c r="E40" s="164"/>
      <c r="G40" t="s">
        <v>474</v>
      </c>
      <c r="H40" t="s">
        <v>475</v>
      </c>
      <c r="I40" s="149">
        <v>33407.389999999992</v>
      </c>
      <c r="K40" s="161"/>
      <c r="L40" s="163"/>
      <c r="M40" s="163"/>
    </row>
    <row r="41" spans="1:18">
      <c r="A41" s="148"/>
      <c r="C41" s="61"/>
      <c r="E41" s="164"/>
      <c r="G41" t="s">
        <v>474</v>
      </c>
      <c r="H41" t="s">
        <v>475</v>
      </c>
      <c r="I41" s="149">
        <v>719183.02999999991</v>
      </c>
      <c r="K41" s="161"/>
      <c r="L41" s="163"/>
      <c r="M41" s="163"/>
    </row>
    <row r="42" spans="1:18" s="243" customFormat="1">
      <c r="A42" s="380"/>
      <c r="B42" s="200"/>
      <c r="C42" s="381"/>
      <c r="D42" s="200"/>
      <c r="E42" s="200"/>
      <c r="F42" s="200"/>
      <c r="G42" s="200" t="s">
        <v>476</v>
      </c>
      <c r="H42" s="200" t="s">
        <v>477</v>
      </c>
      <c r="I42" s="201">
        <v>2244.46</v>
      </c>
      <c r="J42" s="200"/>
      <c r="K42" s="382">
        <f>SUM(I27:I42)-C27</f>
        <v>0.38999999919906259</v>
      </c>
      <c r="L42" s="383"/>
      <c r="M42" s="383"/>
      <c r="O42" s="378"/>
      <c r="P42" s="208"/>
      <c r="Q42" s="378"/>
      <c r="R42" s="378"/>
    </row>
    <row r="43" spans="1:18">
      <c r="C43" s="61"/>
      <c r="I43" s="149"/>
      <c r="K43" s="163"/>
      <c r="L43" s="163"/>
      <c r="M43" s="163"/>
    </row>
    <row r="44" spans="1:18">
      <c r="C44" s="46"/>
    </row>
    <row r="45" spans="1:18">
      <c r="A45" s="146">
        <v>604</v>
      </c>
      <c r="B45" s="138" t="s">
        <v>478</v>
      </c>
      <c r="C45" s="65">
        <v>387109</v>
      </c>
      <c r="D45" s="138"/>
      <c r="E45" s="165"/>
      <c r="F45" s="138"/>
      <c r="G45" s="138" t="s">
        <v>479</v>
      </c>
      <c r="H45" s="138" t="s">
        <v>480</v>
      </c>
      <c r="I45" s="147">
        <v>4025.13</v>
      </c>
      <c r="J45" s="138"/>
      <c r="K45" s="160"/>
      <c r="L45" s="163"/>
      <c r="M45" s="163"/>
      <c r="O45" s="2" t="s">
        <v>481</v>
      </c>
      <c r="P45" s="55">
        <v>387109</v>
      </c>
    </row>
    <row r="46" spans="1:18">
      <c r="A46" s="148"/>
      <c r="C46" s="61"/>
      <c r="E46" s="164"/>
      <c r="G46" t="s">
        <v>479</v>
      </c>
      <c r="H46" t="s">
        <v>480</v>
      </c>
      <c r="I46" s="149">
        <v>4494.1100000000006</v>
      </c>
      <c r="K46" s="161"/>
      <c r="L46" s="163"/>
      <c r="M46" s="163"/>
    </row>
    <row r="47" spans="1:18">
      <c r="A47" s="148"/>
      <c r="C47" s="61"/>
      <c r="E47" s="164"/>
      <c r="G47" t="s">
        <v>479</v>
      </c>
      <c r="H47" t="s">
        <v>480</v>
      </c>
      <c r="I47" s="149">
        <v>6565.7400000000016</v>
      </c>
      <c r="K47" s="161"/>
      <c r="L47" s="163"/>
      <c r="M47" s="163"/>
    </row>
    <row r="48" spans="1:18">
      <c r="A48" s="148"/>
      <c r="C48" s="61"/>
      <c r="E48" s="164"/>
      <c r="G48" t="s">
        <v>479</v>
      </c>
      <c r="H48" t="s">
        <v>480</v>
      </c>
      <c r="I48" s="149">
        <v>7210.0200000000032</v>
      </c>
      <c r="K48" s="161"/>
      <c r="L48" s="163"/>
      <c r="M48" s="163"/>
    </row>
    <row r="49" spans="1:16">
      <c r="A49" s="148"/>
      <c r="C49" s="61"/>
      <c r="E49" s="164"/>
      <c r="G49" t="s">
        <v>479</v>
      </c>
      <c r="H49" t="s">
        <v>480</v>
      </c>
      <c r="I49" s="149">
        <v>35328.05000000001</v>
      </c>
      <c r="K49" s="161"/>
      <c r="L49" s="163"/>
      <c r="M49" s="163"/>
    </row>
    <row r="50" spans="1:16">
      <c r="A50" s="148"/>
      <c r="C50" s="61"/>
      <c r="E50" s="164"/>
      <c r="G50" t="s">
        <v>479</v>
      </c>
      <c r="H50" t="s">
        <v>480</v>
      </c>
      <c r="I50" s="149">
        <v>8660.42</v>
      </c>
      <c r="K50" s="161"/>
      <c r="L50" s="163"/>
      <c r="M50" s="163"/>
    </row>
    <row r="51" spans="1:16">
      <c r="A51" s="148"/>
      <c r="C51" s="61"/>
      <c r="E51" s="164"/>
      <c r="G51" t="s">
        <v>479</v>
      </c>
      <c r="H51" t="s">
        <v>480</v>
      </c>
      <c r="I51" s="149">
        <v>5934.9999999999973</v>
      </c>
      <c r="K51" s="161"/>
      <c r="L51" s="163"/>
      <c r="M51" s="163"/>
    </row>
    <row r="52" spans="1:16">
      <c r="A52" s="148"/>
      <c r="C52" s="61"/>
      <c r="E52" s="164"/>
      <c r="G52" t="s">
        <v>479</v>
      </c>
      <c r="H52" t="s">
        <v>480</v>
      </c>
      <c r="I52" s="149">
        <v>1280.0500000000002</v>
      </c>
      <c r="K52" s="161"/>
      <c r="L52" s="163"/>
      <c r="M52" s="163"/>
    </row>
    <row r="53" spans="1:16">
      <c r="A53" s="148"/>
      <c r="C53" s="61"/>
      <c r="E53" s="164"/>
      <c r="G53" t="s">
        <v>479</v>
      </c>
      <c r="H53" t="s">
        <v>480</v>
      </c>
      <c r="I53" s="149">
        <v>1836.2300000000009</v>
      </c>
      <c r="K53" s="161"/>
      <c r="L53" s="163"/>
      <c r="M53" s="163"/>
    </row>
    <row r="54" spans="1:16">
      <c r="A54" s="148"/>
      <c r="C54" s="61"/>
      <c r="E54" s="164"/>
      <c r="G54" t="s">
        <v>479</v>
      </c>
      <c r="H54" t="s">
        <v>480</v>
      </c>
      <c r="I54" s="149">
        <v>3741.5100000000007</v>
      </c>
      <c r="K54" s="161"/>
      <c r="L54" s="163"/>
      <c r="M54" s="163"/>
    </row>
    <row r="55" spans="1:16">
      <c r="A55" s="150"/>
      <c r="B55" s="62"/>
      <c r="C55" s="137"/>
      <c r="D55" s="62"/>
      <c r="E55" s="166"/>
      <c r="F55" s="62"/>
      <c r="G55" s="62" t="s">
        <v>479</v>
      </c>
      <c r="H55" s="62" t="s">
        <v>480</v>
      </c>
      <c r="I55" s="151">
        <v>308032.28999999998</v>
      </c>
      <c r="J55" s="62"/>
      <c r="K55" s="162">
        <f>I45+I46+I47+I48+I49+I50+I51+I52+I53+I54+I55-C45</f>
        <v>-0.45000000001164153</v>
      </c>
      <c r="L55" s="163"/>
      <c r="M55" s="163"/>
    </row>
    <row r="56" spans="1:16">
      <c r="C56" s="61"/>
      <c r="I56" s="149"/>
      <c r="K56" s="149"/>
      <c r="L56" s="149"/>
      <c r="M56" s="149"/>
    </row>
    <row r="57" spans="1:16">
      <c r="C57" s="46"/>
    </row>
    <row r="58" spans="1:16">
      <c r="A58" s="167">
        <v>615</v>
      </c>
      <c r="B58" s="168" t="s">
        <v>482</v>
      </c>
      <c r="C58" s="94">
        <v>900000</v>
      </c>
      <c r="D58" s="168"/>
      <c r="E58" s="169"/>
      <c r="F58" s="168"/>
      <c r="G58" s="168" t="s">
        <v>483</v>
      </c>
      <c r="H58" s="168" t="s">
        <v>484</v>
      </c>
      <c r="I58" s="170">
        <v>900000.00000000058</v>
      </c>
      <c r="J58" s="168"/>
      <c r="K58" s="171">
        <f>I58-C58</f>
        <v>0</v>
      </c>
      <c r="L58" s="163"/>
      <c r="M58" s="163"/>
      <c r="O58" s="2" t="s">
        <v>235</v>
      </c>
      <c r="P58" s="55">
        <v>900000</v>
      </c>
    </row>
    <row r="59" spans="1:16">
      <c r="C59" s="61"/>
      <c r="I59" s="149"/>
      <c r="K59" s="149"/>
      <c r="L59" s="149"/>
      <c r="M59" s="149"/>
    </row>
    <row r="60" spans="1:16">
      <c r="C60" s="46"/>
    </row>
    <row r="61" spans="1:16">
      <c r="A61" s="146">
        <v>618</v>
      </c>
      <c r="B61" s="138" t="s">
        <v>236</v>
      </c>
      <c r="C61" s="65">
        <v>406009</v>
      </c>
      <c r="D61" s="138"/>
      <c r="E61" s="165"/>
      <c r="F61" s="138"/>
      <c r="G61" s="138" t="s">
        <v>485</v>
      </c>
      <c r="H61" s="138" t="s">
        <v>486</v>
      </c>
      <c r="I61" s="147">
        <v>263792.34999999998</v>
      </c>
      <c r="J61" s="138"/>
      <c r="K61" s="160"/>
      <c r="L61" s="163"/>
      <c r="M61" s="163"/>
      <c r="O61" s="2" t="s">
        <v>236</v>
      </c>
      <c r="P61" s="55">
        <v>406009</v>
      </c>
    </row>
    <row r="62" spans="1:16">
      <c r="A62" s="148"/>
      <c r="C62" s="25"/>
      <c r="E62" s="164"/>
      <c r="G62" t="s">
        <v>487</v>
      </c>
      <c r="H62" t="s">
        <v>488</v>
      </c>
      <c r="I62" s="149">
        <v>102614.92</v>
      </c>
      <c r="K62" s="161"/>
      <c r="L62" s="163"/>
      <c r="M62" s="163"/>
    </row>
    <row r="63" spans="1:16">
      <c r="A63" s="150"/>
      <c r="B63" s="62"/>
      <c r="C63" s="52"/>
      <c r="D63" s="62"/>
      <c r="E63" s="166"/>
      <c r="F63" s="62"/>
      <c r="G63" s="62" t="s">
        <v>489</v>
      </c>
      <c r="H63" s="62" t="s">
        <v>490</v>
      </c>
      <c r="I63" s="151">
        <v>39601.599999999991</v>
      </c>
      <c r="J63" s="62"/>
      <c r="K63" s="162">
        <f>I61+I62+I63-C61</f>
        <v>-0.13000000006286427</v>
      </c>
      <c r="L63" s="163"/>
      <c r="M63" s="163"/>
    </row>
    <row r="64" spans="1:16">
      <c r="C64" s="61"/>
      <c r="I64" s="149"/>
      <c r="K64" s="149"/>
      <c r="L64" s="149"/>
      <c r="M64" s="149"/>
    </row>
    <row r="66" spans="1:18">
      <c r="A66" s="146">
        <v>620</v>
      </c>
      <c r="B66" s="138" t="s">
        <v>170</v>
      </c>
      <c r="C66" s="65">
        <v>753952</v>
      </c>
      <c r="D66" s="138"/>
      <c r="E66" s="165"/>
      <c r="F66" s="138"/>
      <c r="G66" s="138" t="s">
        <v>491</v>
      </c>
      <c r="H66" s="138" t="s">
        <v>492</v>
      </c>
      <c r="I66" s="147">
        <v>78201.539999999994</v>
      </c>
      <c r="J66" s="138"/>
      <c r="K66" s="160"/>
      <c r="L66" s="163"/>
      <c r="M66" s="163"/>
      <c r="O66" s="2" t="s">
        <v>170</v>
      </c>
      <c r="P66" s="55">
        <v>78202</v>
      </c>
    </row>
    <row r="67" spans="1:18">
      <c r="A67" s="148"/>
      <c r="C67" s="61"/>
      <c r="E67" s="164"/>
      <c r="G67" t="s">
        <v>493</v>
      </c>
      <c r="H67" t="s">
        <v>494</v>
      </c>
      <c r="I67" s="149">
        <v>17987.349999999991</v>
      </c>
      <c r="K67" s="161"/>
      <c r="L67" s="163"/>
      <c r="M67" s="163"/>
      <c r="O67" s="2" t="s">
        <v>170</v>
      </c>
      <c r="P67" s="55">
        <v>147260</v>
      </c>
    </row>
    <row r="68" spans="1:18">
      <c r="A68" s="148"/>
      <c r="C68" s="61"/>
      <c r="E68" s="164"/>
      <c r="G68" t="s">
        <v>495</v>
      </c>
      <c r="H68" t="s">
        <v>496</v>
      </c>
      <c r="I68" s="149">
        <v>124999.99999999997</v>
      </c>
      <c r="K68" s="161"/>
      <c r="L68" s="163"/>
      <c r="M68" s="163"/>
      <c r="O68" s="2" t="s">
        <v>170</v>
      </c>
      <c r="P68" s="55">
        <v>419744</v>
      </c>
      <c r="R68" s="135">
        <f>SUM(P66:P69)-SUM(I66:I79,I81)</f>
        <v>-10297.880000000005</v>
      </c>
    </row>
    <row r="69" spans="1:18">
      <c r="A69" s="148"/>
      <c r="C69" s="61"/>
      <c r="E69" s="164"/>
      <c r="G69" t="s">
        <v>497</v>
      </c>
      <c r="H69" t="s">
        <v>498</v>
      </c>
      <c r="I69" s="149">
        <v>55000.000000000007</v>
      </c>
      <c r="K69" s="161"/>
      <c r="L69" s="163"/>
      <c r="M69" s="163"/>
    </row>
    <row r="70" spans="1:18">
      <c r="A70" s="148"/>
      <c r="C70" s="61"/>
      <c r="E70" s="164"/>
      <c r="G70" t="s">
        <v>499</v>
      </c>
      <c r="H70" t="s">
        <v>500</v>
      </c>
      <c r="I70" s="149">
        <v>-50727.009999999944</v>
      </c>
      <c r="K70" s="161"/>
      <c r="L70" s="163"/>
      <c r="M70" s="163"/>
    </row>
    <row r="71" spans="1:18">
      <c r="A71" s="148"/>
      <c r="C71" s="61"/>
      <c r="E71" s="164"/>
      <c r="G71" t="s">
        <v>501</v>
      </c>
      <c r="H71" t="s">
        <v>502</v>
      </c>
      <c r="I71" s="149">
        <v>236901.75000000003</v>
      </c>
      <c r="K71" s="161"/>
      <c r="L71" s="163"/>
      <c r="M71" s="163"/>
    </row>
    <row r="72" spans="1:18">
      <c r="A72" s="148"/>
      <c r="C72" s="61"/>
      <c r="E72" s="164"/>
      <c r="G72" t="s">
        <v>503</v>
      </c>
      <c r="H72" t="s">
        <v>504</v>
      </c>
      <c r="I72" s="149">
        <v>13299.759999999998</v>
      </c>
      <c r="K72" s="161"/>
      <c r="L72" s="163"/>
      <c r="M72" s="163"/>
    </row>
    <row r="73" spans="1:18">
      <c r="A73" s="148"/>
      <c r="C73" s="61"/>
      <c r="E73" s="164"/>
      <c r="G73" t="s">
        <v>503</v>
      </c>
      <c r="H73" t="s">
        <v>504</v>
      </c>
      <c r="I73" s="149">
        <v>711.50000000000011</v>
      </c>
      <c r="K73" s="161"/>
      <c r="L73" s="163"/>
      <c r="M73" s="163"/>
    </row>
    <row r="74" spans="1:18">
      <c r="A74" s="148"/>
      <c r="C74" s="61"/>
      <c r="E74" s="164"/>
      <c r="G74" t="s">
        <v>503</v>
      </c>
      <c r="H74" t="s">
        <v>504</v>
      </c>
      <c r="I74" s="149">
        <v>60002.16999999994</v>
      </c>
      <c r="K74" s="161"/>
      <c r="L74" s="163"/>
      <c r="M74" s="163"/>
    </row>
    <row r="75" spans="1:18">
      <c r="A75" s="148"/>
      <c r="C75" s="61"/>
      <c r="E75" s="164"/>
      <c r="G75" t="s">
        <v>503</v>
      </c>
      <c r="H75" t="s">
        <v>504</v>
      </c>
      <c r="I75" s="149">
        <v>1279.4200000000005</v>
      </c>
      <c r="K75" s="161"/>
      <c r="L75" s="163"/>
      <c r="M75" s="163"/>
    </row>
    <row r="76" spans="1:18">
      <c r="A76" s="148"/>
      <c r="C76" s="61"/>
      <c r="E76" s="164"/>
      <c r="G76" t="s">
        <v>503</v>
      </c>
      <c r="H76" t="s">
        <v>504</v>
      </c>
      <c r="I76" s="149">
        <v>106188.72999999994</v>
      </c>
      <c r="K76" s="161"/>
      <c r="L76" s="163"/>
      <c r="M76" s="163"/>
    </row>
    <row r="77" spans="1:18">
      <c r="A77" s="148"/>
      <c r="C77" s="61"/>
      <c r="E77" s="164"/>
      <c r="G77" t="s">
        <v>503</v>
      </c>
      <c r="H77" t="s">
        <v>505</v>
      </c>
      <c r="I77" s="149">
        <v>680.28</v>
      </c>
      <c r="K77" s="161"/>
      <c r="L77" s="163"/>
      <c r="M77" s="163"/>
    </row>
    <row r="78" spans="1:18">
      <c r="A78" s="148"/>
      <c r="C78" s="61"/>
      <c r="E78" s="164"/>
      <c r="G78" t="s">
        <v>503</v>
      </c>
      <c r="H78" t="s">
        <v>505</v>
      </c>
      <c r="I78" s="149">
        <v>680.28</v>
      </c>
      <c r="K78" s="161"/>
      <c r="L78" s="163"/>
      <c r="M78" s="163"/>
    </row>
    <row r="79" spans="1:18">
      <c r="A79" s="148"/>
      <c r="C79" s="61"/>
      <c r="E79" s="164"/>
      <c r="G79" s="202" t="s">
        <v>506</v>
      </c>
      <c r="H79" s="202" t="s">
        <v>507</v>
      </c>
      <c r="I79" s="203">
        <v>9382.2099999999991</v>
      </c>
      <c r="K79" s="161"/>
      <c r="L79" s="163"/>
      <c r="M79" s="163"/>
    </row>
    <row r="80" spans="1:18">
      <c r="A80" s="148"/>
      <c r="C80" s="61"/>
      <c r="E80" s="164"/>
      <c r="G80" s="206" t="s">
        <v>508</v>
      </c>
      <c r="H80" s="206" t="s">
        <v>509</v>
      </c>
      <c r="I80" s="207">
        <v>98447.51999999999</v>
      </c>
      <c r="K80" s="161"/>
      <c r="L80" s="163"/>
      <c r="M80" s="163"/>
    </row>
    <row r="81" spans="1:18">
      <c r="A81" s="150"/>
      <c r="B81" s="62"/>
      <c r="C81" s="137"/>
      <c r="D81" s="62"/>
      <c r="E81" s="166"/>
      <c r="F81" s="62"/>
      <c r="G81" s="204" t="s">
        <v>510</v>
      </c>
      <c r="H81" s="204" t="s">
        <v>511</v>
      </c>
      <c r="I81" s="205">
        <v>915.9</v>
      </c>
      <c r="J81" s="62"/>
      <c r="K81" s="162">
        <f>SUM(I66:I81)-C66</f>
        <v>-0.59999999997671694</v>
      </c>
      <c r="L81" s="163"/>
      <c r="M81" s="163"/>
    </row>
    <row r="82" spans="1:18">
      <c r="C82" s="61"/>
      <c r="I82" s="149"/>
      <c r="K82" s="149"/>
      <c r="L82" s="149"/>
      <c r="M82" s="149"/>
    </row>
    <row r="83" spans="1:18">
      <c r="C83" s="46"/>
    </row>
    <row r="84" spans="1:18">
      <c r="A84" s="146">
        <v>631</v>
      </c>
      <c r="B84" s="138" t="s">
        <v>512</v>
      </c>
      <c r="C84" s="65">
        <v>1689682</v>
      </c>
      <c r="D84" s="138"/>
      <c r="E84" s="165"/>
      <c r="F84" s="138"/>
      <c r="G84" s="138" t="s">
        <v>513</v>
      </c>
      <c r="H84" s="138" t="s">
        <v>514</v>
      </c>
      <c r="I84" s="147">
        <v>82882.510000000009</v>
      </c>
      <c r="J84" s="138"/>
      <c r="K84" s="160"/>
      <c r="L84" s="163"/>
      <c r="M84" s="163"/>
      <c r="O84" s="2" t="s">
        <v>515</v>
      </c>
      <c r="P84" s="55">
        <v>82883</v>
      </c>
    </row>
    <row r="85" spans="1:18">
      <c r="A85" s="148"/>
      <c r="C85" s="61"/>
      <c r="E85" s="164"/>
      <c r="G85" t="s">
        <v>516</v>
      </c>
      <c r="H85" t="s">
        <v>517</v>
      </c>
      <c r="I85" s="149">
        <v>173536.05</v>
      </c>
      <c r="K85" s="161"/>
      <c r="L85" s="163"/>
      <c r="M85" s="163"/>
      <c r="O85" s="2" t="s">
        <v>518</v>
      </c>
      <c r="P85" s="55">
        <v>175536</v>
      </c>
    </row>
    <row r="86" spans="1:18">
      <c r="A86" s="148"/>
      <c r="C86" s="61"/>
      <c r="E86" s="164"/>
      <c r="G86" t="s">
        <v>519</v>
      </c>
      <c r="H86" t="s">
        <v>520</v>
      </c>
      <c r="I86" s="149">
        <v>2000</v>
      </c>
      <c r="K86" s="161"/>
      <c r="L86" s="163"/>
      <c r="M86" s="163"/>
      <c r="O86" s="2" t="s">
        <v>521</v>
      </c>
      <c r="P86" s="55">
        <v>131393</v>
      </c>
    </row>
    <row r="87" spans="1:18">
      <c r="A87" s="148"/>
      <c r="C87" s="61"/>
      <c r="E87" s="164"/>
      <c r="G87" t="s">
        <v>522</v>
      </c>
      <c r="H87" t="s">
        <v>523</v>
      </c>
      <c r="I87" s="149">
        <v>131392.6099999999</v>
      </c>
      <c r="K87" s="161"/>
      <c r="L87" s="163"/>
      <c r="M87" s="163"/>
      <c r="O87" s="2" t="s">
        <v>524</v>
      </c>
      <c r="P87" s="55">
        <v>973318</v>
      </c>
    </row>
    <row r="88" spans="1:18">
      <c r="A88" s="148"/>
      <c r="C88" s="61"/>
      <c r="E88" s="164"/>
      <c r="G88" t="s">
        <v>525</v>
      </c>
      <c r="H88" t="s">
        <v>526</v>
      </c>
      <c r="I88" s="149">
        <v>27394.760000000006</v>
      </c>
      <c r="K88" s="161"/>
      <c r="L88" s="163"/>
      <c r="M88" s="163"/>
      <c r="O88" s="2" t="s">
        <v>524</v>
      </c>
      <c r="P88" s="55">
        <v>425000</v>
      </c>
      <c r="R88" s="209">
        <f>SUM(P84:P89)-C84</f>
        <v>98448</v>
      </c>
    </row>
    <row r="89" spans="1:18">
      <c r="A89" s="148"/>
      <c r="C89" s="61"/>
      <c r="E89" s="164"/>
      <c r="G89" t="s">
        <v>525</v>
      </c>
      <c r="H89" t="s">
        <v>526</v>
      </c>
      <c r="I89" s="149">
        <v>9164.09</v>
      </c>
      <c r="K89" s="161"/>
      <c r="L89" s="163"/>
      <c r="M89" s="163"/>
    </row>
    <row r="90" spans="1:18">
      <c r="A90" s="148"/>
      <c r="C90" s="25"/>
      <c r="E90" s="164"/>
      <c r="G90" t="s">
        <v>525</v>
      </c>
      <c r="H90" t="s">
        <v>526</v>
      </c>
      <c r="I90" s="149">
        <v>16863.75</v>
      </c>
      <c r="K90" s="161"/>
      <c r="L90" s="163"/>
      <c r="M90" s="163"/>
    </row>
    <row r="91" spans="1:18">
      <c r="A91" s="148"/>
      <c r="C91" s="61"/>
      <c r="E91" s="164"/>
      <c r="G91" t="s">
        <v>525</v>
      </c>
      <c r="H91" t="s">
        <v>526</v>
      </c>
      <c r="I91" s="149">
        <v>821447.99999999988</v>
      </c>
      <c r="K91" s="161"/>
      <c r="L91" s="163"/>
      <c r="M91" s="163"/>
    </row>
    <row r="92" spans="1:18">
      <c r="A92" s="150"/>
      <c r="B92" s="62"/>
      <c r="C92" s="137"/>
      <c r="D92" s="62"/>
      <c r="E92" s="166"/>
      <c r="F92" s="62"/>
      <c r="G92" s="62" t="s">
        <v>527</v>
      </c>
      <c r="H92" s="62" t="s">
        <v>528</v>
      </c>
      <c r="I92" s="151">
        <v>424999.99999999994</v>
      </c>
      <c r="J92" s="62"/>
      <c r="K92" s="162">
        <f>SUM(I84:I92)-C84</f>
        <v>-0.23000000021420419</v>
      </c>
      <c r="L92" s="163"/>
      <c r="M92" s="163"/>
      <c r="Q92" s="8"/>
    </row>
    <row r="93" spans="1:18">
      <c r="C93" s="61"/>
      <c r="I93" s="149"/>
      <c r="K93" s="149"/>
      <c r="L93" s="149"/>
      <c r="M93" s="149"/>
    </row>
    <row r="94" spans="1:18">
      <c r="C94" s="46"/>
    </row>
    <row r="95" spans="1:18">
      <c r="A95" s="146">
        <v>641</v>
      </c>
      <c r="B95" s="138" t="s">
        <v>103</v>
      </c>
      <c r="C95" s="65">
        <v>92116</v>
      </c>
      <c r="D95" s="138"/>
      <c r="E95" s="165"/>
      <c r="F95" s="138"/>
      <c r="G95" s="138" t="s">
        <v>529</v>
      </c>
      <c r="H95" s="138" t="s">
        <v>530</v>
      </c>
      <c r="I95" s="147">
        <v>3069.18</v>
      </c>
      <c r="J95" s="138"/>
      <c r="K95" s="160"/>
      <c r="L95" s="163"/>
      <c r="M95" s="163"/>
      <c r="O95" s="2" t="s">
        <v>139</v>
      </c>
      <c r="P95" s="55">
        <v>92116</v>
      </c>
    </row>
    <row r="96" spans="1:18">
      <c r="A96" s="148"/>
      <c r="C96" s="61"/>
      <c r="E96" s="164"/>
      <c r="G96" t="s">
        <v>529</v>
      </c>
      <c r="H96" t="s">
        <v>530</v>
      </c>
      <c r="I96" s="149">
        <v>5343.59</v>
      </c>
      <c r="K96" s="161"/>
      <c r="L96" s="163"/>
      <c r="M96" s="163"/>
    </row>
    <row r="97" spans="1:16">
      <c r="A97" s="148"/>
      <c r="C97" s="61"/>
      <c r="E97" s="164"/>
      <c r="G97" t="s">
        <v>529</v>
      </c>
      <c r="H97" t="s">
        <v>530</v>
      </c>
      <c r="I97" s="149">
        <v>13029.57</v>
      </c>
      <c r="K97" s="161"/>
      <c r="L97" s="163"/>
      <c r="M97" s="163"/>
    </row>
    <row r="98" spans="1:16">
      <c r="A98" s="148"/>
      <c r="C98" s="61"/>
      <c r="E98" s="164"/>
      <c r="G98" t="s">
        <v>529</v>
      </c>
      <c r="H98" t="s">
        <v>530</v>
      </c>
      <c r="I98" s="149">
        <v>42593.25</v>
      </c>
      <c r="K98" s="161"/>
      <c r="L98" s="163"/>
      <c r="M98" s="163"/>
    </row>
    <row r="99" spans="1:16">
      <c r="A99" s="148"/>
      <c r="C99" s="61"/>
      <c r="E99" s="164"/>
      <c r="G99" t="s">
        <v>529</v>
      </c>
      <c r="H99" t="s">
        <v>530</v>
      </c>
      <c r="I99" s="149">
        <v>7321.86</v>
      </c>
      <c r="K99" s="161"/>
      <c r="L99" s="163"/>
      <c r="M99" s="163"/>
    </row>
    <row r="100" spans="1:16">
      <c r="A100" s="148"/>
      <c r="C100" s="61"/>
      <c r="E100" s="164"/>
      <c r="G100" t="s">
        <v>529</v>
      </c>
      <c r="H100" t="s">
        <v>530</v>
      </c>
      <c r="I100" s="149">
        <v>12584.32</v>
      </c>
      <c r="K100" s="161"/>
      <c r="L100" s="163"/>
      <c r="M100" s="163"/>
    </row>
    <row r="101" spans="1:16">
      <c r="A101" s="148"/>
      <c r="C101" s="61"/>
      <c r="E101" s="164"/>
      <c r="G101" t="s">
        <v>529</v>
      </c>
      <c r="H101" t="s">
        <v>530</v>
      </c>
      <c r="I101" s="149">
        <v>5808.09</v>
      </c>
      <c r="K101" s="161"/>
      <c r="L101" s="163"/>
      <c r="M101" s="163"/>
    </row>
    <row r="102" spans="1:16">
      <c r="A102" s="150"/>
      <c r="B102" s="62"/>
      <c r="C102" s="137"/>
      <c r="D102" s="62"/>
      <c r="E102" s="166"/>
      <c r="F102" s="62"/>
      <c r="G102" s="62" t="s">
        <v>529</v>
      </c>
      <c r="H102" s="62" t="s">
        <v>530</v>
      </c>
      <c r="I102" s="151">
        <v>2365.86</v>
      </c>
      <c r="J102" s="62"/>
      <c r="K102" s="162">
        <f>I95+I96+I97+I98+I99+I100+I101+I102-C95</f>
        <v>-0.28000000001338776</v>
      </c>
      <c r="L102" s="163"/>
      <c r="M102" s="163"/>
    </row>
    <row r="103" spans="1:16">
      <c r="C103" s="61"/>
      <c r="I103" s="149"/>
      <c r="K103" s="149"/>
      <c r="L103" s="149"/>
      <c r="M103" s="149"/>
    </row>
    <row r="104" spans="1:16">
      <c r="C104" s="46"/>
    </row>
    <row r="105" spans="1:16">
      <c r="A105" s="146">
        <v>650</v>
      </c>
      <c r="B105" s="138" t="s">
        <v>237</v>
      </c>
      <c r="C105" s="65">
        <v>249298</v>
      </c>
      <c r="D105" s="138"/>
      <c r="E105" s="165"/>
      <c r="F105" s="138"/>
      <c r="G105" s="138" t="s">
        <v>531</v>
      </c>
      <c r="H105" s="138" t="s">
        <v>532</v>
      </c>
      <c r="I105" s="147">
        <v>153046.75000000003</v>
      </c>
      <c r="J105" s="138"/>
      <c r="K105" s="160"/>
      <c r="L105" s="163"/>
      <c r="M105" s="163"/>
      <c r="O105" s="2" t="s">
        <v>237</v>
      </c>
      <c r="P105" s="55">
        <v>249298</v>
      </c>
    </row>
    <row r="106" spans="1:16">
      <c r="A106" s="150"/>
      <c r="B106" s="62"/>
      <c r="C106" s="137"/>
      <c r="D106" s="62"/>
      <c r="E106" s="166"/>
      <c r="F106" s="62"/>
      <c r="G106" s="62" t="s">
        <v>533</v>
      </c>
      <c r="H106" s="62" t="s">
        <v>534</v>
      </c>
      <c r="I106" s="151">
        <v>96251.180000000008</v>
      </c>
      <c r="J106" s="62"/>
      <c r="K106" s="162">
        <f>I105+I106-C105</f>
        <v>-6.9999999948777258E-2</v>
      </c>
      <c r="L106" s="163"/>
      <c r="M106" s="163"/>
    </row>
    <row r="107" spans="1:16">
      <c r="C107" s="61"/>
      <c r="I107" s="149"/>
      <c r="K107" s="149"/>
      <c r="L107" s="149"/>
      <c r="M107" s="149"/>
    </row>
    <row r="108" spans="1:16">
      <c r="C108" s="46"/>
    </row>
    <row r="109" spans="1:16">
      <c r="A109" s="167">
        <v>657</v>
      </c>
      <c r="B109" s="168" t="s">
        <v>535</v>
      </c>
      <c r="C109" s="94">
        <v>174999</v>
      </c>
      <c r="D109" s="168"/>
      <c r="E109" s="169"/>
      <c r="F109" s="168"/>
      <c r="G109" s="168" t="s">
        <v>536</v>
      </c>
      <c r="H109" s="168" t="s">
        <v>537</v>
      </c>
      <c r="I109" s="170">
        <v>174999</v>
      </c>
      <c r="J109" s="168"/>
      <c r="K109" s="171">
        <f>I109-C109</f>
        <v>0</v>
      </c>
      <c r="L109" s="163"/>
      <c r="M109" s="163"/>
      <c r="O109" s="2" t="s">
        <v>105</v>
      </c>
      <c r="P109" s="55">
        <v>174999</v>
      </c>
    </row>
    <row r="110" spans="1:16">
      <c r="C110" s="61"/>
      <c r="I110" s="149"/>
      <c r="K110" s="149"/>
      <c r="L110" s="149"/>
      <c r="M110" s="149"/>
    </row>
    <row r="111" spans="1:16">
      <c r="C111" s="46"/>
      <c r="I111" s="64"/>
    </row>
    <row r="112" spans="1:16">
      <c r="A112" s="146">
        <v>659</v>
      </c>
      <c r="B112" s="138" t="s">
        <v>538</v>
      </c>
      <c r="C112" s="65">
        <v>901334</v>
      </c>
      <c r="D112" s="138"/>
      <c r="E112" s="165"/>
      <c r="F112" s="138"/>
      <c r="G112" s="138" t="s">
        <v>539</v>
      </c>
      <c r="H112" s="138" t="s">
        <v>540</v>
      </c>
      <c r="I112" s="147">
        <v>9139.4000000000033</v>
      </c>
      <c r="J112" s="138"/>
      <c r="K112" s="160"/>
      <c r="L112" s="163"/>
      <c r="M112" s="163"/>
      <c r="O112" s="2" t="s">
        <v>140</v>
      </c>
      <c r="P112" s="55">
        <v>901334</v>
      </c>
    </row>
    <row r="113" spans="1:16">
      <c r="A113" s="148"/>
      <c r="C113" s="61"/>
      <c r="E113" s="164"/>
      <c r="G113" t="s">
        <v>539</v>
      </c>
      <c r="H113" t="s">
        <v>540</v>
      </c>
      <c r="I113" s="149">
        <v>8059.3300000000045</v>
      </c>
      <c r="K113" s="161"/>
      <c r="L113" s="163"/>
      <c r="M113" s="163"/>
    </row>
    <row r="114" spans="1:16">
      <c r="A114" s="148"/>
      <c r="C114" s="61"/>
      <c r="E114" s="164"/>
      <c r="G114" t="s">
        <v>539</v>
      </c>
      <c r="H114" t="s">
        <v>540</v>
      </c>
      <c r="I114" s="149">
        <v>7698.850000000004</v>
      </c>
      <c r="K114" s="161"/>
      <c r="L114" s="163"/>
      <c r="M114" s="163"/>
    </row>
    <row r="115" spans="1:16">
      <c r="A115" s="148"/>
      <c r="C115" s="61"/>
      <c r="E115" s="164"/>
      <c r="G115" t="s">
        <v>539</v>
      </c>
      <c r="H115" t="s">
        <v>540</v>
      </c>
      <c r="I115" s="149">
        <v>17615.41</v>
      </c>
      <c r="K115" s="161"/>
      <c r="L115" s="163"/>
      <c r="M115" s="163"/>
    </row>
    <row r="116" spans="1:16">
      <c r="A116" s="148"/>
      <c r="C116" s="61"/>
      <c r="E116" s="164"/>
      <c r="G116" t="s">
        <v>539</v>
      </c>
      <c r="H116" t="s">
        <v>540</v>
      </c>
      <c r="I116" s="149">
        <v>82432.67</v>
      </c>
      <c r="K116" s="161"/>
      <c r="L116" s="163"/>
      <c r="M116" s="163"/>
    </row>
    <row r="117" spans="1:16">
      <c r="A117" s="148"/>
      <c r="C117" s="61"/>
      <c r="E117" s="164"/>
      <c r="G117" t="s">
        <v>539</v>
      </c>
      <c r="H117" t="s">
        <v>540</v>
      </c>
      <c r="I117" s="149">
        <v>13981.920000000002</v>
      </c>
      <c r="K117" s="161"/>
      <c r="L117" s="163"/>
      <c r="M117" s="163"/>
    </row>
    <row r="118" spans="1:16">
      <c r="A118" s="148"/>
      <c r="C118" s="61"/>
      <c r="E118" s="164"/>
      <c r="G118" t="s">
        <v>539</v>
      </c>
      <c r="H118" t="s">
        <v>540</v>
      </c>
      <c r="I118" s="149">
        <v>11923.359999999995</v>
      </c>
      <c r="K118" s="161"/>
      <c r="L118" s="163"/>
      <c r="M118" s="163"/>
    </row>
    <row r="119" spans="1:16">
      <c r="A119" s="148"/>
      <c r="C119" s="61"/>
      <c r="E119" s="164"/>
      <c r="G119" t="s">
        <v>539</v>
      </c>
      <c r="H119" t="s">
        <v>540</v>
      </c>
      <c r="I119" s="149">
        <v>4165.7999999999993</v>
      </c>
      <c r="K119" s="161"/>
      <c r="L119" s="163"/>
      <c r="M119" s="163"/>
    </row>
    <row r="120" spans="1:16">
      <c r="A120" s="148"/>
      <c r="C120" s="61"/>
      <c r="E120" s="164"/>
      <c r="G120" t="s">
        <v>539</v>
      </c>
      <c r="H120" t="s">
        <v>540</v>
      </c>
      <c r="I120" s="149">
        <v>4006.3900000000017</v>
      </c>
      <c r="K120" s="161"/>
      <c r="L120" s="163"/>
      <c r="M120" s="163"/>
    </row>
    <row r="121" spans="1:16">
      <c r="A121" s="148"/>
      <c r="C121" s="61"/>
      <c r="E121" s="164"/>
      <c r="G121" t="s">
        <v>539</v>
      </c>
      <c r="H121" t="s">
        <v>540</v>
      </c>
      <c r="I121" s="149">
        <v>2861.85</v>
      </c>
      <c r="K121" s="161"/>
      <c r="L121" s="163"/>
      <c r="M121" s="163"/>
    </row>
    <row r="122" spans="1:16">
      <c r="A122" s="150"/>
      <c r="B122" s="62"/>
      <c r="C122" s="137"/>
      <c r="D122" s="62"/>
      <c r="E122" s="166"/>
      <c r="F122" s="62"/>
      <c r="G122" s="62" t="s">
        <v>539</v>
      </c>
      <c r="H122" s="62" t="s">
        <v>540</v>
      </c>
      <c r="I122" s="151">
        <v>739449.48</v>
      </c>
      <c r="J122" s="62"/>
      <c r="K122" s="162">
        <f>I112+I113+I114+I115+I116+I117+I118+I119+I120+I121+I122-C112</f>
        <v>0.4599999999627471</v>
      </c>
      <c r="L122" s="163"/>
      <c r="M122" s="163"/>
    </row>
    <row r="123" spans="1:16">
      <c r="C123" s="61"/>
      <c r="I123" s="149"/>
      <c r="K123" s="149"/>
      <c r="L123" s="149"/>
      <c r="M123" s="149"/>
    </row>
    <row r="124" spans="1:16">
      <c r="C124" s="46"/>
      <c r="I124" s="64"/>
    </row>
    <row r="125" spans="1:16">
      <c r="A125" s="167">
        <v>670</v>
      </c>
      <c r="B125" s="168" t="s">
        <v>239</v>
      </c>
      <c r="C125" s="94">
        <v>110435</v>
      </c>
      <c r="D125" s="168"/>
      <c r="E125" s="169"/>
      <c r="F125" s="168"/>
      <c r="G125" s="168" t="s">
        <v>541</v>
      </c>
      <c r="H125" s="168" t="s">
        <v>542</v>
      </c>
      <c r="I125" s="170">
        <v>110434.83999998681</v>
      </c>
      <c r="J125" s="168"/>
      <c r="K125" s="171">
        <f>I125-C125</f>
        <v>-0.16000001318752766</v>
      </c>
      <c r="L125" s="163"/>
      <c r="M125" s="163"/>
      <c r="O125" s="2" t="s">
        <v>239</v>
      </c>
      <c r="P125" s="55">
        <v>110435</v>
      </c>
    </row>
    <row r="126" spans="1:16">
      <c r="C126" s="61"/>
      <c r="I126" s="149"/>
      <c r="K126" s="149"/>
      <c r="L126" s="149"/>
      <c r="M126" s="149"/>
    </row>
    <row r="127" spans="1:16">
      <c r="C127" s="61"/>
      <c r="I127" s="149"/>
      <c r="K127" s="149"/>
      <c r="L127" s="149"/>
      <c r="M127" s="149"/>
    </row>
    <row r="128" spans="1:16">
      <c r="A128" s="146">
        <v>675</v>
      </c>
      <c r="B128" s="138" t="s">
        <v>543</v>
      </c>
      <c r="C128" s="65">
        <v>35946</v>
      </c>
      <c r="D128" s="138"/>
      <c r="E128" s="165"/>
      <c r="F128" s="138"/>
      <c r="G128" s="138" t="s">
        <v>544</v>
      </c>
      <c r="H128" s="138" t="s">
        <v>545</v>
      </c>
      <c r="I128" s="147">
        <v>22115.05</v>
      </c>
      <c r="J128" s="138"/>
      <c r="K128" s="160"/>
      <c r="L128" s="163"/>
      <c r="M128" s="163"/>
      <c r="O128" s="2" t="s">
        <v>546</v>
      </c>
      <c r="P128" s="55">
        <v>22115</v>
      </c>
    </row>
    <row r="129" spans="1:18">
      <c r="A129" s="150"/>
      <c r="B129" s="62"/>
      <c r="C129" s="137"/>
      <c r="D129" s="62"/>
      <c r="E129" s="166"/>
      <c r="F129" s="62"/>
      <c r="G129" s="62" t="s">
        <v>547</v>
      </c>
      <c r="H129" s="62" t="s">
        <v>548</v>
      </c>
      <c r="I129" s="151">
        <v>13832.07</v>
      </c>
      <c r="J129" s="62"/>
      <c r="K129" s="162">
        <f>SUM(I128:I129)-C128</f>
        <v>1.1199999999953434</v>
      </c>
      <c r="L129" s="163"/>
      <c r="M129" s="163"/>
      <c r="O129" s="2" t="s">
        <v>546</v>
      </c>
      <c r="P129" s="55">
        <v>24130</v>
      </c>
      <c r="R129" s="134">
        <f>SUM(P128:P129)-C128</f>
        <v>10299</v>
      </c>
    </row>
    <row r="130" spans="1:18">
      <c r="C130" s="61"/>
      <c r="I130" s="149"/>
      <c r="K130" s="149"/>
      <c r="L130" s="149"/>
      <c r="M130" s="149"/>
    </row>
    <row r="131" spans="1:18">
      <c r="C131" s="61"/>
      <c r="I131" s="149"/>
      <c r="K131" s="149"/>
      <c r="L131" s="149"/>
      <c r="M131" s="149"/>
    </row>
    <row r="132" spans="1:18">
      <c r="A132" s="146"/>
      <c r="B132" s="138" t="s">
        <v>549</v>
      </c>
      <c r="C132" s="65">
        <v>980552</v>
      </c>
      <c r="D132" s="138"/>
      <c r="E132" s="165"/>
      <c r="F132" s="138"/>
      <c r="G132" s="138" t="s">
        <v>550</v>
      </c>
      <c r="H132" s="138" t="s">
        <v>551</v>
      </c>
      <c r="I132" s="147">
        <v>980552.34999999974</v>
      </c>
      <c r="J132" s="138"/>
      <c r="K132" s="160"/>
      <c r="L132" s="163"/>
      <c r="M132" s="163"/>
      <c r="O132" s="2" t="s">
        <v>552</v>
      </c>
      <c r="P132" s="55">
        <v>980803</v>
      </c>
      <c r="R132" s="228">
        <f>P132-C132</f>
        <v>251</v>
      </c>
    </row>
    <row r="133" spans="1:18">
      <c r="A133" s="150"/>
      <c r="B133" s="62"/>
      <c r="C133" s="137"/>
      <c r="D133" s="62"/>
      <c r="E133" s="166"/>
      <c r="F133" s="62"/>
      <c r="G133" s="200" t="s">
        <v>553</v>
      </c>
      <c r="H133" s="200" t="s">
        <v>554</v>
      </c>
      <c r="I133" s="201">
        <v>251</v>
      </c>
      <c r="J133" s="62"/>
      <c r="K133" s="162">
        <f>SUM(I132:I133)-C132</f>
        <v>251.34999999974389</v>
      </c>
      <c r="L133" s="163"/>
      <c r="M133" s="163"/>
      <c r="R133" s="8"/>
    </row>
    <row r="134" spans="1:18">
      <c r="C134" s="61"/>
      <c r="I134" s="149"/>
      <c r="K134" s="149"/>
      <c r="L134" s="149"/>
      <c r="M134" s="149"/>
    </row>
    <row r="135" spans="1:18">
      <c r="A135" s="2"/>
      <c r="C135" s="46"/>
      <c r="I135" s="64"/>
    </row>
    <row r="136" spans="1:18">
      <c r="A136" s="153"/>
      <c r="B136" s="106" t="s">
        <v>555</v>
      </c>
      <c r="C136" s="65">
        <v>257265</v>
      </c>
      <c r="D136" s="138"/>
      <c r="E136" s="165"/>
      <c r="F136" s="138"/>
      <c r="G136" s="138" t="s">
        <v>556</v>
      </c>
      <c r="H136" s="138" t="s">
        <v>557</v>
      </c>
      <c r="I136" s="147">
        <v>3093.6700000000005</v>
      </c>
      <c r="J136" s="138"/>
      <c r="K136" s="160"/>
      <c r="L136" s="163"/>
      <c r="M136" s="163"/>
      <c r="O136" s="2" t="s">
        <v>558</v>
      </c>
      <c r="P136" s="55">
        <v>257265</v>
      </c>
    </row>
    <row r="137" spans="1:18">
      <c r="A137" s="154"/>
      <c r="C137" s="25"/>
      <c r="E137" s="164"/>
      <c r="G137" t="s">
        <v>556</v>
      </c>
      <c r="H137" t="s">
        <v>557</v>
      </c>
      <c r="I137" s="149">
        <v>2891.0099999999998</v>
      </c>
      <c r="K137" s="161"/>
      <c r="L137" s="163"/>
      <c r="M137" s="163"/>
    </row>
    <row r="138" spans="1:18">
      <c r="A138" s="154"/>
      <c r="B138" s="2"/>
      <c r="C138" s="61"/>
      <c r="E138" s="164"/>
      <c r="G138" t="s">
        <v>556</v>
      </c>
      <c r="H138" t="s">
        <v>557</v>
      </c>
      <c r="I138" s="149">
        <v>4260.37</v>
      </c>
      <c r="K138" s="161"/>
      <c r="L138" s="163"/>
      <c r="M138" s="163"/>
    </row>
    <row r="139" spans="1:18">
      <c r="A139" s="154"/>
      <c r="B139" s="2"/>
      <c r="C139" s="61"/>
      <c r="E139" s="164"/>
      <c r="G139" t="s">
        <v>556</v>
      </c>
      <c r="H139" t="s">
        <v>557</v>
      </c>
      <c r="I139" s="149">
        <v>5356.489999999998</v>
      </c>
      <c r="K139" s="161"/>
      <c r="L139" s="163"/>
      <c r="M139" s="163"/>
    </row>
    <row r="140" spans="1:18">
      <c r="A140" s="154"/>
      <c r="C140" s="25"/>
      <c r="E140" s="164"/>
      <c r="G140" t="s">
        <v>556</v>
      </c>
      <c r="H140" t="s">
        <v>557</v>
      </c>
      <c r="I140" s="149">
        <v>24911.090000000004</v>
      </c>
      <c r="K140" s="161"/>
      <c r="L140" s="163"/>
      <c r="M140" s="163"/>
    </row>
    <row r="141" spans="1:18">
      <c r="A141" s="154"/>
      <c r="B141" s="155"/>
      <c r="C141" s="25"/>
      <c r="E141" s="164"/>
      <c r="G141" t="s">
        <v>556</v>
      </c>
      <c r="H141" t="s">
        <v>557</v>
      </c>
      <c r="I141" s="149">
        <v>6730.6399999999994</v>
      </c>
      <c r="K141" s="161"/>
      <c r="L141" s="163"/>
      <c r="M141" s="163"/>
    </row>
    <row r="142" spans="1:18">
      <c r="A142" s="148"/>
      <c r="C142" s="25"/>
      <c r="E142" s="164"/>
      <c r="G142" t="s">
        <v>556</v>
      </c>
      <c r="H142" t="s">
        <v>557</v>
      </c>
      <c r="I142" s="149">
        <v>4274.4100000000008</v>
      </c>
      <c r="K142" s="161"/>
      <c r="L142" s="163"/>
      <c r="M142" s="163"/>
    </row>
    <row r="143" spans="1:18">
      <c r="A143" s="148"/>
      <c r="C143" s="25"/>
      <c r="E143" s="164"/>
      <c r="G143" t="s">
        <v>556</v>
      </c>
      <c r="H143" t="s">
        <v>557</v>
      </c>
      <c r="I143" s="149">
        <v>807.15</v>
      </c>
      <c r="K143" s="161"/>
      <c r="L143" s="163"/>
      <c r="M143" s="163"/>
    </row>
    <row r="144" spans="1:18">
      <c r="A144" s="154"/>
      <c r="C144" s="61"/>
      <c r="E144" s="164"/>
      <c r="G144" t="s">
        <v>556</v>
      </c>
      <c r="H144" t="s">
        <v>557</v>
      </c>
      <c r="I144" s="149">
        <v>2147.0099999999998</v>
      </c>
      <c r="K144" s="161"/>
      <c r="L144" s="163"/>
      <c r="M144" s="163"/>
    </row>
    <row r="145" spans="1:18">
      <c r="A145" s="154"/>
      <c r="C145" s="25"/>
      <c r="E145" s="164"/>
      <c r="G145" t="s">
        <v>556</v>
      </c>
      <c r="H145" t="s">
        <v>557</v>
      </c>
      <c r="I145" s="149">
        <v>2468.9300000000007</v>
      </c>
      <c r="K145" s="161"/>
      <c r="L145" s="163"/>
      <c r="M145" s="163"/>
    </row>
    <row r="146" spans="1:18">
      <c r="A146" s="152"/>
      <c r="B146" s="62"/>
      <c r="C146" s="156"/>
      <c r="D146" s="62"/>
      <c r="E146" s="166"/>
      <c r="F146" s="62"/>
      <c r="G146" s="62" t="s">
        <v>556</v>
      </c>
      <c r="H146" s="62" t="s">
        <v>557</v>
      </c>
      <c r="I146" s="151">
        <v>200324.11</v>
      </c>
      <c r="J146" s="62"/>
      <c r="K146" s="162">
        <f>I136+I137+I138+I139+I140+I141+I142+I143+I144+I145+I146-C136</f>
        <v>-0.11999999999534339</v>
      </c>
      <c r="L146" s="163"/>
      <c r="M146" s="163"/>
    </row>
    <row r="147" spans="1:18">
      <c r="A147" s="2"/>
      <c r="C147" s="172"/>
      <c r="I147" s="149"/>
      <c r="K147" s="149"/>
      <c r="L147" s="149"/>
      <c r="M147" s="149"/>
    </row>
    <row r="148" spans="1:18">
      <c r="A148" s="2"/>
      <c r="C148" s="42"/>
    </row>
    <row r="149" spans="1:18">
      <c r="A149" s="173"/>
      <c r="B149" s="174" t="s">
        <v>559</v>
      </c>
      <c r="C149" s="94">
        <v>187360</v>
      </c>
      <c r="D149" s="168"/>
      <c r="E149" s="169"/>
      <c r="F149" s="168"/>
      <c r="G149" s="168" t="s">
        <v>560</v>
      </c>
      <c r="H149" s="168" t="s">
        <v>561</v>
      </c>
      <c r="I149" s="170">
        <v>187360</v>
      </c>
      <c r="J149" s="168"/>
      <c r="K149" s="171">
        <f>I149-C149</f>
        <v>0</v>
      </c>
      <c r="L149" s="163"/>
      <c r="M149" s="163"/>
      <c r="O149" s="2" t="s">
        <v>134</v>
      </c>
      <c r="P149" s="55">
        <v>187360</v>
      </c>
    </row>
    <row r="150" spans="1:18">
      <c r="A150" s="2"/>
      <c r="B150" s="2"/>
      <c r="C150" s="61"/>
      <c r="I150" s="149"/>
      <c r="K150" s="149"/>
      <c r="L150" s="149"/>
      <c r="M150" s="149"/>
    </row>
    <row r="152" spans="1:18" ht="16.5" thickBot="1">
      <c r="A152" s="33" t="s">
        <v>465</v>
      </c>
      <c r="B152" s="33"/>
      <c r="C152" s="145">
        <f>SUM(C26:C151)</f>
        <v>10580105</v>
      </c>
      <c r="G152" s="33" t="s">
        <v>465</v>
      </c>
      <c r="H152" s="33"/>
      <c r="I152" s="157">
        <f>SUM(I26:I151)</f>
        <v>10580356.279999984</v>
      </c>
      <c r="K152" s="120">
        <f>I152-C152</f>
        <v>251.27999998442829</v>
      </c>
      <c r="O152" s="33" t="s">
        <v>465</v>
      </c>
      <c r="P152" s="145">
        <f>SUM(P27:P151)</f>
        <v>14029917</v>
      </c>
      <c r="Q152" s="212"/>
      <c r="R152" s="210">
        <f>P152-I152</f>
        <v>3449560.7200000156</v>
      </c>
    </row>
    <row r="153" spans="1:18" ht="16.5" thickTop="1"/>
    <row r="157" spans="1:18">
      <c r="B157" s="2" t="s">
        <v>47</v>
      </c>
      <c r="G157" t="s">
        <v>562</v>
      </c>
      <c r="H157" t="s">
        <v>563</v>
      </c>
      <c r="I157" s="64">
        <v>-52582.659999999996</v>
      </c>
    </row>
    <row r="158" spans="1:18">
      <c r="B158" s="2"/>
      <c r="G158" t="s">
        <v>562</v>
      </c>
      <c r="H158" t="s">
        <v>563</v>
      </c>
      <c r="I158" s="64">
        <v>-13.54</v>
      </c>
    </row>
    <row r="159" spans="1:18">
      <c r="G159" t="s">
        <v>562</v>
      </c>
      <c r="H159" t="s">
        <v>564</v>
      </c>
      <c r="I159" s="64">
        <v>-12523.039999999999</v>
      </c>
    </row>
    <row r="160" spans="1:18">
      <c r="I160" s="64"/>
    </row>
    <row r="161" spans="2:9">
      <c r="B161" s="2" t="s">
        <v>247</v>
      </c>
      <c r="G161" t="s">
        <v>565</v>
      </c>
      <c r="H161" t="s">
        <v>566</v>
      </c>
      <c r="I161" s="64">
        <v>-1408.7299999999998</v>
      </c>
    </row>
    <row r="162" spans="2:9">
      <c r="B162" s="2"/>
      <c r="I162" s="64"/>
    </row>
    <row r="163" spans="2:9">
      <c r="B163" s="2" t="s">
        <v>567</v>
      </c>
      <c r="G163" t="s">
        <v>568</v>
      </c>
      <c r="H163" t="s">
        <v>569</v>
      </c>
      <c r="I163" s="64">
        <v>-875.95</v>
      </c>
    </row>
    <row r="164" spans="2:9">
      <c r="B164" s="2"/>
    </row>
    <row r="166" spans="2:9">
      <c r="I166" s="64"/>
    </row>
    <row r="167" spans="2:9">
      <c r="B167" s="2" t="s">
        <v>251</v>
      </c>
      <c r="G167" t="s">
        <v>570</v>
      </c>
      <c r="H167" t="s">
        <v>571</v>
      </c>
      <c r="I167" s="64">
        <v>238922.62999999995</v>
      </c>
    </row>
    <row r="168" spans="2:9">
      <c r="G168" t="s">
        <v>570</v>
      </c>
      <c r="H168" t="s">
        <v>571</v>
      </c>
      <c r="I168" s="64">
        <v>18070.620000000003</v>
      </c>
    </row>
    <row r="169" spans="2:9">
      <c r="I169" s="64"/>
    </row>
    <row r="170" spans="2:9">
      <c r="I170" s="64"/>
    </row>
    <row r="171" spans="2:9">
      <c r="I171" s="64"/>
    </row>
    <row r="172" spans="2:9">
      <c r="G172" t="s">
        <v>572</v>
      </c>
      <c r="H172" t="s">
        <v>573</v>
      </c>
      <c r="I172" s="64">
        <v>-1305490</v>
      </c>
    </row>
    <row r="173" spans="2:9">
      <c r="G173" t="s">
        <v>572</v>
      </c>
      <c r="H173" t="s">
        <v>573</v>
      </c>
      <c r="I173" s="64">
        <v>-100000</v>
      </c>
    </row>
    <row r="174" spans="2:9">
      <c r="G174" t="s">
        <v>572</v>
      </c>
      <c r="H174" t="s">
        <v>573</v>
      </c>
      <c r="I174" s="64">
        <v>-258480</v>
      </c>
    </row>
    <row r="175" spans="2:9">
      <c r="G175" t="s">
        <v>572</v>
      </c>
      <c r="H175" t="s">
        <v>573</v>
      </c>
      <c r="I175" s="64">
        <v>-385200</v>
      </c>
    </row>
    <row r="176" spans="2:9">
      <c r="G176" t="s">
        <v>572</v>
      </c>
      <c r="H176" t="s">
        <v>573</v>
      </c>
      <c r="I176" s="64">
        <v>-443670.89999999997</v>
      </c>
    </row>
    <row r="177" spans="7:9">
      <c r="G177" t="s">
        <v>574</v>
      </c>
      <c r="H177" t="s">
        <v>575</v>
      </c>
      <c r="I177" s="64">
        <v>2492840.9</v>
      </c>
    </row>
  </sheetData>
  <sortState xmlns:xlrd2="http://schemas.microsoft.com/office/spreadsheetml/2017/richdata2" ref="G66:I93">
    <sortCondition ref="G66:G93"/>
  </sortState>
  <mergeCells count="6">
    <mergeCell ref="A10:C10"/>
    <mergeCell ref="G10:I10"/>
    <mergeCell ref="O10:R10"/>
    <mergeCell ref="A4:R4"/>
    <mergeCell ref="A5:R5"/>
    <mergeCell ref="A7:R7"/>
  </mergeCells>
  <pageMargins left="0.5" right="0.5" top="0.5" bottom="0.75" header="0.5" footer="0.5"/>
  <pageSetup scale="6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FD9B-39D3-4445-8F75-0B49EA4EAFFD}">
  <sheetPr>
    <tabColor rgb="FFFFFF00"/>
  </sheetPr>
  <dimension ref="A1:CG1121"/>
  <sheetViews>
    <sheetView view="pageBreakPreview" topLeftCell="A1082" zoomScale="115" zoomScaleNormal="145" zoomScaleSheetLayoutView="115" workbookViewId="0">
      <selection activeCell="V1090" sqref="V1090"/>
    </sheetView>
  </sheetViews>
  <sheetFormatPr defaultColWidth="9" defaultRowHeight="12.75"/>
  <cols>
    <col min="1" max="1" width="2.75" style="286" customWidth="1"/>
    <col min="2" max="2" width="6.25" style="286" hidden="1" customWidth="1"/>
    <col min="3" max="6" width="5.875" style="290" customWidth="1"/>
    <col min="7" max="8" width="5.875" style="286" customWidth="1"/>
    <col min="9" max="9" width="1.625" style="286" customWidth="1"/>
    <col min="10" max="12" width="9.875" style="286" customWidth="1"/>
    <col min="13" max="13" width="1.625" style="286" customWidth="1"/>
    <col min="14" max="15" width="9.875" style="286" customWidth="1"/>
    <col min="16" max="16" width="1.5" style="286" customWidth="1"/>
    <col min="17" max="17" width="10.5" style="286" customWidth="1"/>
    <col min="18" max="18" width="1.5" style="286" customWidth="1"/>
    <col min="19" max="20" width="8.875" style="286" customWidth="1"/>
    <col min="21" max="21" width="1.5" style="286" customWidth="1"/>
    <col min="22" max="22" width="9.75" style="286" customWidth="1"/>
    <col min="23" max="23" width="9.875" style="286" customWidth="1"/>
    <col min="24" max="24" width="9" style="286"/>
    <col min="25" max="25" width="23.625" style="286" bestFit="1" customWidth="1"/>
    <col min="26" max="26" width="1.625" style="286" customWidth="1"/>
    <col min="27" max="27" width="28.75" style="286" bestFit="1" customWidth="1"/>
    <col min="28" max="16384" width="9" style="286"/>
  </cols>
  <sheetData>
    <row r="1" spans="1:85" s="2" customFormat="1" ht="15.75">
      <c r="W1" s="26" t="str">
        <f>'Cover Page'!A3</f>
        <v>OUCC Attachment CFS-1</v>
      </c>
    </row>
    <row r="2" spans="1:85" s="2" customFormat="1" ht="15.75">
      <c r="W2" s="26" t="str">
        <f>"Workpaper "&amp;+Inputs!C11&amp;"-4"</f>
        <v>Workpaper CFS-4</v>
      </c>
    </row>
    <row r="3" spans="1:85" s="2" customFormat="1" ht="15.75">
      <c r="W3" s="443" t="s">
        <v>576</v>
      </c>
    </row>
    <row r="4" spans="1:85" s="3" customFormat="1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</row>
    <row r="5" spans="1:85" s="4" customFormat="1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</row>
    <row r="6" spans="1:85" s="2" customFormat="1" ht="15.75"/>
    <row r="7" spans="1:85" s="2" customFormat="1" ht="15.75">
      <c r="A7" s="452" t="s">
        <v>577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</row>
    <row r="8" spans="1:85" s="2" customFormat="1" ht="16.5" thickBot="1">
      <c r="A8" s="452"/>
      <c r="B8" s="452"/>
      <c r="C8" s="452"/>
      <c r="D8" s="452"/>
      <c r="E8" s="452"/>
      <c r="F8" s="452"/>
      <c r="G8" s="452"/>
    </row>
    <row r="9" spans="1:85" s="284" customFormat="1" ht="51">
      <c r="A9" s="284" t="s">
        <v>578</v>
      </c>
      <c r="B9" s="284" t="s">
        <v>579</v>
      </c>
      <c r="C9" s="284" t="s">
        <v>580</v>
      </c>
      <c r="D9" s="284" t="s">
        <v>581</v>
      </c>
      <c r="E9" s="284" t="s">
        <v>582</v>
      </c>
      <c r="F9" s="284" t="s">
        <v>583</v>
      </c>
      <c r="G9" s="285" t="s">
        <v>584</v>
      </c>
      <c r="H9" s="339" t="s">
        <v>585</v>
      </c>
      <c r="J9" s="297" t="s">
        <v>586</v>
      </c>
      <c r="K9" s="297" t="s">
        <v>587</v>
      </c>
      <c r="L9" s="297" t="s">
        <v>588</v>
      </c>
      <c r="M9" s="297"/>
      <c r="N9" s="299" t="s">
        <v>589</v>
      </c>
      <c r="O9" s="299" t="s">
        <v>590</v>
      </c>
      <c r="P9" s="293"/>
      <c r="Q9" s="298" t="s">
        <v>591</v>
      </c>
      <c r="R9" s="306"/>
      <c r="S9" s="301" t="s">
        <v>592</v>
      </c>
      <c r="T9" s="301" t="s">
        <v>591</v>
      </c>
      <c r="U9" s="307"/>
      <c r="V9" s="304" t="s">
        <v>593</v>
      </c>
      <c r="W9" s="304" t="s">
        <v>594</v>
      </c>
      <c r="X9" s="308"/>
      <c r="Y9" s="366" t="s">
        <v>595</v>
      </c>
      <c r="Z9" s="308"/>
      <c r="AA9" s="366" t="s">
        <v>596</v>
      </c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</row>
    <row r="10" spans="1:85">
      <c r="A10" s="286">
        <v>1.1000000000000001</v>
      </c>
      <c r="C10" s="286" t="s">
        <v>597</v>
      </c>
      <c r="D10" s="286"/>
      <c r="E10" s="286" t="s">
        <v>598</v>
      </c>
      <c r="F10" s="286">
        <v>26</v>
      </c>
      <c r="G10" s="424">
        <v>5489.8899999999994</v>
      </c>
      <c r="H10" s="425">
        <v>238.24</v>
      </c>
      <c r="J10" s="289">
        <f>VLOOKUP(A10,'WP-5 Payroll Data'!$K$11:$O$151,4,FALSE)</f>
        <v>5991.9699999999993</v>
      </c>
      <c r="K10" s="289">
        <f>VLOOKUP(A10,'WP-5 Payroll Data'!$K$11:$O$151,5,FALSE)</f>
        <v>260</v>
      </c>
      <c r="L10" s="289">
        <f>J10/K10</f>
        <v>23.046038461538458</v>
      </c>
      <c r="M10" s="289"/>
      <c r="N10" s="300">
        <f>IF((K10/F10)*26&gt;1500,2080,IF((K10/F10)*26&gt;300,520,IF((K10/F10)*26&gt;100,260,K10)))</f>
        <v>260</v>
      </c>
      <c r="O10" s="296">
        <f>N10*L10</f>
        <v>5991.9699999999993</v>
      </c>
      <c r="P10" s="294"/>
      <c r="Q10" s="294">
        <f>O10*0.03</f>
        <v>179.75909999999996</v>
      </c>
      <c r="R10" s="295"/>
      <c r="S10" s="302">
        <f>IF(OR($E10=$Y$10,$E10=$Y$11,$E10=$Y$12,$E10=$Y$13),$G10,0)</f>
        <v>0</v>
      </c>
      <c r="T10" s="302"/>
      <c r="U10" s="303"/>
      <c r="V10" s="305">
        <f>IF(OR($E10=$AA$10,$E10=$AA$11,$E10=$AA$12,$E10=$AA$13,$E10=$AA$14,$E10=$AA$15,$E10=$AA$16,$E10=$AA$17,$E10=$AA$18,$E10=$AA$19,$E10=$AA$20,$E10=$AA$21,$E10=$AA$22,$E10=$AA$23,$E10=$AA$24,$E10=$AA$25,$E10=$AA$26,$E10=$AA$27,$E10=$AA$28,$E10=$AA$29),G10,0)</f>
        <v>0</v>
      </c>
      <c r="W10" s="305" t="str">
        <f t="shared" ref="W10:W73" si="0">IF($E10=$AA$29,-$V10,IF(OR($E10=$AA$18,$E10=$AA$23,$E10=$AA$24,$E10=$AA$26),(($V10/200)*50)," "))</f>
        <v xml:space="preserve"> </v>
      </c>
      <c r="X10" s="288"/>
      <c r="Y10" s="367" t="s">
        <v>599</v>
      </c>
      <c r="AA10" s="367" t="s">
        <v>600</v>
      </c>
    </row>
    <row r="11" spans="1:85">
      <c r="A11" s="286">
        <v>1.1000000000000001</v>
      </c>
      <c r="C11" s="286" t="s">
        <v>597</v>
      </c>
      <c r="D11" s="286"/>
      <c r="E11" s="286" t="s">
        <v>599</v>
      </c>
      <c r="F11" s="286">
        <v>26</v>
      </c>
      <c r="G11" s="424">
        <v>561.65</v>
      </c>
      <c r="H11" s="425">
        <v>16.3</v>
      </c>
      <c r="J11" s="289"/>
      <c r="K11" s="289"/>
      <c r="L11" s="291"/>
      <c r="M11" s="291"/>
      <c r="N11" s="300"/>
      <c r="O11" s="296"/>
      <c r="P11" s="294"/>
      <c r="Q11" s="294"/>
      <c r="R11" s="295"/>
      <c r="S11" s="302">
        <f t="shared" ref="S11:S74" si="1">IF(OR($E11=$Y$10,$E11=$Y$11,$E11=$Y$12,$E11=$Y$13),$G11,0)</f>
        <v>561.65</v>
      </c>
      <c r="T11" s="302">
        <f t="shared" ref="T11:T68" si="2">S11*0.03</f>
        <v>16.849499999999999</v>
      </c>
      <c r="U11" s="303"/>
      <c r="V11" s="305">
        <f t="shared" ref="V11:V74" si="3">IF(OR($E11=$AA$10,$E11=$AA$11,$E11=$AA$12,$E11=$AA$13,$E11=$AA$14,$E11=$AA$15,$E11=$AA$16,$E11=$AA$17,$E11=$AA$18,$E11=$AA$19,$E11=$AA$20,$E11=$AA$21,$E11=$AA$22,$E11=$AA$23,$E11=$AA$24,$E11=$AA$25,$E11=$AA$26,$E11=$AA$27,$E11=$AA$28,$E11=$AA$29),G11,0)</f>
        <v>0</v>
      </c>
      <c r="W11" s="305" t="str">
        <f t="shared" si="0"/>
        <v xml:space="preserve"> </v>
      </c>
      <c r="X11" s="288"/>
      <c r="Y11" s="367" t="s">
        <v>601</v>
      </c>
      <c r="AA11" s="367" t="s">
        <v>602</v>
      </c>
    </row>
    <row r="12" spans="1:85">
      <c r="A12" s="286">
        <v>1.1000000000000001</v>
      </c>
      <c r="C12" s="286" t="s">
        <v>597</v>
      </c>
      <c r="D12" s="286"/>
      <c r="E12" s="286" t="s">
        <v>601</v>
      </c>
      <c r="F12" s="286">
        <v>26</v>
      </c>
      <c r="G12" s="424">
        <v>449.36000000000007</v>
      </c>
      <c r="H12" s="425">
        <v>9.8100000000000023</v>
      </c>
      <c r="J12" s="289"/>
      <c r="K12" s="289"/>
      <c r="L12" s="291"/>
      <c r="M12" s="291"/>
      <c r="N12" s="300"/>
      <c r="O12" s="296"/>
      <c r="P12" s="294"/>
      <c r="Q12" s="294"/>
      <c r="R12" s="295"/>
      <c r="S12" s="302">
        <f t="shared" si="1"/>
        <v>449.36000000000007</v>
      </c>
      <c r="T12" s="302">
        <f t="shared" si="2"/>
        <v>13.480800000000002</v>
      </c>
      <c r="U12" s="303"/>
      <c r="V12" s="305">
        <f t="shared" si="3"/>
        <v>0</v>
      </c>
      <c r="W12" s="305" t="str">
        <f t="shared" si="0"/>
        <v xml:space="preserve"> </v>
      </c>
      <c r="X12" s="288"/>
      <c r="Y12" s="367" t="s">
        <v>603</v>
      </c>
      <c r="AA12" s="367" t="s">
        <v>604</v>
      </c>
    </row>
    <row r="13" spans="1:85">
      <c r="A13" s="286">
        <v>1.1000000000000001</v>
      </c>
      <c r="C13" s="286" t="s">
        <v>597</v>
      </c>
      <c r="D13" s="286"/>
      <c r="E13" s="286" t="s">
        <v>605</v>
      </c>
      <c r="F13" s="286">
        <v>26</v>
      </c>
      <c r="G13" s="424">
        <v>202.17</v>
      </c>
      <c r="H13" s="425">
        <v>8.76</v>
      </c>
      <c r="J13" s="289"/>
      <c r="K13" s="289"/>
      <c r="L13" s="291"/>
      <c r="M13" s="291"/>
      <c r="N13" s="300"/>
      <c r="O13" s="296"/>
      <c r="P13" s="294"/>
      <c r="Q13" s="294"/>
      <c r="R13" s="295"/>
      <c r="S13" s="302">
        <f t="shared" si="1"/>
        <v>0</v>
      </c>
      <c r="T13" s="302"/>
      <c r="U13" s="303"/>
      <c r="V13" s="305">
        <f t="shared" si="3"/>
        <v>0</v>
      </c>
      <c r="W13" s="305" t="str">
        <f t="shared" si="0"/>
        <v xml:space="preserve"> </v>
      </c>
      <c r="X13" s="288"/>
      <c r="Y13" s="367" t="s">
        <v>606</v>
      </c>
      <c r="AA13" s="367" t="s">
        <v>607</v>
      </c>
    </row>
    <row r="14" spans="1:85" ht="13.5" thickBot="1">
      <c r="A14" s="286">
        <v>1.1000000000000001</v>
      </c>
      <c r="C14" s="286" t="s">
        <v>597</v>
      </c>
      <c r="D14" s="286"/>
      <c r="E14" s="286" t="s">
        <v>608</v>
      </c>
      <c r="F14" s="286">
        <v>26</v>
      </c>
      <c r="G14" s="424">
        <v>230.7</v>
      </c>
      <c r="H14" s="425">
        <v>10</v>
      </c>
      <c r="J14" s="289"/>
      <c r="K14" s="289"/>
      <c r="L14" s="291"/>
      <c r="M14" s="291"/>
      <c r="N14" s="300"/>
      <c r="O14" s="296"/>
      <c r="P14" s="294"/>
      <c r="Q14" s="294"/>
      <c r="R14" s="295"/>
      <c r="S14" s="302">
        <f t="shared" si="1"/>
        <v>0</v>
      </c>
      <c r="T14" s="302"/>
      <c r="U14" s="303"/>
      <c r="V14" s="305">
        <f t="shared" si="3"/>
        <v>0</v>
      </c>
      <c r="W14" s="305" t="str">
        <f t="shared" si="0"/>
        <v xml:space="preserve"> </v>
      </c>
      <c r="X14" s="288"/>
      <c r="Y14" s="368"/>
      <c r="AA14" s="367" t="s">
        <v>609</v>
      </c>
    </row>
    <row r="15" spans="1:85">
      <c r="A15" s="286">
        <v>1.1000000000000001</v>
      </c>
      <c r="C15" s="286" t="s">
        <v>597</v>
      </c>
      <c r="D15" s="286"/>
      <c r="E15" s="286" t="s">
        <v>610</v>
      </c>
      <c r="F15" s="286">
        <v>26</v>
      </c>
      <c r="G15" s="424">
        <v>69.210000000000008</v>
      </c>
      <c r="H15" s="425">
        <v>3</v>
      </c>
      <c r="J15" s="289"/>
      <c r="K15" s="289"/>
      <c r="L15" s="291"/>
      <c r="M15" s="291"/>
      <c r="N15" s="300"/>
      <c r="O15" s="296"/>
      <c r="P15" s="294"/>
      <c r="Q15" s="294"/>
      <c r="R15" s="295"/>
      <c r="S15" s="302">
        <f t="shared" si="1"/>
        <v>0</v>
      </c>
      <c r="T15" s="302"/>
      <c r="U15" s="303"/>
      <c r="V15" s="305">
        <f t="shared" si="3"/>
        <v>0</v>
      </c>
      <c r="W15" s="305" t="str">
        <f t="shared" si="0"/>
        <v xml:space="preserve"> </v>
      </c>
      <c r="X15" s="288"/>
      <c r="AA15" s="367" t="s">
        <v>611</v>
      </c>
    </row>
    <row r="16" spans="1:85">
      <c r="A16" s="286">
        <v>1.1000000000000001</v>
      </c>
      <c r="C16" s="286" t="s">
        <v>597</v>
      </c>
      <c r="D16" s="286"/>
      <c r="E16" s="286" t="s">
        <v>612</v>
      </c>
      <c r="F16" s="286">
        <v>26</v>
      </c>
      <c r="G16" s="424">
        <v>12.5</v>
      </c>
      <c r="H16" s="425">
        <v>0</v>
      </c>
      <c r="J16" s="289"/>
      <c r="K16" s="289"/>
      <c r="L16" s="291"/>
      <c r="M16" s="291"/>
      <c r="N16" s="300"/>
      <c r="O16" s="296"/>
      <c r="P16" s="294"/>
      <c r="Q16" s="294"/>
      <c r="R16" s="295"/>
      <c r="S16" s="302">
        <f t="shared" si="1"/>
        <v>0</v>
      </c>
      <c r="T16" s="302"/>
      <c r="U16" s="303"/>
      <c r="V16" s="305">
        <f t="shared" si="3"/>
        <v>12.5</v>
      </c>
      <c r="W16" s="305" t="str">
        <f t="shared" si="0"/>
        <v xml:space="preserve"> </v>
      </c>
      <c r="X16" s="288"/>
      <c r="AA16" s="367" t="s">
        <v>611</v>
      </c>
    </row>
    <row r="17" spans="1:27">
      <c r="A17" s="286">
        <v>1.1000000000000001</v>
      </c>
      <c r="C17" s="286" t="s">
        <v>597</v>
      </c>
      <c r="D17" s="286"/>
      <c r="E17" s="286" t="s">
        <v>613</v>
      </c>
      <c r="F17" s="286">
        <v>26</v>
      </c>
      <c r="G17" s="424">
        <v>93.76</v>
      </c>
      <c r="H17" s="425">
        <v>0</v>
      </c>
      <c r="J17" s="289"/>
      <c r="K17" s="289"/>
      <c r="L17" s="291"/>
      <c r="M17" s="291"/>
      <c r="N17" s="300"/>
      <c r="O17" s="296"/>
      <c r="P17" s="294"/>
      <c r="Q17" s="294"/>
      <c r="R17" s="295"/>
      <c r="S17" s="302">
        <f t="shared" si="1"/>
        <v>0</v>
      </c>
      <c r="T17" s="302"/>
      <c r="U17" s="303"/>
      <c r="V17" s="305">
        <f t="shared" si="3"/>
        <v>93.76</v>
      </c>
      <c r="W17" s="305" t="str">
        <f t="shared" si="0"/>
        <v xml:space="preserve"> </v>
      </c>
      <c r="X17" s="288"/>
      <c r="AA17" s="367" t="s">
        <v>612</v>
      </c>
    </row>
    <row r="18" spans="1:27">
      <c r="A18" s="286">
        <v>1.1000000000000001</v>
      </c>
      <c r="C18" s="286" t="s">
        <v>597</v>
      </c>
      <c r="D18" s="286"/>
      <c r="E18" s="286" t="s">
        <v>614</v>
      </c>
      <c r="F18" s="286">
        <v>26</v>
      </c>
      <c r="G18" s="424">
        <v>31.25</v>
      </c>
      <c r="H18" s="425">
        <v>0</v>
      </c>
      <c r="J18" s="289"/>
      <c r="K18" s="289"/>
      <c r="L18" s="291"/>
      <c r="M18" s="291"/>
      <c r="N18" s="300"/>
      <c r="O18" s="296"/>
      <c r="P18" s="294"/>
      <c r="Q18" s="294"/>
      <c r="R18" s="295"/>
      <c r="S18" s="302">
        <f t="shared" si="1"/>
        <v>0</v>
      </c>
      <c r="T18" s="302"/>
      <c r="U18" s="303"/>
      <c r="V18" s="305">
        <f t="shared" si="3"/>
        <v>31.25</v>
      </c>
      <c r="W18" s="305" t="str">
        <f t="shared" si="0"/>
        <v xml:space="preserve"> </v>
      </c>
      <c r="X18" s="288"/>
      <c r="AA18" s="367" t="s">
        <v>615</v>
      </c>
    </row>
    <row r="19" spans="1:27">
      <c r="A19" s="286">
        <v>1.1000000000000001</v>
      </c>
      <c r="C19" s="286" t="s">
        <v>597</v>
      </c>
      <c r="D19" s="286"/>
      <c r="E19" s="286" t="s">
        <v>616</v>
      </c>
      <c r="F19" s="286">
        <v>26</v>
      </c>
      <c r="G19" s="424">
        <v>175</v>
      </c>
      <c r="H19" s="425">
        <v>0</v>
      </c>
      <c r="J19" s="289"/>
      <c r="K19" s="289"/>
      <c r="L19" s="291"/>
      <c r="M19" s="291"/>
      <c r="N19" s="300"/>
      <c r="O19" s="296"/>
      <c r="P19" s="294"/>
      <c r="Q19" s="294"/>
      <c r="R19" s="295"/>
      <c r="S19" s="302">
        <f t="shared" si="1"/>
        <v>0</v>
      </c>
      <c r="T19" s="302"/>
      <c r="U19" s="303"/>
      <c r="V19" s="305">
        <f t="shared" si="3"/>
        <v>175</v>
      </c>
      <c r="W19" s="305">
        <f t="shared" si="0"/>
        <v>43.75</v>
      </c>
      <c r="X19" s="288"/>
      <c r="AA19" s="367" t="s">
        <v>617</v>
      </c>
    </row>
    <row r="20" spans="1:27">
      <c r="A20" s="286">
        <v>1.1000000000000001</v>
      </c>
      <c r="C20" s="286" t="s">
        <v>597</v>
      </c>
      <c r="D20" s="286"/>
      <c r="E20" s="286" t="s">
        <v>618</v>
      </c>
      <c r="F20" s="286">
        <v>26</v>
      </c>
      <c r="G20" s="424">
        <v>225</v>
      </c>
      <c r="H20" s="425">
        <v>0</v>
      </c>
      <c r="J20" s="289"/>
      <c r="K20" s="289"/>
      <c r="L20" s="291"/>
      <c r="M20" s="291"/>
      <c r="N20" s="300"/>
      <c r="O20" s="296"/>
      <c r="P20" s="294"/>
      <c r="Q20" s="294"/>
      <c r="R20" s="295"/>
      <c r="S20" s="302">
        <f t="shared" si="1"/>
        <v>0</v>
      </c>
      <c r="T20" s="302"/>
      <c r="U20" s="303"/>
      <c r="V20" s="305">
        <f t="shared" si="3"/>
        <v>225</v>
      </c>
      <c r="W20" s="305" t="str">
        <f t="shared" si="0"/>
        <v xml:space="preserve"> </v>
      </c>
      <c r="X20" s="288"/>
      <c r="AA20" s="367" t="s">
        <v>613</v>
      </c>
    </row>
    <row r="21" spans="1:27">
      <c r="A21" s="286">
        <v>1.2</v>
      </c>
      <c r="C21" s="286" t="s">
        <v>619</v>
      </c>
      <c r="D21" s="286" t="s">
        <v>620</v>
      </c>
      <c r="E21" s="286" t="s">
        <v>621</v>
      </c>
      <c r="F21" s="286">
        <v>26</v>
      </c>
      <c r="G21" s="425">
        <v>37033.33</v>
      </c>
      <c r="H21" s="424">
        <v>1626.8999999999999</v>
      </c>
      <c r="J21" s="289">
        <f>VLOOKUP(A21,'WP-5 Payroll Data'!$K$11:$O$151,4,FALSE)</f>
        <v>47806.559999999998</v>
      </c>
      <c r="K21" s="289">
        <f>VLOOKUP(A21,'WP-5 Payroll Data'!$K$11:$O$151,5,FALSE)</f>
        <v>2078.7999999999997</v>
      </c>
      <c r="L21" s="289">
        <f>J21/K21</f>
        <v>22.997190686934772</v>
      </c>
      <c r="M21" s="289"/>
      <c r="N21" s="300">
        <f>IF((K21/F21)*26&gt;1500,2080,IF((K21/F21)*26&gt;300,520,IF((K21/F21)*26&gt;100,260,K21)))</f>
        <v>2080</v>
      </c>
      <c r="O21" s="296">
        <f>N21*L21</f>
        <v>47834.156628824327</v>
      </c>
      <c r="P21" s="294"/>
      <c r="Q21" s="294">
        <f>O21*0.03</f>
        <v>1435.0246988647298</v>
      </c>
      <c r="R21" s="295"/>
      <c r="S21" s="302">
        <f t="shared" si="1"/>
        <v>0</v>
      </c>
      <c r="T21" s="302"/>
      <c r="U21" s="303"/>
      <c r="V21" s="305">
        <f t="shared" si="3"/>
        <v>0</v>
      </c>
      <c r="W21" s="305" t="str">
        <f t="shared" si="0"/>
        <v xml:space="preserve"> </v>
      </c>
      <c r="X21" s="288"/>
      <c r="AA21" s="367" t="s">
        <v>614</v>
      </c>
    </row>
    <row r="22" spans="1:27">
      <c r="A22" s="286">
        <v>1.2</v>
      </c>
      <c r="C22" s="286" t="s">
        <v>619</v>
      </c>
      <c r="D22" s="286" t="s">
        <v>620</v>
      </c>
      <c r="E22" s="286" t="s">
        <v>622</v>
      </c>
      <c r="F22" s="286">
        <v>26</v>
      </c>
      <c r="G22" s="425">
        <v>993.6</v>
      </c>
      <c r="H22" s="425">
        <v>40</v>
      </c>
      <c r="J22" s="289"/>
      <c r="K22" s="289"/>
      <c r="L22" s="291"/>
      <c r="M22" s="291"/>
      <c r="N22" s="300"/>
      <c r="O22" s="296"/>
      <c r="P22" s="294"/>
      <c r="Q22" s="294"/>
      <c r="R22" s="295"/>
      <c r="S22" s="302">
        <f t="shared" si="1"/>
        <v>0</v>
      </c>
      <c r="T22" s="302"/>
      <c r="U22" s="303"/>
      <c r="V22" s="305">
        <f t="shared" si="3"/>
        <v>0</v>
      </c>
      <c r="W22" s="305" t="str">
        <f t="shared" si="0"/>
        <v xml:space="preserve"> </v>
      </c>
      <c r="X22" s="288"/>
      <c r="AA22" s="367" t="s">
        <v>623</v>
      </c>
    </row>
    <row r="23" spans="1:27">
      <c r="A23" s="286">
        <v>1.2</v>
      </c>
      <c r="C23" s="286" t="s">
        <v>619</v>
      </c>
      <c r="D23" s="286" t="s">
        <v>620</v>
      </c>
      <c r="E23" s="286" t="s">
        <v>599</v>
      </c>
      <c r="F23" s="286">
        <v>26</v>
      </c>
      <c r="G23" s="425">
        <v>2388.15</v>
      </c>
      <c r="H23" s="425">
        <v>70.899999999999991</v>
      </c>
      <c r="J23" s="289"/>
      <c r="K23" s="289"/>
      <c r="L23" s="291"/>
      <c r="M23" s="291"/>
      <c r="N23" s="300"/>
      <c r="O23" s="296"/>
      <c r="P23" s="294"/>
      <c r="Q23" s="294"/>
      <c r="R23" s="295"/>
      <c r="S23" s="302">
        <f t="shared" si="1"/>
        <v>2388.15</v>
      </c>
      <c r="T23" s="302">
        <f t="shared" si="2"/>
        <v>71.644499999999994</v>
      </c>
      <c r="U23" s="303"/>
      <c r="V23" s="305">
        <f t="shared" si="3"/>
        <v>0</v>
      </c>
      <c r="W23" s="305" t="str">
        <f t="shared" si="0"/>
        <v xml:space="preserve"> </v>
      </c>
      <c r="X23" s="288"/>
      <c r="AA23" s="367" t="s">
        <v>624</v>
      </c>
    </row>
    <row r="24" spans="1:27">
      <c r="A24" s="286">
        <v>1.2</v>
      </c>
      <c r="C24" s="286" t="s">
        <v>619</v>
      </c>
      <c r="D24" s="286" t="s">
        <v>620</v>
      </c>
      <c r="E24" s="286" t="s">
        <v>601</v>
      </c>
      <c r="F24" s="286">
        <v>26</v>
      </c>
      <c r="G24" s="425">
        <v>2893.42</v>
      </c>
      <c r="H24" s="425">
        <v>63.099999999999994</v>
      </c>
      <c r="J24" s="289"/>
      <c r="K24" s="289"/>
      <c r="L24" s="291"/>
      <c r="M24" s="291"/>
      <c r="N24" s="300"/>
      <c r="O24" s="296"/>
      <c r="P24" s="294"/>
      <c r="Q24" s="294"/>
      <c r="R24" s="295"/>
      <c r="S24" s="302">
        <f t="shared" si="1"/>
        <v>2893.42</v>
      </c>
      <c r="T24" s="302">
        <f t="shared" si="2"/>
        <v>86.802599999999998</v>
      </c>
      <c r="U24" s="303"/>
      <c r="V24" s="305">
        <f t="shared" si="3"/>
        <v>0</v>
      </c>
      <c r="W24" s="305" t="str">
        <f t="shared" si="0"/>
        <v xml:space="preserve"> </v>
      </c>
      <c r="X24" s="288"/>
      <c r="AA24" s="367" t="s">
        <v>625</v>
      </c>
    </row>
    <row r="25" spans="1:27">
      <c r="A25" s="286">
        <v>1.2</v>
      </c>
      <c r="C25" s="286" t="s">
        <v>619</v>
      </c>
      <c r="D25" s="286" t="s">
        <v>620</v>
      </c>
      <c r="E25" s="286" t="s">
        <v>603</v>
      </c>
      <c r="F25" s="286">
        <v>26</v>
      </c>
      <c r="G25" s="425">
        <v>48.44</v>
      </c>
      <c r="H25" s="425">
        <v>1.3</v>
      </c>
      <c r="J25" s="289"/>
      <c r="K25" s="289"/>
      <c r="L25" s="291"/>
      <c r="M25" s="291"/>
      <c r="N25" s="300"/>
      <c r="O25" s="296"/>
      <c r="P25" s="294"/>
      <c r="Q25" s="294"/>
      <c r="R25" s="295"/>
      <c r="S25" s="302">
        <f t="shared" si="1"/>
        <v>48.44</v>
      </c>
      <c r="T25" s="302">
        <f t="shared" si="2"/>
        <v>1.4531999999999998</v>
      </c>
      <c r="U25" s="303"/>
      <c r="V25" s="305">
        <f t="shared" si="3"/>
        <v>0</v>
      </c>
      <c r="W25" s="305" t="str">
        <f t="shared" si="0"/>
        <v xml:space="preserve"> </v>
      </c>
      <c r="X25" s="288"/>
      <c r="AA25" s="367" t="s">
        <v>626</v>
      </c>
    </row>
    <row r="26" spans="1:27">
      <c r="A26" s="286">
        <v>1.2</v>
      </c>
      <c r="C26" s="286" t="s">
        <v>619</v>
      </c>
      <c r="D26" s="286" t="s">
        <v>620</v>
      </c>
      <c r="E26" s="286" t="s">
        <v>627</v>
      </c>
      <c r="F26" s="286">
        <v>26</v>
      </c>
      <c r="G26" s="425">
        <v>1582.6699999999998</v>
      </c>
      <c r="H26" s="425">
        <v>70.8</v>
      </c>
      <c r="J26" s="289"/>
      <c r="K26" s="289"/>
      <c r="L26" s="291"/>
      <c r="M26" s="291"/>
      <c r="N26" s="300"/>
      <c r="O26" s="296"/>
      <c r="P26" s="294"/>
      <c r="Q26" s="294"/>
      <c r="R26" s="295"/>
      <c r="S26" s="302">
        <f t="shared" si="1"/>
        <v>0</v>
      </c>
      <c r="T26" s="302"/>
      <c r="U26" s="303"/>
      <c r="V26" s="305">
        <f t="shared" si="3"/>
        <v>0</v>
      </c>
      <c r="W26" s="305" t="str">
        <f t="shared" si="0"/>
        <v xml:space="preserve"> </v>
      </c>
      <c r="X26" s="288"/>
      <c r="AA26" s="367" t="s">
        <v>616</v>
      </c>
    </row>
    <row r="27" spans="1:27">
      <c r="A27" s="286">
        <v>1.2</v>
      </c>
      <c r="C27" s="286" t="s">
        <v>619</v>
      </c>
      <c r="D27" s="286" t="s">
        <v>620</v>
      </c>
      <c r="E27" s="286" t="s">
        <v>628</v>
      </c>
      <c r="F27" s="286">
        <v>26</v>
      </c>
      <c r="G27" s="425">
        <v>198.72</v>
      </c>
      <c r="H27" s="425">
        <v>8</v>
      </c>
      <c r="J27" s="289"/>
      <c r="K27" s="289"/>
      <c r="L27" s="291"/>
      <c r="M27" s="291"/>
      <c r="N27" s="300"/>
      <c r="O27" s="296"/>
      <c r="P27" s="294"/>
      <c r="Q27" s="294"/>
      <c r="R27" s="295"/>
      <c r="S27" s="302">
        <f t="shared" si="1"/>
        <v>0</v>
      </c>
      <c r="T27" s="302"/>
      <c r="U27" s="303"/>
      <c r="V27" s="305">
        <f t="shared" si="3"/>
        <v>0</v>
      </c>
      <c r="W27" s="305" t="str">
        <f t="shared" si="0"/>
        <v xml:space="preserve"> </v>
      </c>
      <c r="X27" s="288"/>
      <c r="AA27" s="367" t="s">
        <v>629</v>
      </c>
    </row>
    <row r="28" spans="1:27">
      <c r="A28" s="286">
        <v>1.2</v>
      </c>
      <c r="C28" s="286" t="s">
        <v>619</v>
      </c>
      <c r="D28" s="286" t="s">
        <v>620</v>
      </c>
      <c r="E28" s="286" t="s">
        <v>630</v>
      </c>
      <c r="F28" s="286">
        <v>26</v>
      </c>
      <c r="G28" s="425">
        <v>3997.9999999999995</v>
      </c>
      <c r="H28" s="425">
        <v>173.1</v>
      </c>
      <c r="J28" s="289"/>
      <c r="K28" s="289"/>
      <c r="L28" s="291"/>
      <c r="M28" s="291"/>
      <c r="N28" s="300"/>
      <c r="O28" s="296"/>
      <c r="P28" s="294"/>
      <c r="Q28" s="294"/>
      <c r="R28" s="295"/>
      <c r="S28" s="302">
        <f t="shared" si="1"/>
        <v>0</v>
      </c>
      <c r="T28" s="302"/>
      <c r="U28" s="303"/>
      <c r="V28" s="305">
        <f t="shared" si="3"/>
        <v>0</v>
      </c>
      <c r="W28" s="305" t="str">
        <f t="shared" si="0"/>
        <v xml:space="preserve"> </v>
      </c>
      <c r="X28" s="288"/>
      <c r="AA28" s="367" t="s">
        <v>618</v>
      </c>
    </row>
    <row r="29" spans="1:27">
      <c r="A29" s="286">
        <v>1.2</v>
      </c>
      <c r="C29" s="286" t="s">
        <v>619</v>
      </c>
      <c r="D29" s="286" t="s">
        <v>620</v>
      </c>
      <c r="E29" s="286" t="s">
        <v>631</v>
      </c>
      <c r="F29" s="286">
        <v>26</v>
      </c>
      <c r="G29" s="425">
        <v>397.44</v>
      </c>
      <c r="H29" s="425">
        <v>16</v>
      </c>
      <c r="J29" s="289"/>
      <c r="K29" s="289"/>
      <c r="L29" s="291"/>
      <c r="M29" s="291"/>
      <c r="N29" s="300"/>
      <c r="O29" s="296"/>
      <c r="P29" s="294"/>
      <c r="Q29" s="294"/>
      <c r="R29" s="295"/>
      <c r="S29" s="302">
        <f t="shared" si="1"/>
        <v>0</v>
      </c>
      <c r="T29" s="302"/>
      <c r="U29" s="303"/>
      <c r="V29" s="305">
        <f t="shared" si="3"/>
        <v>0</v>
      </c>
      <c r="W29" s="305" t="str">
        <f t="shared" si="0"/>
        <v xml:space="preserve"> </v>
      </c>
      <c r="X29" s="288"/>
      <c r="AA29" s="367" t="s">
        <v>632</v>
      </c>
    </row>
    <row r="30" spans="1:27" ht="13.5" thickBot="1">
      <c r="A30" s="286">
        <v>1.2</v>
      </c>
      <c r="C30" s="286" t="s">
        <v>619</v>
      </c>
      <c r="D30" s="286" t="s">
        <v>620</v>
      </c>
      <c r="E30" s="286" t="s">
        <v>633</v>
      </c>
      <c r="F30" s="286">
        <v>26</v>
      </c>
      <c r="G30" s="425">
        <v>2574.6400000000003</v>
      </c>
      <c r="H30" s="425">
        <v>112</v>
      </c>
      <c r="J30" s="289"/>
      <c r="K30" s="289"/>
      <c r="L30" s="291"/>
      <c r="M30" s="291"/>
      <c r="N30" s="300"/>
      <c r="O30" s="296"/>
      <c r="P30" s="294"/>
      <c r="Q30" s="294"/>
      <c r="R30" s="295"/>
      <c r="S30" s="302">
        <f t="shared" si="1"/>
        <v>0</v>
      </c>
      <c r="T30" s="302"/>
      <c r="U30" s="303"/>
      <c r="V30" s="305">
        <f t="shared" si="3"/>
        <v>0</v>
      </c>
      <c r="W30" s="305" t="str">
        <f t="shared" si="0"/>
        <v xml:space="preserve"> </v>
      </c>
      <c r="X30" s="288"/>
      <c r="AA30" s="368"/>
    </row>
    <row r="31" spans="1:27">
      <c r="A31" s="286">
        <v>1.2</v>
      </c>
      <c r="C31" s="286" t="s">
        <v>619</v>
      </c>
      <c r="D31" s="286" t="s">
        <v>620</v>
      </c>
      <c r="E31" s="286" t="s">
        <v>634</v>
      </c>
      <c r="F31" s="286">
        <v>26</v>
      </c>
      <c r="G31" s="425">
        <v>534.02</v>
      </c>
      <c r="H31" s="425">
        <v>24</v>
      </c>
      <c r="J31" s="289"/>
      <c r="K31" s="289"/>
      <c r="L31" s="291"/>
      <c r="M31" s="291"/>
      <c r="N31" s="300"/>
      <c r="O31" s="296"/>
      <c r="P31" s="294"/>
      <c r="Q31" s="294"/>
      <c r="R31" s="295"/>
      <c r="S31" s="302">
        <f t="shared" si="1"/>
        <v>0</v>
      </c>
      <c r="T31" s="302"/>
      <c r="U31" s="303"/>
      <c r="V31" s="305">
        <f t="shared" si="3"/>
        <v>0</v>
      </c>
      <c r="W31" s="305" t="str">
        <f t="shared" si="0"/>
        <v xml:space="preserve"> </v>
      </c>
      <c r="X31" s="288"/>
    </row>
    <row r="32" spans="1:27">
      <c r="A32" s="286">
        <v>1.2</v>
      </c>
      <c r="C32" s="286" t="s">
        <v>619</v>
      </c>
      <c r="D32" s="286" t="s">
        <v>620</v>
      </c>
      <c r="E32" s="286" t="s">
        <v>635</v>
      </c>
      <c r="F32" s="286">
        <v>26</v>
      </c>
      <c r="G32" s="425">
        <v>176.72</v>
      </c>
      <c r="H32" s="425">
        <v>8</v>
      </c>
      <c r="J32" s="289"/>
      <c r="K32" s="289"/>
      <c r="L32" s="291"/>
      <c r="M32" s="291"/>
      <c r="N32" s="300"/>
      <c r="O32" s="296"/>
      <c r="P32" s="294"/>
      <c r="Q32" s="294"/>
      <c r="R32" s="295"/>
      <c r="S32" s="302">
        <f t="shared" si="1"/>
        <v>0</v>
      </c>
      <c r="T32" s="302"/>
      <c r="U32" s="303"/>
      <c r="V32" s="305">
        <f t="shared" si="3"/>
        <v>0</v>
      </c>
      <c r="W32" s="305" t="str">
        <f t="shared" si="0"/>
        <v xml:space="preserve"> </v>
      </c>
      <c r="X32" s="288"/>
    </row>
    <row r="33" spans="1:24">
      <c r="A33" s="286">
        <v>1.2</v>
      </c>
      <c r="C33" s="286" t="s">
        <v>619</v>
      </c>
      <c r="D33" s="286" t="s">
        <v>620</v>
      </c>
      <c r="E33" s="286" t="s">
        <v>623</v>
      </c>
      <c r="F33" s="286">
        <v>26</v>
      </c>
      <c r="G33" s="425">
        <v>250</v>
      </c>
      <c r="H33" s="425">
        <v>0</v>
      </c>
      <c r="J33" s="289"/>
      <c r="K33" s="289"/>
      <c r="L33" s="291"/>
      <c r="M33" s="291"/>
      <c r="N33" s="300"/>
      <c r="O33" s="296"/>
      <c r="P33" s="294"/>
      <c r="Q33" s="294"/>
      <c r="R33" s="295"/>
      <c r="S33" s="302">
        <f t="shared" si="1"/>
        <v>0</v>
      </c>
      <c r="T33" s="302"/>
      <c r="U33" s="303"/>
      <c r="V33" s="305">
        <f t="shared" si="3"/>
        <v>250</v>
      </c>
      <c r="W33" s="305" t="str">
        <f t="shared" si="0"/>
        <v xml:space="preserve"> </v>
      </c>
      <c r="X33" s="288"/>
    </row>
    <row r="34" spans="1:24">
      <c r="A34" s="286">
        <v>1.2</v>
      </c>
      <c r="C34" s="286" t="s">
        <v>619</v>
      </c>
      <c r="D34" s="286" t="s">
        <v>620</v>
      </c>
      <c r="E34" s="286" t="s">
        <v>625</v>
      </c>
      <c r="F34" s="286">
        <v>26</v>
      </c>
      <c r="G34" s="425">
        <v>400</v>
      </c>
      <c r="H34" s="425">
        <v>0</v>
      </c>
      <c r="J34" s="289"/>
      <c r="K34" s="289"/>
      <c r="L34" s="291"/>
      <c r="M34" s="291"/>
      <c r="N34" s="300"/>
      <c r="O34" s="296"/>
      <c r="P34" s="294"/>
      <c r="Q34" s="294"/>
      <c r="R34" s="295"/>
      <c r="S34" s="302">
        <f t="shared" si="1"/>
        <v>0</v>
      </c>
      <c r="T34" s="302"/>
      <c r="U34" s="303"/>
      <c r="V34" s="305">
        <f t="shared" si="3"/>
        <v>400</v>
      </c>
      <c r="W34" s="305">
        <f t="shared" si="0"/>
        <v>100</v>
      </c>
      <c r="X34" s="288"/>
    </row>
    <row r="35" spans="1:24">
      <c r="A35" s="286">
        <v>1.2</v>
      </c>
      <c r="C35" s="286" t="s">
        <v>619</v>
      </c>
      <c r="D35" s="286" t="s">
        <v>620</v>
      </c>
      <c r="E35" s="286" t="s">
        <v>629</v>
      </c>
      <c r="F35" s="286">
        <v>26</v>
      </c>
      <c r="G35" s="425">
        <v>2625</v>
      </c>
      <c r="H35" s="425">
        <v>0</v>
      </c>
      <c r="J35" s="289"/>
      <c r="K35" s="289"/>
      <c r="L35" s="291"/>
      <c r="M35" s="291"/>
      <c r="N35" s="300"/>
      <c r="O35" s="296"/>
      <c r="P35" s="294"/>
      <c r="Q35" s="294"/>
      <c r="R35" s="295"/>
      <c r="S35" s="302">
        <f t="shared" si="1"/>
        <v>0</v>
      </c>
      <c r="T35" s="302"/>
      <c r="U35" s="303"/>
      <c r="V35" s="305">
        <f t="shared" si="3"/>
        <v>2625</v>
      </c>
      <c r="W35" s="305" t="str">
        <f t="shared" si="0"/>
        <v xml:space="preserve"> </v>
      </c>
      <c r="X35" s="288"/>
    </row>
    <row r="36" spans="1:24">
      <c r="A36" s="286">
        <v>1.2</v>
      </c>
      <c r="C36" s="286" t="s">
        <v>619</v>
      </c>
      <c r="D36" s="286" t="s">
        <v>620</v>
      </c>
      <c r="E36" s="286" t="s">
        <v>636</v>
      </c>
      <c r="F36" s="286">
        <v>26</v>
      </c>
      <c r="G36" s="425">
        <v>317.42</v>
      </c>
      <c r="H36" s="425">
        <v>0</v>
      </c>
      <c r="J36" s="289"/>
      <c r="K36" s="289"/>
      <c r="L36" s="291"/>
      <c r="M36" s="291"/>
      <c r="N36" s="300"/>
      <c r="O36" s="296"/>
      <c r="P36" s="294"/>
      <c r="Q36" s="294"/>
      <c r="R36" s="295"/>
      <c r="S36" s="302">
        <f t="shared" si="1"/>
        <v>0</v>
      </c>
      <c r="T36" s="302"/>
      <c r="U36" s="303"/>
      <c r="V36" s="305">
        <f t="shared" si="3"/>
        <v>0</v>
      </c>
      <c r="W36" s="305" t="str">
        <f t="shared" si="0"/>
        <v xml:space="preserve"> </v>
      </c>
      <c r="X36" s="288"/>
    </row>
    <row r="37" spans="1:24">
      <c r="A37" s="286">
        <v>1.2</v>
      </c>
      <c r="C37" s="286" t="s">
        <v>619</v>
      </c>
      <c r="D37" s="286" t="s">
        <v>620</v>
      </c>
      <c r="E37" s="286" t="s">
        <v>632</v>
      </c>
      <c r="F37" s="286">
        <v>26</v>
      </c>
      <c r="G37" s="425">
        <v>6770.15</v>
      </c>
      <c r="H37" s="425">
        <v>0</v>
      </c>
      <c r="J37" s="289"/>
      <c r="K37" s="289"/>
      <c r="L37" s="291"/>
      <c r="M37" s="291"/>
      <c r="N37" s="300"/>
      <c r="O37" s="296"/>
      <c r="P37" s="294"/>
      <c r="Q37" s="294"/>
      <c r="R37" s="295"/>
      <c r="S37" s="302">
        <f t="shared" si="1"/>
        <v>0</v>
      </c>
      <c r="T37" s="302"/>
      <c r="U37" s="303"/>
      <c r="V37" s="305">
        <f t="shared" si="3"/>
        <v>6770.15</v>
      </c>
      <c r="W37" s="305">
        <f t="shared" si="0"/>
        <v>-6770.15</v>
      </c>
      <c r="X37" s="288"/>
    </row>
    <row r="38" spans="1:24">
      <c r="A38" s="286">
        <v>2</v>
      </c>
      <c r="C38" s="286" t="s">
        <v>597</v>
      </c>
      <c r="D38" s="286"/>
      <c r="E38" s="286" t="s">
        <v>598</v>
      </c>
      <c r="F38" s="286">
        <f>IF(VLOOKUP(A38,'WP-5 Payroll Data'!$K$11:$O$151,3,FALSE)&gt;26,26,VLOOKUP(A38,'WP-5 Payroll Data'!$K$11:$O$151,3,FALSE))</f>
        <v>26</v>
      </c>
      <c r="G38" s="425">
        <v>15012.14</v>
      </c>
      <c r="H38" s="425">
        <v>444.84</v>
      </c>
      <c r="J38" s="289">
        <f>VLOOKUP(A38,'WP-5 Payroll Data'!$K$11:$O$151,4,FALSE)</f>
        <v>17536.55</v>
      </c>
      <c r="K38" s="289">
        <f>VLOOKUP(A38,'WP-5 Payroll Data'!$K$11:$O$151,5,FALSE)</f>
        <v>520.03</v>
      </c>
      <c r="L38" s="289">
        <f>J38/K38</f>
        <v>33.722189104474744</v>
      </c>
      <c r="M38" s="289"/>
      <c r="N38" s="300">
        <f>IF((K38/F38)*26&gt;1500,2080,IF((K38/F38)*26&gt;300,520,IF((K38/F38)*26&gt;100,260,K38)))</f>
        <v>520</v>
      </c>
      <c r="O38" s="296">
        <f>N38*L38</f>
        <v>17535.538334326866</v>
      </c>
      <c r="P38" s="294"/>
      <c r="Q38" s="294">
        <f>O38*0.03</f>
        <v>526.06615002980595</v>
      </c>
      <c r="R38" s="295"/>
      <c r="S38" s="302">
        <f t="shared" si="1"/>
        <v>0</v>
      </c>
      <c r="T38" s="302"/>
      <c r="U38" s="303"/>
      <c r="V38" s="305">
        <f t="shared" si="3"/>
        <v>0</v>
      </c>
      <c r="W38" s="305" t="str">
        <f t="shared" si="0"/>
        <v xml:space="preserve"> </v>
      </c>
      <c r="X38" s="288"/>
    </row>
    <row r="39" spans="1:24">
      <c r="A39" s="286">
        <v>2</v>
      </c>
      <c r="C39" s="286" t="s">
        <v>597</v>
      </c>
      <c r="D39" s="286"/>
      <c r="E39" s="286" t="s">
        <v>599</v>
      </c>
      <c r="F39" s="286">
        <v>26</v>
      </c>
      <c r="G39" s="425">
        <v>189.98</v>
      </c>
      <c r="H39" s="425">
        <v>3.76</v>
      </c>
      <c r="J39" s="289"/>
      <c r="K39" s="289"/>
      <c r="L39" s="291"/>
      <c r="M39" s="291"/>
      <c r="N39" s="300"/>
      <c r="O39" s="296"/>
      <c r="P39" s="294"/>
      <c r="Q39" s="294"/>
      <c r="R39" s="295"/>
      <c r="S39" s="302">
        <f t="shared" si="1"/>
        <v>189.98</v>
      </c>
      <c r="T39" s="302">
        <f t="shared" si="2"/>
        <v>5.6993999999999998</v>
      </c>
      <c r="U39" s="303"/>
      <c r="V39" s="305">
        <f t="shared" si="3"/>
        <v>0</v>
      </c>
      <c r="W39" s="305" t="str">
        <f t="shared" si="0"/>
        <v xml:space="preserve"> </v>
      </c>
      <c r="X39" s="288"/>
    </row>
    <row r="40" spans="1:24">
      <c r="A40" s="286">
        <v>2</v>
      </c>
      <c r="C40" s="286" t="s">
        <v>597</v>
      </c>
      <c r="D40" s="286"/>
      <c r="E40" s="286" t="s">
        <v>605</v>
      </c>
      <c r="F40" s="286">
        <v>26</v>
      </c>
      <c r="G40" s="425">
        <v>1743.2999999999997</v>
      </c>
      <c r="H40" s="425">
        <v>52</v>
      </c>
      <c r="J40" s="289"/>
      <c r="K40" s="289"/>
      <c r="L40" s="291"/>
      <c r="M40" s="291"/>
      <c r="N40" s="300"/>
      <c r="O40" s="296"/>
      <c r="P40" s="294"/>
      <c r="Q40" s="294"/>
      <c r="R40" s="295"/>
      <c r="S40" s="302">
        <f t="shared" si="1"/>
        <v>0</v>
      </c>
      <c r="T40" s="302"/>
      <c r="U40" s="303"/>
      <c r="V40" s="305">
        <f t="shared" si="3"/>
        <v>0</v>
      </c>
      <c r="W40" s="305" t="str">
        <f t="shared" si="0"/>
        <v xml:space="preserve"> </v>
      </c>
      <c r="X40" s="288"/>
    </row>
    <row r="41" spans="1:24">
      <c r="A41" s="286">
        <v>2</v>
      </c>
      <c r="C41" s="286" t="s">
        <v>597</v>
      </c>
      <c r="D41" s="286"/>
      <c r="E41" s="286" t="s">
        <v>608</v>
      </c>
      <c r="F41" s="286">
        <v>26</v>
      </c>
      <c r="G41" s="425">
        <v>578.46</v>
      </c>
      <c r="H41" s="425">
        <v>17.189999999999998</v>
      </c>
      <c r="J41" s="289"/>
      <c r="K41" s="289"/>
      <c r="L41" s="291"/>
      <c r="M41" s="291"/>
      <c r="N41" s="300"/>
      <c r="O41" s="296"/>
      <c r="P41" s="294"/>
      <c r="Q41" s="294"/>
      <c r="R41" s="295"/>
      <c r="S41" s="302">
        <f t="shared" si="1"/>
        <v>0</v>
      </c>
      <c r="T41" s="302"/>
      <c r="U41" s="303"/>
      <c r="V41" s="305">
        <f t="shared" si="3"/>
        <v>0</v>
      </c>
      <c r="W41" s="305" t="str">
        <f t="shared" si="0"/>
        <v xml:space="preserve"> </v>
      </c>
      <c r="X41" s="288"/>
    </row>
    <row r="42" spans="1:24">
      <c r="A42" s="286">
        <v>2</v>
      </c>
      <c r="C42" s="286" t="s">
        <v>597</v>
      </c>
      <c r="D42" s="286"/>
      <c r="E42" s="286" t="s">
        <v>610</v>
      </c>
      <c r="F42" s="286">
        <v>26</v>
      </c>
      <c r="G42" s="425">
        <v>202.64999999999998</v>
      </c>
      <c r="H42" s="425">
        <v>6</v>
      </c>
      <c r="J42" s="289"/>
      <c r="K42" s="289"/>
      <c r="L42" s="291"/>
      <c r="M42" s="291"/>
      <c r="N42" s="300"/>
      <c r="O42" s="296"/>
      <c r="P42" s="294"/>
      <c r="Q42" s="294"/>
      <c r="R42" s="295"/>
      <c r="S42" s="302">
        <f t="shared" si="1"/>
        <v>0</v>
      </c>
      <c r="T42" s="302"/>
      <c r="U42" s="303"/>
      <c r="V42" s="305">
        <f t="shared" si="3"/>
        <v>0</v>
      </c>
      <c r="W42" s="305" t="str">
        <f t="shared" si="0"/>
        <v xml:space="preserve"> </v>
      </c>
      <c r="X42" s="288"/>
    </row>
    <row r="43" spans="1:24">
      <c r="A43" s="286">
        <v>2</v>
      </c>
      <c r="C43" s="286" t="s">
        <v>597</v>
      </c>
      <c r="D43" s="286"/>
      <c r="E43" s="286" t="s">
        <v>624</v>
      </c>
      <c r="F43" s="286">
        <v>26</v>
      </c>
      <c r="G43" s="425">
        <v>650</v>
      </c>
      <c r="H43" s="425">
        <v>0</v>
      </c>
      <c r="J43" s="289"/>
      <c r="K43" s="289"/>
      <c r="L43" s="291"/>
      <c r="M43" s="291"/>
      <c r="N43" s="300"/>
      <c r="O43" s="296"/>
      <c r="P43" s="294"/>
      <c r="Q43" s="294"/>
      <c r="R43" s="295"/>
      <c r="S43" s="302">
        <f t="shared" si="1"/>
        <v>0</v>
      </c>
      <c r="T43" s="302"/>
      <c r="U43" s="303"/>
      <c r="V43" s="305">
        <f t="shared" si="3"/>
        <v>650</v>
      </c>
      <c r="W43" s="305">
        <f t="shared" si="0"/>
        <v>162.5</v>
      </c>
      <c r="X43" s="288"/>
    </row>
    <row r="44" spans="1:24">
      <c r="A44" s="286">
        <v>3</v>
      </c>
      <c r="C44" s="286" t="s">
        <v>597</v>
      </c>
      <c r="D44" s="286" t="s">
        <v>637</v>
      </c>
      <c r="E44" s="286" t="s">
        <v>598</v>
      </c>
      <c r="F44" s="286">
        <f>IF(VLOOKUP(A44,'WP-5 Payroll Data'!$K$11:$O$151,3,FALSE)&gt;26,26,VLOOKUP(A44,'WP-5 Payroll Data'!$K$11:$O$151,3,FALSE))</f>
        <v>26</v>
      </c>
      <c r="G44" s="425">
        <v>48471.66</v>
      </c>
      <c r="H44" s="425">
        <v>1794.6</v>
      </c>
      <c r="J44" s="289">
        <f>VLOOKUP(A44,'WP-5 Payroll Data'!$K$11:$O$151,4,FALSE)</f>
        <v>56159.76</v>
      </c>
      <c r="K44" s="289">
        <f>VLOOKUP(A44,'WP-5 Payroll Data'!$K$11:$O$151,5,FALSE)</f>
        <v>2080</v>
      </c>
      <c r="L44" s="289">
        <f>J44/K44</f>
        <v>26.999884615384616</v>
      </c>
      <c r="M44" s="289"/>
      <c r="N44" s="300">
        <f>IF((K44/F44)*26&gt;1500,2080,IF((K44/F44)*26&gt;300,520,IF((K44/F44)*26&gt;100,260,K44)))</f>
        <v>2080</v>
      </c>
      <c r="O44" s="296">
        <f>N44*L44</f>
        <v>56159.76</v>
      </c>
      <c r="P44" s="294"/>
      <c r="Q44" s="294">
        <f>O44*0.03</f>
        <v>1684.7927999999999</v>
      </c>
      <c r="R44" s="295"/>
      <c r="S44" s="302">
        <f t="shared" si="1"/>
        <v>0</v>
      </c>
      <c r="T44" s="302"/>
      <c r="U44" s="303"/>
      <c r="V44" s="305">
        <f t="shared" si="3"/>
        <v>0</v>
      </c>
      <c r="W44" s="305" t="str">
        <f t="shared" si="0"/>
        <v xml:space="preserve"> </v>
      </c>
      <c r="X44" s="288"/>
    </row>
    <row r="45" spans="1:24">
      <c r="A45" s="286">
        <v>3</v>
      </c>
      <c r="C45" s="286" t="s">
        <v>597</v>
      </c>
      <c r="D45" s="286" t="s">
        <v>637</v>
      </c>
      <c r="E45" s="286" t="s">
        <v>599</v>
      </c>
      <c r="F45" s="286">
        <v>26</v>
      </c>
      <c r="G45" s="425">
        <v>2543.9299999999998</v>
      </c>
      <c r="H45" s="425">
        <v>62.720000000000006</v>
      </c>
      <c r="J45" s="289"/>
      <c r="K45" s="291"/>
      <c r="L45" s="291"/>
      <c r="M45" s="291"/>
      <c r="N45" s="300"/>
      <c r="O45" s="296"/>
      <c r="P45" s="294"/>
      <c r="Q45" s="294"/>
      <c r="R45" s="295"/>
      <c r="S45" s="302">
        <f t="shared" si="1"/>
        <v>2543.9299999999998</v>
      </c>
      <c r="T45" s="302">
        <f t="shared" si="2"/>
        <v>76.317899999999995</v>
      </c>
      <c r="U45" s="303"/>
      <c r="V45" s="305">
        <f t="shared" si="3"/>
        <v>0</v>
      </c>
      <c r="W45" s="305" t="str">
        <f t="shared" si="0"/>
        <v xml:space="preserve"> </v>
      </c>
      <c r="X45" s="288"/>
    </row>
    <row r="46" spans="1:24">
      <c r="A46" s="286">
        <v>3</v>
      </c>
      <c r="C46" s="286" t="s">
        <v>597</v>
      </c>
      <c r="D46" s="286" t="s">
        <v>637</v>
      </c>
      <c r="E46" s="286" t="s">
        <v>601</v>
      </c>
      <c r="F46" s="286">
        <v>26</v>
      </c>
      <c r="G46" s="425">
        <v>12860.4</v>
      </c>
      <c r="H46" s="425">
        <v>239.1</v>
      </c>
      <c r="J46" s="289"/>
      <c r="K46" s="289"/>
      <c r="L46" s="291"/>
      <c r="M46" s="291"/>
      <c r="N46" s="300"/>
      <c r="O46" s="296"/>
      <c r="P46" s="294"/>
      <c r="Q46" s="294"/>
      <c r="R46" s="295"/>
      <c r="S46" s="302">
        <f t="shared" si="1"/>
        <v>12860.4</v>
      </c>
      <c r="T46" s="302">
        <f t="shared" si="2"/>
        <v>385.81199999999995</v>
      </c>
      <c r="U46" s="303"/>
      <c r="V46" s="305">
        <f t="shared" si="3"/>
        <v>0</v>
      </c>
      <c r="W46" s="305" t="str">
        <f t="shared" si="0"/>
        <v xml:space="preserve"> </v>
      </c>
      <c r="X46" s="288"/>
    </row>
    <row r="47" spans="1:24">
      <c r="A47" s="286">
        <v>3</v>
      </c>
      <c r="C47" s="286" t="s">
        <v>597</v>
      </c>
      <c r="D47" s="286" t="s">
        <v>637</v>
      </c>
      <c r="E47" s="286" t="s">
        <v>605</v>
      </c>
      <c r="F47" s="286">
        <v>26</v>
      </c>
      <c r="G47" s="425">
        <v>5166.7199999999993</v>
      </c>
      <c r="H47" s="425">
        <v>192</v>
      </c>
      <c r="J47" s="289"/>
      <c r="K47" s="289"/>
      <c r="L47" s="291"/>
      <c r="M47" s="291"/>
      <c r="N47" s="300"/>
      <c r="O47" s="296"/>
      <c r="P47" s="294"/>
      <c r="Q47" s="294"/>
      <c r="R47" s="295"/>
      <c r="S47" s="302">
        <f t="shared" si="1"/>
        <v>0</v>
      </c>
      <c r="T47" s="302"/>
      <c r="U47" s="303"/>
      <c r="V47" s="305">
        <f t="shared" si="3"/>
        <v>0</v>
      </c>
      <c r="W47" s="305" t="str">
        <f t="shared" si="0"/>
        <v xml:space="preserve"> </v>
      </c>
      <c r="X47" s="288"/>
    </row>
    <row r="48" spans="1:24">
      <c r="A48" s="286">
        <v>3</v>
      </c>
      <c r="C48" s="286" t="s">
        <v>597</v>
      </c>
      <c r="D48" s="286" t="s">
        <v>637</v>
      </c>
      <c r="E48" s="286" t="s">
        <v>608</v>
      </c>
      <c r="F48" s="286">
        <v>26</v>
      </c>
      <c r="G48" s="425">
        <v>1768.4199999999996</v>
      </c>
      <c r="H48" s="425">
        <v>65.400000000000006</v>
      </c>
      <c r="J48" s="289"/>
      <c r="K48" s="289"/>
      <c r="L48" s="291"/>
      <c r="M48" s="291"/>
      <c r="N48" s="300"/>
      <c r="O48" s="296"/>
      <c r="P48" s="294"/>
      <c r="Q48" s="294"/>
      <c r="R48" s="295"/>
      <c r="S48" s="302">
        <f t="shared" si="1"/>
        <v>0</v>
      </c>
      <c r="T48" s="302"/>
      <c r="U48" s="303"/>
      <c r="V48" s="305">
        <f t="shared" si="3"/>
        <v>0</v>
      </c>
      <c r="W48" s="305" t="str">
        <f t="shared" si="0"/>
        <v xml:space="preserve"> </v>
      </c>
      <c r="X48" s="288"/>
    </row>
    <row r="49" spans="1:24">
      <c r="A49" s="286">
        <v>3</v>
      </c>
      <c r="C49" s="286" t="s">
        <v>597</v>
      </c>
      <c r="D49" s="286" t="s">
        <v>637</v>
      </c>
      <c r="E49" s="286" t="s">
        <v>610</v>
      </c>
      <c r="F49" s="286">
        <v>26</v>
      </c>
      <c r="G49" s="425">
        <v>752.96</v>
      </c>
      <c r="H49" s="425">
        <v>28</v>
      </c>
      <c r="J49" s="289"/>
      <c r="K49" s="289"/>
      <c r="L49" s="291"/>
      <c r="M49" s="291"/>
      <c r="N49" s="300"/>
      <c r="O49" s="296"/>
      <c r="P49" s="294"/>
      <c r="Q49" s="294"/>
      <c r="R49" s="295"/>
      <c r="S49" s="302">
        <f t="shared" si="1"/>
        <v>0</v>
      </c>
      <c r="T49" s="302"/>
      <c r="U49" s="303"/>
      <c r="V49" s="305">
        <f t="shared" si="3"/>
        <v>0</v>
      </c>
      <c r="W49" s="305" t="str">
        <f t="shared" si="0"/>
        <v xml:space="preserve"> </v>
      </c>
      <c r="X49" s="288"/>
    </row>
    <row r="50" spans="1:24">
      <c r="A50" s="286">
        <v>3</v>
      </c>
      <c r="C50" s="286" t="s">
        <v>597</v>
      </c>
      <c r="D50" s="286" t="s">
        <v>637</v>
      </c>
      <c r="E50" s="286" t="s">
        <v>624</v>
      </c>
      <c r="F50" s="286">
        <v>26</v>
      </c>
      <c r="G50" s="425">
        <v>2400</v>
      </c>
      <c r="H50" s="425">
        <v>0</v>
      </c>
      <c r="J50" s="289"/>
      <c r="K50" s="289"/>
      <c r="L50" s="291"/>
      <c r="M50" s="291"/>
      <c r="N50" s="300"/>
      <c r="O50" s="296"/>
      <c r="P50" s="294"/>
      <c r="Q50" s="294"/>
      <c r="R50" s="295"/>
      <c r="S50" s="302">
        <f t="shared" si="1"/>
        <v>0</v>
      </c>
      <c r="T50" s="302"/>
      <c r="U50" s="303"/>
      <c r="V50" s="305">
        <f t="shared" si="3"/>
        <v>2400</v>
      </c>
      <c r="W50" s="305">
        <f t="shared" si="0"/>
        <v>600</v>
      </c>
      <c r="X50" s="288"/>
    </row>
    <row r="51" spans="1:24">
      <c r="A51" s="286">
        <v>3</v>
      </c>
      <c r="C51" s="286" t="s">
        <v>597</v>
      </c>
      <c r="D51" s="286" t="s">
        <v>637</v>
      </c>
      <c r="E51" s="286" t="s">
        <v>629</v>
      </c>
      <c r="F51" s="286">
        <v>26</v>
      </c>
      <c r="G51" s="425">
        <v>4500</v>
      </c>
      <c r="H51" s="425">
        <v>0</v>
      </c>
      <c r="J51" s="289"/>
      <c r="K51" s="289"/>
      <c r="L51" s="291"/>
      <c r="M51" s="291"/>
      <c r="N51" s="300"/>
      <c r="O51" s="296"/>
      <c r="P51" s="294"/>
      <c r="Q51" s="294"/>
      <c r="R51" s="295"/>
      <c r="S51" s="302">
        <f t="shared" si="1"/>
        <v>0</v>
      </c>
      <c r="T51" s="302"/>
      <c r="U51" s="303"/>
      <c r="V51" s="305">
        <f t="shared" si="3"/>
        <v>4500</v>
      </c>
      <c r="W51" s="305" t="str">
        <f t="shared" si="0"/>
        <v xml:space="preserve"> </v>
      </c>
      <c r="X51" s="288"/>
    </row>
    <row r="52" spans="1:24">
      <c r="A52" s="286">
        <v>4</v>
      </c>
      <c r="C52" s="286" t="s">
        <v>597</v>
      </c>
      <c r="D52" s="286"/>
      <c r="E52" s="286" t="s">
        <v>598</v>
      </c>
      <c r="F52" s="286">
        <f>IF(VLOOKUP(A52,'WP-5 Payroll Data'!$K$11:$O$151,3,FALSE)&gt;26,26,VLOOKUP(A52,'WP-5 Payroll Data'!$K$11:$O$151,3,FALSE))</f>
        <v>26</v>
      </c>
      <c r="G52" s="425">
        <v>8371.69</v>
      </c>
      <c r="H52" s="425">
        <v>462.35</v>
      </c>
      <c r="J52" s="289">
        <f>VLOOKUP(A52,'WP-5 Payroll Data'!$K$11:$O$151,4,FALSE)</f>
        <v>9415.5800000000017</v>
      </c>
      <c r="K52" s="289">
        <f>VLOOKUP(A52,'WP-5 Payroll Data'!$K$11:$O$151,5,FALSE)</f>
        <v>520.03</v>
      </c>
      <c r="L52" s="289">
        <f>J52/K52</f>
        <v>18.105840047689561</v>
      </c>
      <c r="M52" s="289"/>
      <c r="N52" s="300">
        <f>IF((K52/F52)*26&gt;1500,2080,IF((K52/F52)*26&gt;300,520,IF((K52/F52)*26&gt;100,260,K52)))</f>
        <v>520</v>
      </c>
      <c r="O52" s="296">
        <f>N52*L52</f>
        <v>9415.0368247985716</v>
      </c>
      <c r="P52" s="294"/>
      <c r="Q52" s="294">
        <f>O52*0.03</f>
        <v>282.45110474395716</v>
      </c>
      <c r="R52" s="295"/>
      <c r="S52" s="302">
        <f t="shared" si="1"/>
        <v>0</v>
      </c>
      <c r="T52" s="302"/>
      <c r="U52" s="303"/>
      <c r="V52" s="305">
        <f t="shared" si="3"/>
        <v>0</v>
      </c>
      <c r="W52" s="305" t="str">
        <f t="shared" si="0"/>
        <v xml:space="preserve"> </v>
      </c>
      <c r="X52" s="288"/>
    </row>
    <row r="53" spans="1:24">
      <c r="A53" s="286">
        <v>4</v>
      </c>
      <c r="C53" s="286" t="s">
        <v>597</v>
      </c>
      <c r="D53" s="286"/>
      <c r="E53" s="286" t="s">
        <v>599</v>
      </c>
      <c r="F53" s="286">
        <v>26</v>
      </c>
      <c r="G53" s="425">
        <v>1628.7799999999997</v>
      </c>
      <c r="H53" s="425">
        <v>60.040000000000006</v>
      </c>
      <c r="J53" s="289"/>
      <c r="K53" s="289"/>
      <c r="L53" s="291"/>
      <c r="M53" s="291"/>
      <c r="N53" s="300"/>
      <c r="O53" s="296"/>
      <c r="P53" s="294"/>
      <c r="Q53" s="294"/>
      <c r="R53" s="295"/>
      <c r="S53" s="302">
        <f t="shared" si="1"/>
        <v>1628.7799999999997</v>
      </c>
      <c r="T53" s="302">
        <f t="shared" si="2"/>
        <v>48.863399999999992</v>
      </c>
      <c r="U53" s="303"/>
      <c r="V53" s="305">
        <f t="shared" si="3"/>
        <v>0</v>
      </c>
      <c r="W53" s="305" t="str">
        <f t="shared" si="0"/>
        <v xml:space="preserve"> </v>
      </c>
      <c r="X53" s="288"/>
    </row>
    <row r="54" spans="1:24">
      <c r="A54" s="286">
        <v>4</v>
      </c>
      <c r="C54" s="286" t="s">
        <v>597</v>
      </c>
      <c r="D54" s="286"/>
      <c r="E54" s="286" t="s">
        <v>605</v>
      </c>
      <c r="F54" s="286">
        <v>26</v>
      </c>
      <c r="G54" s="425">
        <v>398.95</v>
      </c>
      <c r="H54" s="425">
        <v>22</v>
      </c>
      <c r="J54" s="289"/>
      <c r="K54" s="289"/>
      <c r="L54" s="291"/>
      <c r="M54" s="291"/>
      <c r="N54" s="300"/>
      <c r="O54" s="296"/>
      <c r="P54" s="294"/>
      <c r="Q54" s="294"/>
      <c r="R54" s="295"/>
      <c r="S54" s="302">
        <f t="shared" si="1"/>
        <v>0</v>
      </c>
      <c r="T54" s="302"/>
      <c r="U54" s="303"/>
      <c r="V54" s="305">
        <f t="shared" si="3"/>
        <v>0</v>
      </c>
      <c r="W54" s="305" t="str">
        <f t="shared" si="0"/>
        <v xml:space="preserve"> </v>
      </c>
      <c r="X54" s="288"/>
    </row>
    <row r="55" spans="1:24">
      <c r="A55" s="286">
        <v>4</v>
      </c>
      <c r="C55" s="286" t="s">
        <v>597</v>
      </c>
      <c r="D55" s="286"/>
      <c r="E55" s="286" t="s">
        <v>608</v>
      </c>
      <c r="F55" s="286">
        <v>26</v>
      </c>
      <c r="G55" s="425">
        <v>502.82</v>
      </c>
      <c r="H55" s="425">
        <v>27.8</v>
      </c>
      <c r="J55" s="289"/>
      <c r="K55" s="289"/>
      <c r="L55" s="291"/>
      <c r="M55" s="291"/>
      <c r="N55" s="300"/>
      <c r="O55" s="296"/>
      <c r="P55" s="294"/>
      <c r="Q55" s="294"/>
      <c r="R55" s="295"/>
      <c r="S55" s="302">
        <f t="shared" si="1"/>
        <v>0</v>
      </c>
      <c r="T55" s="302"/>
      <c r="U55" s="303"/>
      <c r="V55" s="305">
        <f t="shared" si="3"/>
        <v>0</v>
      </c>
      <c r="W55" s="305" t="str">
        <f t="shared" si="0"/>
        <v xml:space="preserve"> </v>
      </c>
      <c r="X55" s="288"/>
    </row>
    <row r="56" spans="1:24">
      <c r="A56" s="286">
        <v>4</v>
      </c>
      <c r="C56" s="286" t="s">
        <v>597</v>
      </c>
      <c r="D56" s="286"/>
      <c r="E56" s="286" t="s">
        <v>610</v>
      </c>
      <c r="F56" s="286">
        <v>26</v>
      </c>
      <c r="G56" s="425">
        <v>126.25</v>
      </c>
      <c r="H56" s="425">
        <v>7</v>
      </c>
      <c r="J56" s="289"/>
      <c r="K56" s="289"/>
      <c r="L56" s="291"/>
      <c r="M56" s="291"/>
      <c r="N56" s="300"/>
      <c r="O56" s="296"/>
      <c r="P56" s="294"/>
      <c r="Q56" s="294"/>
      <c r="R56" s="295"/>
      <c r="S56" s="302">
        <f t="shared" si="1"/>
        <v>0</v>
      </c>
      <c r="T56" s="302"/>
      <c r="U56" s="303"/>
      <c r="V56" s="305">
        <f t="shared" si="3"/>
        <v>0</v>
      </c>
      <c r="W56" s="305" t="str">
        <f t="shared" si="0"/>
        <v xml:space="preserve"> </v>
      </c>
      <c r="X56" s="288"/>
    </row>
    <row r="57" spans="1:24">
      <c r="A57" s="286">
        <v>4</v>
      </c>
      <c r="C57" s="286" t="s">
        <v>597</v>
      </c>
      <c r="D57" s="286"/>
      <c r="E57" s="286" t="s">
        <v>638</v>
      </c>
      <c r="F57" s="286">
        <v>26</v>
      </c>
      <c r="G57" s="425">
        <v>15.87</v>
      </c>
      <c r="H57" s="425">
        <v>0.88</v>
      </c>
      <c r="J57" s="289"/>
      <c r="K57" s="289"/>
      <c r="L57" s="291"/>
      <c r="M57" s="291"/>
      <c r="N57" s="300"/>
      <c r="O57" s="296"/>
      <c r="P57" s="294"/>
      <c r="Q57" s="294"/>
      <c r="R57" s="295"/>
      <c r="S57" s="302">
        <f t="shared" si="1"/>
        <v>0</v>
      </c>
      <c r="T57" s="302"/>
      <c r="U57" s="303"/>
      <c r="V57" s="305">
        <f t="shared" si="3"/>
        <v>0</v>
      </c>
      <c r="W57" s="305" t="str">
        <f t="shared" si="0"/>
        <v xml:space="preserve"> </v>
      </c>
      <c r="X57" s="288"/>
    </row>
    <row r="58" spans="1:24">
      <c r="A58" s="286">
        <v>4</v>
      </c>
      <c r="C58" s="286" t="s">
        <v>597</v>
      </c>
      <c r="D58" s="286"/>
      <c r="E58" s="286" t="s">
        <v>624</v>
      </c>
      <c r="F58" s="286">
        <v>26</v>
      </c>
      <c r="G58" s="425">
        <v>100</v>
      </c>
      <c r="H58" s="425">
        <v>0</v>
      </c>
      <c r="J58" s="289"/>
      <c r="K58" s="289"/>
      <c r="L58" s="291"/>
      <c r="M58" s="291"/>
      <c r="N58" s="300"/>
      <c r="O58" s="296"/>
      <c r="P58" s="294"/>
      <c r="Q58" s="294"/>
      <c r="R58" s="295"/>
      <c r="S58" s="302">
        <f t="shared" si="1"/>
        <v>0</v>
      </c>
      <c r="T58" s="302"/>
      <c r="U58" s="303"/>
      <c r="V58" s="305">
        <f t="shared" si="3"/>
        <v>100</v>
      </c>
      <c r="W58" s="305">
        <f t="shared" si="0"/>
        <v>25</v>
      </c>
      <c r="X58" s="288"/>
    </row>
    <row r="59" spans="1:24">
      <c r="A59" s="286">
        <v>5</v>
      </c>
      <c r="C59" s="286" t="s">
        <v>597</v>
      </c>
      <c r="D59" s="286"/>
      <c r="E59" s="286" t="s">
        <v>598</v>
      </c>
      <c r="F59" s="286">
        <f>IF(VLOOKUP(A59,'WP-5 Payroll Data'!$K$11:$O$151,3,FALSE)&gt;26,26,VLOOKUP(A59,'WP-5 Payroll Data'!$K$11:$O$151,3,FALSE))</f>
        <v>26</v>
      </c>
      <c r="G59" s="425">
        <v>5856.7999999999984</v>
      </c>
      <c r="H59" s="425">
        <v>208.07000000000002</v>
      </c>
      <c r="J59" s="289">
        <f>VLOOKUP(A59,'WP-5 Payroll Data'!$K$11:$O$151,4,FALSE)</f>
        <v>7161.9199999999983</v>
      </c>
      <c r="K59" s="289">
        <f>VLOOKUP(A59,'WP-5 Payroll Data'!$K$11:$O$151,5,FALSE)</f>
        <v>254.79000000000002</v>
      </c>
      <c r="L59" s="289">
        <f>J59/K59</f>
        <v>28.109109462694761</v>
      </c>
      <c r="M59" s="289"/>
      <c r="N59" s="300">
        <f>IF((K59/F59)*26&gt;1500,2080,IF((K59/F59)*26&gt;300,520,IF((K59/F59)*26&gt;100,260,K59)))</f>
        <v>260</v>
      </c>
      <c r="O59" s="296">
        <f>N59*L59</f>
        <v>7308.3684603006377</v>
      </c>
      <c r="P59" s="294"/>
      <c r="Q59" s="294">
        <f>O59*0.03</f>
        <v>219.25105380901911</v>
      </c>
      <c r="R59" s="295"/>
      <c r="S59" s="302">
        <f t="shared" si="1"/>
        <v>0</v>
      </c>
      <c r="T59" s="302"/>
      <c r="U59" s="303"/>
      <c r="V59" s="305">
        <f t="shared" si="3"/>
        <v>0</v>
      </c>
      <c r="W59" s="305" t="str">
        <f t="shared" si="0"/>
        <v xml:space="preserve"> </v>
      </c>
      <c r="X59" s="288"/>
    </row>
    <row r="60" spans="1:24">
      <c r="A60" s="286">
        <v>5</v>
      </c>
      <c r="C60" s="286" t="s">
        <v>597</v>
      </c>
      <c r="D60" s="286"/>
      <c r="E60" s="286" t="s">
        <v>599</v>
      </c>
      <c r="F60" s="286">
        <v>26</v>
      </c>
      <c r="G60" s="425">
        <v>168.94</v>
      </c>
      <c r="H60" s="425">
        <v>4</v>
      </c>
      <c r="J60" s="289"/>
      <c r="K60" s="289"/>
      <c r="L60" s="291"/>
      <c r="M60" s="291"/>
      <c r="N60" s="300"/>
      <c r="O60" s="296"/>
      <c r="P60" s="294"/>
      <c r="Q60" s="294"/>
      <c r="R60" s="295"/>
      <c r="S60" s="302">
        <f t="shared" si="1"/>
        <v>168.94</v>
      </c>
      <c r="T60" s="302">
        <f t="shared" si="2"/>
        <v>5.0682</v>
      </c>
      <c r="U60" s="303"/>
      <c r="V60" s="305">
        <f t="shared" si="3"/>
        <v>0</v>
      </c>
      <c r="W60" s="305" t="str">
        <f t="shared" si="0"/>
        <v xml:space="preserve"> </v>
      </c>
      <c r="X60" s="288"/>
    </row>
    <row r="61" spans="1:24">
      <c r="A61" s="286">
        <v>5</v>
      </c>
      <c r="C61" s="286" t="s">
        <v>597</v>
      </c>
      <c r="D61" s="286"/>
      <c r="E61" s="286" t="s">
        <v>605</v>
      </c>
      <c r="F61" s="286">
        <v>26</v>
      </c>
      <c r="G61" s="425">
        <v>192.66</v>
      </c>
      <c r="H61" s="425">
        <v>6.81</v>
      </c>
      <c r="J61" s="289"/>
      <c r="K61" s="289"/>
      <c r="L61" s="291"/>
      <c r="M61" s="291"/>
      <c r="N61" s="300"/>
      <c r="O61" s="296"/>
      <c r="P61" s="294"/>
      <c r="Q61" s="294"/>
      <c r="R61" s="295"/>
      <c r="S61" s="302">
        <f t="shared" si="1"/>
        <v>0</v>
      </c>
      <c r="T61" s="302"/>
      <c r="U61" s="303"/>
      <c r="V61" s="305">
        <f t="shared" si="3"/>
        <v>0</v>
      </c>
      <c r="W61" s="305" t="str">
        <f t="shared" si="0"/>
        <v xml:space="preserve"> </v>
      </c>
      <c r="X61" s="288"/>
    </row>
    <row r="62" spans="1:24">
      <c r="A62" s="286">
        <v>5</v>
      </c>
      <c r="C62" s="286" t="s">
        <v>597</v>
      </c>
      <c r="D62" s="286"/>
      <c r="E62" s="286" t="s">
        <v>608</v>
      </c>
      <c r="F62" s="286">
        <v>26</v>
      </c>
      <c r="G62" s="425">
        <v>1030.5900000000001</v>
      </c>
      <c r="H62" s="425">
        <v>36.97</v>
      </c>
      <c r="J62" s="289"/>
      <c r="K62" s="289"/>
      <c r="L62" s="291"/>
      <c r="M62" s="291"/>
      <c r="N62" s="300"/>
      <c r="O62" s="296"/>
      <c r="P62" s="294"/>
      <c r="Q62" s="294"/>
      <c r="R62" s="295"/>
      <c r="S62" s="302">
        <f t="shared" si="1"/>
        <v>0</v>
      </c>
      <c r="T62" s="302"/>
      <c r="U62" s="303"/>
      <c r="V62" s="305">
        <f t="shared" si="3"/>
        <v>0</v>
      </c>
      <c r="W62" s="305" t="str">
        <f t="shared" si="0"/>
        <v xml:space="preserve"> </v>
      </c>
      <c r="X62" s="288"/>
    </row>
    <row r="63" spans="1:24">
      <c r="A63" s="286">
        <v>5</v>
      </c>
      <c r="C63" s="286" t="s">
        <v>597</v>
      </c>
      <c r="D63" s="286"/>
      <c r="E63" s="286" t="s">
        <v>610</v>
      </c>
      <c r="F63" s="286">
        <v>26</v>
      </c>
      <c r="G63" s="425">
        <v>81.87</v>
      </c>
      <c r="H63" s="425">
        <v>2.94</v>
      </c>
      <c r="J63" s="289"/>
      <c r="K63" s="289"/>
      <c r="L63" s="291"/>
      <c r="M63" s="291"/>
      <c r="N63" s="300"/>
      <c r="O63" s="296"/>
      <c r="P63" s="294"/>
      <c r="Q63" s="294"/>
      <c r="R63" s="295"/>
      <c r="S63" s="302">
        <f t="shared" si="1"/>
        <v>0</v>
      </c>
      <c r="T63" s="302"/>
      <c r="U63" s="303"/>
      <c r="V63" s="305">
        <f t="shared" si="3"/>
        <v>0</v>
      </c>
      <c r="W63" s="305" t="str">
        <f t="shared" si="0"/>
        <v xml:space="preserve"> </v>
      </c>
      <c r="X63" s="288"/>
    </row>
    <row r="64" spans="1:24">
      <c r="A64" s="286">
        <v>5</v>
      </c>
      <c r="C64" s="286" t="s">
        <v>597</v>
      </c>
      <c r="D64" s="286"/>
      <c r="E64" s="286" t="s">
        <v>624</v>
      </c>
      <c r="F64" s="286">
        <v>26</v>
      </c>
      <c r="G64" s="425">
        <v>61.25</v>
      </c>
      <c r="H64" s="425">
        <v>0</v>
      </c>
      <c r="J64" s="289"/>
      <c r="K64" s="289"/>
      <c r="L64" s="291"/>
      <c r="M64" s="291"/>
      <c r="N64" s="300"/>
      <c r="O64" s="296"/>
      <c r="P64" s="294"/>
      <c r="Q64" s="294"/>
      <c r="R64" s="295"/>
      <c r="S64" s="302">
        <f t="shared" si="1"/>
        <v>0</v>
      </c>
      <c r="T64" s="302"/>
      <c r="U64" s="303"/>
      <c r="V64" s="305">
        <f t="shared" si="3"/>
        <v>61.25</v>
      </c>
      <c r="W64" s="305">
        <f t="shared" si="0"/>
        <v>15.312500000000002</v>
      </c>
      <c r="X64" s="288"/>
    </row>
    <row r="65" spans="1:24">
      <c r="A65" s="286">
        <v>6</v>
      </c>
      <c r="C65" s="286" t="s">
        <v>639</v>
      </c>
      <c r="D65" s="286"/>
      <c r="E65" s="286" t="s">
        <v>598</v>
      </c>
      <c r="F65" s="286">
        <f>IF(VLOOKUP(A65,'WP-5 Payroll Data'!$K$11:$O$151,3,FALSE)&gt;26,26,VLOOKUP(A65,'WP-5 Payroll Data'!$K$11:$O$151,3,FALSE))</f>
        <v>26</v>
      </c>
      <c r="G65" s="425">
        <v>5982.0600000000013</v>
      </c>
      <c r="H65" s="425">
        <v>208</v>
      </c>
      <c r="J65" s="289">
        <f>VLOOKUP(A65,'WP-5 Payroll Data'!$K$11:$O$151,4,FALSE)</f>
        <v>5982.0600000000013</v>
      </c>
      <c r="K65" s="289">
        <f>VLOOKUP(A65,'WP-5 Payroll Data'!$K$11:$O$151,5,FALSE)</f>
        <v>208</v>
      </c>
      <c r="L65" s="289">
        <f>J65/K65</f>
        <v>28.759903846153854</v>
      </c>
      <c r="M65" s="289"/>
      <c r="N65" s="300">
        <f>IF((K65/F65)*26&gt;1500,2080,IF((K65/F65)*26&gt;300,520,IF((K65/F65)*26&gt;100,260,K65)))</f>
        <v>260</v>
      </c>
      <c r="O65" s="296">
        <f>N65*L65</f>
        <v>7477.5750000000016</v>
      </c>
      <c r="P65" s="294"/>
      <c r="Q65" s="294">
        <f>O65*0.03</f>
        <v>224.32725000000005</v>
      </c>
      <c r="R65" s="295"/>
      <c r="S65" s="302">
        <f t="shared" si="1"/>
        <v>0</v>
      </c>
      <c r="T65" s="302"/>
      <c r="U65" s="303"/>
      <c r="V65" s="305">
        <f t="shared" si="3"/>
        <v>0</v>
      </c>
      <c r="W65" s="305" t="str">
        <f t="shared" si="0"/>
        <v xml:space="preserve"> </v>
      </c>
      <c r="X65" s="288"/>
    </row>
    <row r="66" spans="1:24">
      <c r="A66" s="286">
        <v>6</v>
      </c>
      <c r="C66" s="286" t="s">
        <v>639</v>
      </c>
      <c r="D66" s="286"/>
      <c r="E66" s="286" t="s">
        <v>612</v>
      </c>
      <c r="F66" s="286">
        <v>26</v>
      </c>
      <c r="G66" s="425">
        <v>10</v>
      </c>
      <c r="H66" s="425">
        <v>0</v>
      </c>
      <c r="J66" s="289"/>
      <c r="K66" s="289"/>
      <c r="L66" s="291"/>
      <c r="M66" s="291"/>
      <c r="N66" s="300"/>
      <c r="O66" s="296"/>
      <c r="P66" s="294"/>
      <c r="Q66" s="294"/>
      <c r="R66" s="295"/>
      <c r="S66" s="302">
        <f t="shared" si="1"/>
        <v>0</v>
      </c>
      <c r="T66" s="302"/>
      <c r="U66" s="303"/>
      <c r="V66" s="305">
        <f t="shared" si="3"/>
        <v>10</v>
      </c>
      <c r="W66" s="305" t="str">
        <f t="shared" si="0"/>
        <v xml:space="preserve"> </v>
      </c>
      <c r="X66" s="288"/>
    </row>
    <row r="67" spans="1:24">
      <c r="A67" s="286">
        <v>7</v>
      </c>
      <c r="C67" s="286" t="s">
        <v>597</v>
      </c>
      <c r="D67" s="286"/>
      <c r="E67" s="286" t="s">
        <v>598</v>
      </c>
      <c r="F67" s="286">
        <f>IF(VLOOKUP(A67,'WP-5 Payroll Data'!$K$11:$O$151,3,FALSE)&gt;26,26,VLOOKUP(A67,'WP-5 Payroll Data'!$K$11:$O$151,3,FALSE))</f>
        <v>26</v>
      </c>
      <c r="G67" s="425">
        <v>11810.480000000005</v>
      </c>
      <c r="H67" s="425">
        <v>467.39</v>
      </c>
      <c r="J67" s="289">
        <f>VLOOKUP(A67,'WP-5 Payroll Data'!$K$11:$O$151,4,FALSE)</f>
        <v>13031.280000000006</v>
      </c>
      <c r="K67" s="289">
        <f>VLOOKUP(A67,'WP-5 Payroll Data'!$K$11:$O$151,5,FALSE)</f>
        <v>516.03</v>
      </c>
      <c r="L67" s="289">
        <f>J67/K67</f>
        <v>25.252950409859906</v>
      </c>
      <c r="M67" s="289"/>
      <c r="N67" s="300">
        <f>IF((K67/F67)*26&gt;1500,2080,IF((K67/F67)*26&gt;300,520,IF((K67/F67)*26&gt;100,260,K67)))</f>
        <v>520</v>
      </c>
      <c r="O67" s="296">
        <f>N67*L67</f>
        <v>13131.534213127152</v>
      </c>
      <c r="P67" s="294"/>
      <c r="Q67" s="294">
        <f>O67*0.03</f>
        <v>393.94602639381452</v>
      </c>
      <c r="R67" s="295"/>
      <c r="S67" s="302">
        <f t="shared" si="1"/>
        <v>0</v>
      </c>
      <c r="T67" s="302"/>
      <c r="U67" s="303"/>
      <c r="V67" s="305">
        <f t="shared" si="3"/>
        <v>0</v>
      </c>
      <c r="W67" s="305" t="str">
        <f t="shared" si="0"/>
        <v xml:space="preserve"> </v>
      </c>
      <c r="X67" s="288"/>
    </row>
    <row r="68" spans="1:24">
      <c r="A68" s="286">
        <v>7</v>
      </c>
      <c r="C68" s="286" t="s">
        <v>597</v>
      </c>
      <c r="D68" s="286"/>
      <c r="E68" s="286" t="s">
        <v>599</v>
      </c>
      <c r="F68" s="286">
        <v>26</v>
      </c>
      <c r="G68" s="425">
        <v>267.22999999999996</v>
      </c>
      <c r="H68" s="425">
        <v>7.11</v>
      </c>
      <c r="J68" s="289"/>
      <c r="K68" s="289"/>
      <c r="L68" s="291"/>
      <c r="M68" s="291"/>
      <c r="N68" s="300"/>
      <c r="O68" s="296"/>
      <c r="P68" s="294"/>
      <c r="Q68" s="294"/>
      <c r="R68" s="295"/>
      <c r="S68" s="302">
        <f t="shared" si="1"/>
        <v>267.22999999999996</v>
      </c>
      <c r="T68" s="302">
        <f t="shared" si="2"/>
        <v>8.0168999999999979</v>
      </c>
      <c r="U68" s="303"/>
      <c r="V68" s="305">
        <f t="shared" si="3"/>
        <v>0</v>
      </c>
      <c r="W68" s="305" t="str">
        <f t="shared" si="0"/>
        <v xml:space="preserve"> </v>
      </c>
      <c r="X68" s="288"/>
    </row>
    <row r="69" spans="1:24">
      <c r="A69" s="286">
        <v>7</v>
      </c>
      <c r="C69" s="286" t="s">
        <v>597</v>
      </c>
      <c r="D69" s="286"/>
      <c r="E69" s="286" t="s">
        <v>605</v>
      </c>
      <c r="F69" s="286">
        <v>26</v>
      </c>
      <c r="G69" s="425">
        <v>695.76</v>
      </c>
      <c r="H69" s="425">
        <v>27.88</v>
      </c>
      <c r="J69" s="289"/>
      <c r="K69" s="289"/>
      <c r="L69" s="291"/>
      <c r="M69" s="291"/>
      <c r="N69" s="300"/>
      <c r="O69" s="296"/>
      <c r="P69" s="294"/>
      <c r="Q69" s="294"/>
      <c r="R69" s="295"/>
      <c r="S69" s="302">
        <f t="shared" si="1"/>
        <v>0</v>
      </c>
      <c r="T69" s="302"/>
      <c r="U69" s="303"/>
      <c r="V69" s="305">
        <f t="shared" si="3"/>
        <v>0</v>
      </c>
      <c r="W69" s="305" t="str">
        <f t="shared" si="0"/>
        <v xml:space="preserve"> </v>
      </c>
      <c r="X69" s="288"/>
    </row>
    <row r="70" spans="1:24">
      <c r="A70" s="286">
        <v>7</v>
      </c>
      <c r="C70" s="286" t="s">
        <v>597</v>
      </c>
      <c r="D70" s="286"/>
      <c r="E70" s="286" t="s">
        <v>608</v>
      </c>
      <c r="F70" s="286">
        <v>26</v>
      </c>
      <c r="G70" s="425">
        <v>371.04</v>
      </c>
      <c r="H70" s="425">
        <v>14.760000000000002</v>
      </c>
      <c r="J70" s="289"/>
      <c r="K70" s="289"/>
      <c r="L70" s="291"/>
      <c r="M70" s="291"/>
      <c r="N70" s="300"/>
      <c r="O70" s="296"/>
      <c r="P70" s="294"/>
      <c r="Q70" s="294"/>
      <c r="R70" s="295"/>
      <c r="S70" s="302">
        <f t="shared" si="1"/>
        <v>0</v>
      </c>
      <c r="T70" s="302"/>
      <c r="U70" s="303"/>
      <c r="V70" s="305">
        <f t="shared" si="3"/>
        <v>0</v>
      </c>
      <c r="W70" s="305" t="str">
        <f t="shared" si="0"/>
        <v xml:space="preserve"> </v>
      </c>
      <c r="X70" s="288"/>
    </row>
    <row r="71" spans="1:24">
      <c r="A71" s="286">
        <v>7</v>
      </c>
      <c r="C71" s="286" t="s">
        <v>597</v>
      </c>
      <c r="D71" s="286"/>
      <c r="E71" s="286" t="s">
        <v>602</v>
      </c>
      <c r="F71" s="286">
        <v>26</v>
      </c>
      <c r="G71" s="425">
        <v>100.62</v>
      </c>
      <c r="H71" s="425">
        <v>4</v>
      </c>
      <c r="J71" s="289"/>
      <c r="K71" s="289"/>
      <c r="L71" s="291"/>
      <c r="M71" s="291"/>
      <c r="N71" s="300"/>
      <c r="O71" s="296"/>
      <c r="P71" s="294"/>
      <c r="Q71" s="294"/>
      <c r="R71" s="295"/>
      <c r="S71" s="302">
        <f t="shared" si="1"/>
        <v>0</v>
      </c>
      <c r="T71" s="302"/>
      <c r="U71" s="303"/>
      <c r="V71" s="305">
        <f t="shared" si="3"/>
        <v>100.62</v>
      </c>
      <c r="W71" s="305" t="str">
        <f t="shared" si="0"/>
        <v xml:space="preserve"> </v>
      </c>
      <c r="X71" s="288"/>
    </row>
    <row r="72" spans="1:24">
      <c r="A72" s="286">
        <v>7</v>
      </c>
      <c r="C72" s="286" t="s">
        <v>597</v>
      </c>
      <c r="D72" s="286"/>
      <c r="E72" s="286" t="s">
        <v>610</v>
      </c>
      <c r="F72" s="286">
        <v>26</v>
      </c>
      <c r="G72" s="425">
        <v>154</v>
      </c>
      <c r="H72" s="425">
        <v>6</v>
      </c>
      <c r="J72" s="289"/>
      <c r="K72" s="289"/>
      <c r="L72" s="291"/>
      <c r="M72" s="291"/>
      <c r="N72" s="300"/>
      <c r="O72" s="296"/>
      <c r="P72" s="294"/>
      <c r="Q72" s="294"/>
      <c r="R72" s="295"/>
      <c r="S72" s="302">
        <f t="shared" si="1"/>
        <v>0</v>
      </c>
      <c r="T72" s="302"/>
      <c r="U72" s="303"/>
      <c r="V72" s="305">
        <f t="shared" si="3"/>
        <v>0</v>
      </c>
      <c r="W72" s="305" t="str">
        <f t="shared" si="0"/>
        <v xml:space="preserve"> </v>
      </c>
      <c r="X72" s="288"/>
    </row>
    <row r="73" spans="1:24">
      <c r="A73" s="286">
        <v>7</v>
      </c>
      <c r="C73" s="286" t="s">
        <v>597</v>
      </c>
      <c r="D73" s="286"/>
      <c r="E73" s="286" t="s">
        <v>624</v>
      </c>
      <c r="F73" s="286">
        <v>26</v>
      </c>
      <c r="G73" s="425">
        <v>225</v>
      </c>
      <c r="H73" s="425">
        <v>0</v>
      </c>
      <c r="J73" s="289"/>
      <c r="K73" s="289"/>
      <c r="L73" s="291"/>
      <c r="M73" s="291"/>
      <c r="N73" s="300"/>
      <c r="O73" s="296"/>
      <c r="P73" s="294"/>
      <c r="Q73" s="294"/>
      <c r="R73" s="295"/>
      <c r="S73" s="302">
        <f t="shared" si="1"/>
        <v>0</v>
      </c>
      <c r="T73" s="302"/>
      <c r="U73" s="303"/>
      <c r="V73" s="305">
        <f t="shared" si="3"/>
        <v>225</v>
      </c>
      <c r="W73" s="305">
        <f t="shared" si="0"/>
        <v>56.25</v>
      </c>
      <c r="X73" s="288"/>
    </row>
    <row r="74" spans="1:24">
      <c r="A74" s="286">
        <v>8</v>
      </c>
      <c r="C74" s="286" t="s">
        <v>597</v>
      </c>
      <c r="D74" s="286" t="s">
        <v>640</v>
      </c>
      <c r="E74" s="286" t="s">
        <v>598</v>
      </c>
      <c r="F74" s="286">
        <f>IF(VLOOKUP(A74,'WP-5 Payroll Data'!$K$11:$O$151,3,FALSE)&gt;26,26,VLOOKUP(A74,'WP-5 Payroll Data'!$K$11:$O$151,3,FALSE))</f>
        <v>26</v>
      </c>
      <c r="G74" s="425">
        <v>45417.609999999993</v>
      </c>
      <c r="H74" s="425">
        <v>1704.5700000000002</v>
      </c>
      <c r="J74" s="289">
        <f>VLOOKUP(A74,'WP-5 Payroll Data'!$K$11:$O$151,4,FALSE)</f>
        <v>55476.73</v>
      </c>
      <c r="K74" s="289">
        <f>VLOOKUP(A74,'WP-5 Payroll Data'!$K$11:$O$151,5,FALSE)</f>
        <v>2082.0000000000005</v>
      </c>
      <c r="L74" s="289">
        <f>J74/K74</f>
        <v>26.645883765609987</v>
      </c>
      <c r="M74" s="289"/>
      <c r="N74" s="300">
        <f>IF((K74/F74)*26&gt;1500,2080,IF((K74/F74)*26&gt;300,520,IF((K74/F74)*26&gt;100,260,K74)))</f>
        <v>2080</v>
      </c>
      <c r="O74" s="296">
        <f>N74*L74</f>
        <v>55423.438232468776</v>
      </c>
      <c r="P74" s="294"/>
      <c r="Q74" s="294">
        <f>O74*0.03</f>
        <v>1662.7031469740632</v>
      </c>
      <c r="R74" s="295"/>
      <c r="S74" s="302">
        <f t="shared" si="1"/>
        <v>0</v>
      </c>
      <c r="T74" s="302"/>
      <c r="U74" s="303"/>
      <c r="V74" s="305">
        <f t="shared" si="3"/>
        <v>0</v>
      </c>
      <c r="W74" s="305" t="str">
        <f t="shared" ref="W74:W137" si="4">IF($E74=$AA$29,-$V74,IF(OR($E74=$AA$18,$E74=$AA$23,$E74=$AA$24,$E74=$AA$26),(($V74/200)*50)," "))</f>
        <v xml:space="preserve"> </v>
      </c>
      <c r="X74" s="288"/>
    </row>
    <row r="75" spans="1:24">
      <c r="A75" s="286">
        <v>8</v>
      </c>
      <c r="C75" s="286" t="s">
        <v>597</v>
      </c>
      <c r="D75" s="286" t="s">
        <v>640</v>
      </c>
      <c r="E75" s="286" t="s">
        <v>599</v>
      </c>
      <c r="F75" s="286">
        <v>26</v>
      </c>
      <c r="G75" s="425">
        <v>761.57999999999993</v>
      </c>
      <c r="H75" s="425">
        <v>19.059999999999999</v>
      </c>
      <c r="J75" s="289"/>
      <c r="K75" s="291"/>
      <c r="L75" s="291"/>
      <c r="M75" s="291"/>
      <c r="N75" s="300"/>
      <c r="O75" s="296"/>
      <c r="P75" s="294"/>
      <c r="Q75" s="294"/>
      <c r="R75" s="295"/>
      <c r="S75" s="302">
        <f t="shared" ref="S75:S138" si="5">IF(OR($E75=$Y$10,$E75=$Y$11,$E75=$Y$12,$E75=$Y$13),$G75,0)</f>
        <v>761.57999999999993</v>
      </c>
      <c r="T75" s="302">
        <f t="shared" ref="T75:T131" si="6">S75*0.03</f>
        <v>22.847399999999997</v>
      </c>
      <c r="U75" s="303"/>
      <c r="V75" s="305">
        <f t="shared" ref="V75:V138" si="7">IF(OR($E75=$AA$10,$E75=$AA$11,$E75=$AA$12,$E75=$AA$13,$E75=$AA$14,$E75=$AA$15,$E75=$AA$16,$E75=$AA$17,$E75=$AA$18,$E75=$AA$19,$E75=$AA$20,$E75=$AA$21,$E75=$AA$22,$E75=$AA$23,$E75=$AA$24,$E75=$AA$25,$E75=$AA$26,$E75=$AA$27,$E75=$AA$28,$E75=$AA$29),G75,0)</f>
        <v>0</v>
      </c>
      <c r="W75" s="305" t="str">
        <f t="shared" si="4"/>
        <v xml:space="preserve"> </v>
      </c>
      <c r="X75" s="288"/>
    </row>
    <row r="76" spans="1:24">
      <c r="A76" s="286">
        <v>8</v>
      </c>
      <c r="C76" s="286" t="s">
        <v>597</v>
      </c>
      <c r="D76" s="286" t="s">
        <v>640</v>
      </c>
      <c r="E76" s="286" t="s">
        <v>605</v>
      </c>
      <c r="F76" s="286">
        <v>26</v>
      </c>
      <c r="G76" s="425">
        <v>6366.19</v>
      </c>
      <c r="H76" s="425">
        <v>238.50000000000003</v>
      </c>
      <c r="J76" s="289"/>
      <c r="K76" s="289"/>
      <c r="L76" s="291"/>
      <c r="M76" s="291"/>
      <c r="N76" s="300"/>
      <c r="O76" s="296"/>
      <c r="P76" s="294"/>
      <c r="Q76" s="294"/>
      <c r="R76" s="295"/>
      <c r="S76" s="302">
        <f t="shared" si="5"/>
        <v>0</v>
      </c>
      <c r="T76" s="302"/>
      <c r="U76" s="303"/>
      <c r="V76" s="305">
        <f t="shared" si="7"/>
        <v>0</v>
      </c>
      <c r="W76" s="305" t="str">
        <f t="shared" si="4"/>
        <v xml:space="preserve"> </v>
      </c>
      <c r="X76" s="288"/>
    </row>
    <row r="77" spans="1:24">
      <c r="A77" s="286">
        <v>8</v>
      </c>
      <c r="C77" s="286" t="s">
        <v>597</v>
      </c>
      <c r="D77" s="286" t="s">
        <v>640</v>
      </c>
      <c r="E77" s="286" t="s">
        <v>627</v>
      </c>
      <c r="F77" s="286">
        <v>26</v>
      </c>
      <c r="G77" s="425">
        <v>40.04</v>
      </c>
      <c r="H77" s="425">
        <v>1.5</v>
      </c>
      <c r="J77" s="289"/>
      <c r="K77" s="289"/>
      <c r="L77" s="291"/>
      <c r="M77" s="291"/>
      <c r="N77" s="300"/>
      <c r="O77" s="296"/>
      <c r="P77" s="294"/>
      <c r="Q77" s="294"/>
      <c r="R77" s="295"/>
      <c r="S77" s="302">
        <f t="shared" si="5"/>
        <v>0</v>
      </c>
      <c r="T77" s="302"/>
      <c r="U77" s="303"/>
      <c r="V77" s="305">
        <f t="shared" si="7"/>
        <v>0</v>
      </c>
      <c r="W77" s="305" t="str">
        <f t="shared" si="4"/>
        <v xml:space="preserve"> </v>
      </c>
      <c r="X77" s="288"/>
    </row>
    <row r="78" spans="1:24">
      <c r="A78" s="286">
        <v>8</v>
      </c>
      <c r="C78" s="286" t="s">
        <v>597</v>
      </c>
      <c r="D78" s="286" t="s">
        <v>640</v>
      </c>
      <c r="E78" s="286" t="s">
        <v>608</v>
      </c>
      <c r="F78" s="286">
        <v>26</v>
      </c>
      <c r="G78" s="425">
        <v>2998.6600000000003</v>
      </c>
      <c r="H78" s="425">
        <v>112.34</v>
      </c>
      <c r="J78" s="289"/>
      <c r="K78" s="289"/>
      <c r="L78" s="291"/>
      <c r="M78" s="291"/>
      <c r="N78" s="300"/>
      <c r="O78" s="296"/>
      <c r="P78" s="294"/>
      <c r="Q78" s="294"/>
      <c r="R78" s="295"/>
      <c r="S78" s="302">
        <f t="shared" si="5"/>
        <v>0</v>
      </c>
      <c r="T78" s="302"/>
      <c r="U78" s="303"/>
      <c r="V78" s="305">
        <f t="shared" si="7"/>
        <v>0</v>
      </c>
      <c r="W78" s="305" t="str">
        <f t="shared" si="4"/>
        <v xml:space="preserve"> </v>
      </c>
      <c r="X78" s="288"/>
    </row>
    <row r="79" spans="1:24">
      <c r="A79" s="286">
        <v>8</v>
      </c>
      <c r="C79" s="286" t="s">
        <v>597</v>
      </c>
      <c r="D79" s="286" t="s">
        <v>640</v>
      </c>
      <c r="E79" s="286" t="s">
        <v>610</v>
      </c>
      <c r="F79" s="286">
        <v>26</v>
      </c>
      <c r="G79" s="425">
        <v>640.89</v>
      </c>
      <c r="H79" s="425">
        <v>24.009999999999998</v>
      </c>
      <c r="J79" s="289"/>
      <c r="K79" s="289"/>
      <c r="L79" s="291"/>
      <c r="M79" s="291"/>
      <c r="N79" s="300"/>
      <c r="O79" s="296"/>
      <c r="P79" s="294"/>
      <c r="Q79" s="294"/>
      <c r="R79" s="295"/>
      <c r="S79" s="302">
        <f t="shared" si="5"/>
        <v>0</v>
      </c>
      <c r="T79" s="302"/>
      <c r="U79" s="303"/>
      <c r="V79" s="305">
        <f t="shared" si="7"/>
        <v>0</v>
      </c>
      <c r="W79" s="305" t="str">
        <f t="shared" si="4"/>
        <v xml:space="preserve"> </v>
      </c>
      <c r="X79" s="288"/>
    </row>
    <row r="80" spans="1:24">
      <c r="A80" s="286">
        <v>8</v>
      </c>
      <c r="C80" s="286" t="s">
        <v>597</v>
      </c>
      <c r="D80" s="286" t="s">
        <v>640</v>
      </c>
      <c r="E80" s="286" t="s">
        <v>641</v>
      </c>
      <c r="F80" s="286">
        <v>26</v>
      </c>
      <c r="G80" s="425">
        <v>0</v>
      </c>
      <c r="H80" s="425">
        <v>0.57999999999999996</v>
      </c>
      <c r="J80" s="289"/>
      <c r="K80" s="289"/>
      <c r="L80" s="291"/>
      <c r="M80" s="291"/>
      <c r="N80" s="300"/>
      <c r="O80" s="296"/>
      <c r="P80" s="294"/>
      <c r="Q80" s="294"/>
      <c r="R80" s="295"/>
      <c r="S80" s="302">
        <f t="shared" si="5"/>
        <v>0</v>
      </c>
      <c r="T80" s="302"/>
      <c r="U80" s="303"/>
      <c r="V80" s="305">
        <f t="shared" si="7"/>
        <v>0</v>
      </c>
      <c r="W80" s="305" t="str">
        <f t="shared" si="4"/>
        <v xml:space="preserve"> </v>
      </c>
      <c r="X80" s="288"/>
    </row>
    <row r="81" spans="1:24">
      <c r="A81" s="286">
        <v>8</v>
      </c>
      <c r="C81" s="286" t="s">
        <v>597</v>
      </c>
      <c r="D81" s="286" t="s">
        <v>640</v>
      </c>
      <c r="E81" s="286" t="s">
        <v>642</v>
      </c>
      <c r="F81" s="286">
        <v>26</v>
      </c>
      <c r="G81" s="425">
        <v>15.48</v>
      </c>
      <c r="H81" s="425">
        <v>0.57999999999999996</v>
      </c>
      <c r="J81" s="289"/>
      <c r="K81" s="289"/>
      <c r="L81" s="291"/>
      <c r="M81" s="291"/>
      <c r="N81" s="300"/>
      <c r="O81" s="296"/>
      <c r="P81" s="294"/>
      <c r="Q81" s="294"/>
      <c r="R81" s="295"/>
      <c r="S81" s="302">
        <f t="shared" si="5"/>
        <v>0</v>
      </c>
      <c r="T81" s="302"/>
      <c r="U81" s="303"/>
      <c r="V81" s="305">
        <f t="shared" si="7"/>
        <v>0</v>
      </c>
      <c r="W81" s="305" t="str">
        <f t="shared" si="4"/>
        <v xml:space="preserve"> </v>
      </c>
      <c r="X81" s="288"/>
    </row>
    <row r="82" spans="1:24">
      <c r="A82" s="286">
        <v>8</v>
      </c>
      <c r="C82" s="286" t="s">
        <v>597</v>
      </c>
      <c r="D82" s="286" t="s">
        <v>640</v>
      </c>
      <c r="E82" s="286" t="s">
        <v>624</v>
      </c>
      <c r="F82" s="286">
        <v>26</v>
      </c>
      <c r="G82" s="425">
        <v>3000</v>
      </c>
      <c r="H82" s="425">
        <v>0</v>
      </c>
      <c r="J82" s="289"/>
      <c r="K82" s="289"/>
      <c r="L82" s="291"/>
      <c r="M82" s="291"/>
      <c r="N82" s="300"/>
      <c r="O82" s="296"/>
      <c r="P82" s="294"/>
      <c r="Q82" s="294"/>
      <c r="R82" s="295"/>
      <c r="S82" s="302">
        <f t="shared" si="5"/>
        <v>0</v>
      </c>
      <c r="T82" s="302"/>
      <c r="U82" s="303"/>
      <c r="V82" s="305">
        <f t="shared" si="7"/>
        <v>3000</v>
      </c>
      <c r="W82" s="305">
        <f t="shared" si="4"/>
        <v>750</v>
      </c>
      <c r="X82" s="288"/>
    </row>
    <row r="83" spans="1:24">
      <c r="A83" s="286">
        <v>8</v>
      </c>
      <c r="C83" s="286" t="s">
        <v>597</v>
      </c>
      <c r="D83" s="286" t="s">
        <v>640</v>
      </c>
      <c r="E83" s="286" t="s">
        <v>643</v>
      </c>
      <c r="F83" s="286">
        <v>26</v>
      </c>
      <c r="G83" s="425">
        <v>-2.14</v>
      </c>
      <c r="H83" s="425">
        <v>-0.08</v>
      </c>
      <c r="J83" s="289"/>
      <c r="K83" s="289"/>
      <c r="L83" s="291"/>
      <c r="M83" s="291"/>
      <c r="N83" s="300"/>
      <c r="O83" s="296"/>
      <c r="P83" s="294"/>
      <c r="Q83" s="294"/>
      <c r="R83" s="295"/>
      <c r="S83" s="302">
        <f t="shared" si="5"/>
        <v>0</v>
      </c>
      <c r="T83" s="302"/>
      <c r="U83" s="303"/>
      <c r="V83" s="305">
        <f t="shared" si="7"/>
        <v>0</v>
      </c>
      <c r="W83" s="305" t="str">
        <f t="shared" si="4"/>
        <v xml:space="preserve"> </v>
      </c>
      <c r="X83" s="288"/>
    </row>
    <row r="84" spans="1:24">
      <c r="A84" s="286">
        <v>9</v>
      </c>
      <c r="C84" s="286" t="s">
        <v>597</v>
      </c>
      <c r="D84" s="286"/>
      <c r="E84" s="286" t="s">
        <v>598</v>
      </c>
      <c r="F84" s="286">
        <f>IF(VLOOKUP(A84,'WP-5 Payroll Data'!$K$11:$O$151,3,FALSE)&gt;26,26,VLOOKUP(A84,'WP-5 Payroll Data'!$K$11:$O$151,3,FALSE))</f>
        <v>26</v>
      </c>
      <c r="G84" s="425">
        <v>8935.2900000000009</v>
      </c>
      <c r="H84" s="425">
        <v>322.39999999999992</v>
      </c>
      <c r="J84" s="289">
        <f>VLOOKUP(A84,'WP-5 Payroll Data'!$K$11:$O$151,4,FALSE)</f>
        <v>9364.8200000000015</v>
      </c>
      <c r="K84" s="289">
        <f>VLOOKUP(A84,'WP-5 Payroll Data'!$K$11:$O$151,5,FALSE)</f>
        <v>337.99999999999989</v>
      </c>
      <c r="L84" s="289">
        <f>J84/K84</f>
        <v>27.706568047337292</v>
      </c>
      <c r="M84" s="289"/>
      <c r="N84" s="300">
        <f>IF((K84/F84)*26&gt;1500,2080,IF((K84/F84)*26&gt;300,520,IF((K84/F84)*26&gt;100,260,K84)))</f>
        <v>520</v>
      </c>
      <c r="O84" s="296">
        <f>N84*L84</f>
        <v>14407.415384615391</v>
      </c>
      <c r="P84" s="294"/>
      <c r="Q84" s="294">
        <f>O84*0.03</f>
        <v>432.22246153846174</v>
      </c>
      <c r="R84" s="295"/>
      <c r="S84" s="302">
        <f t="shared" si="5"/>
        <v>0</v>
      </c>
      <c r="T84" s="302"/>
      <c r="U84" s="303"/>
      <c r="V84" s="305">
        <f t="shared" si="7"/>
        <v>0</v>
      </c>
      <c r="W84" s="305" t="str">
        <f t="shared" si="4"/>
        <v xml:space="preserve"> </v>
      </c>
      <c r="X84" s="288"/>
    </row>
    <row r="85" spans="1:24">
      <c r="A85" s="286">
        <v>9</v>
      </c>
      <c r="C85" s="286" t="s">
        <v>597</v>
      </c>
      <c r="D85" s="286"/>
      <c r="E85" s="286" t="s">
        <v>605</v>
      </c>
      <c r="F85" s="286">
        <v>26</v>
      </c>
      <c r="G85" s="425">
        <v>325.81</v>
      </c>
      <c r="H85" s="425">
        <v>11.700000000000001</v>
      </c>
      <c r="J85" s="289"/>
      <c r="K85" s="289"/>
      <c r="L85" s="291"/>
      <c r="M85" s="291"/>
      <c r="N85" s="300"/>
      <c r="O85" s="296"/>
      <c r="P85" s="294"/>
      <c r="Q85" s="294"/>
      <c r="R85" s="295"/>
      <c r="S85" s="302">
        <f t="shared" si="5"/>
        <v>0</v>
      </c>
      <c r="T85" s="302"/>
      <c r="U85" s="303"/>
      <c r="V85" s="305">
        <f t="shared" si="7"/>
        <v>0</v>
      </c>
      <c r="W85" s="305" t="str">
        <f t="shared" si="4"/>
        <v xml:space="preserve"> </v>
      </c>
      <c r="X85" s="288"/>
    </row>
    <row r="86" spans="1:24">
      <c r="A86" s="286">
        <v>9</v>
      </c>
      <c r="C86" s="286" t="s">
        <v>597</v>
      </c>
      <c r="D86" s="286"/>
      <c r="E86" s="286" t="s">
        <v>610</v>
      </c>
      <c r="F86" s="286">
        <v>26</v>
      </c>
      <c r="G86" s="425">
        <v>108.60000000000001</v>
      </c>
      <c r="H86" s="425">
        <v>3.9000000000000004</v>
      </c>
      <c r="J86" s="289"/>
      <c r="K86" s="289"/>
      <c r="L86" s="291"/>
      <c r="M86" s="291"/>
      <c r="N86" s="300"/>
      <c r="O86" s="296"/>
      <c r="P86" s="294"/>
      <c r="Q86" s="294"/>
      <c r="R86" s="295"/>
      <c r="S86" s="302">
        <f t="shared" si="5"/>
        <v>0</v>
      </c>
      <c r="T86" s="302"/>
      <c r="U86" s="303"/>
      <c r="V86" s="305">
        <f t="shared" si="7"/>
        <v>0</v>
      </c>
      <c r="W86" s="305" t="str">
        <f t="shared" si="4"/>
        <v xml:space="preserve"> </v>
      </c>
      <c r="X86" s="288"/>
    </row>
    <row r="87" spans="1:24">
      <c r="A87" s="286">
        <v>9</v>
      </c>
      <c r="C87" s="286" t="s">
        <v>597</v>
      </c>
      <c r="D87" s="286"/>
      <c r="E87" s="286" t="s">
        <v>624</v>
      </c>
      <c r="F87" s="286">
        <v>26</v>
      </c>
      <c r="G87" s="425">
        <v>16.25</v>
      </c>
      <c r="H87" s="425">
        <v>0</v>
      </c>
      <c r="J87" s="289"/>
      <c r="K87" s="289"/>
      <c r="L87" s="291"/>
      <c r="M87" s="291"/>
      <c r="N87" s="300"/>
      <c r="O87" s="296"/>
      <c r="P87" s="294"/>
      <c r="Q87" s="294"/>
      <c r="R87" s="295"/>
      <c r="S87" s="302">
        <f t="shared" si="5"/>
        <v>0</v>
      </c>
      <c r="T87" s="302"/>
      <c r="U87" s="303"/>
      <c r="V87" s="305">
        <f t="shared" si="7"/>
        <v>16.25</v>
      </c>
      <c r="W87" s="305">
        <f t="shared" si="4"/>
        <v>4.0625</v>
      </c>
      <c r="X87" s="288"/>
    </row>
    <row r="88" spans="1:24">
      <c r="A88" s="286">
        <v>9</v>
      </c>
      <c r="C88" s="286" t="s">
        <v>597</v>
      </c>
      <c r="D88" s="286"/>
      <c r="E88" s="286" t="s">
        <v>636</v>
      </c>
      <c r="F88" s="286">
        <v>26</v>
      </c>
      <c r="G88" s="425">
        <v>-4.88</v>
      </c>
      <c r="H88" s="425">
        <v>0</v>
      </c>
      <c r="J88" s="289"/>
      <c r="K88" s="289"/>
      <c r="L88" s="291"/>
      <c r="M88" s="291"/>
      <c r="N88" s="300"/>
      <c r="O88" s="296"/>
      <c r="P88" s="294"/>
      <c r="Q88" s="294"/>
      <c r="R88" s="295"/>
      <c r="S88" s="302">
        <f t="shared" si="5"/>
        <v>0</v>
      </c>
      <c r="T88" s="302"/>
      <c r="U88" s="303"/>
      <c r="V88" s="305">
        <f t="shared" si="7"/>
        <v>0</v>
      </c>
      <c r="W88" s="305" t="str">
        <f t="shared" si="4"/>
        <v xml:space="preserve"> </v>
      </c>
      <c r="X88" s="288"/>
    </row>
    <row r="89" spans="1:24">
      <c r="A89" s="286">
        <v>10</v>
      </c>
      <c r="C89" s="286" t="s">
        <v>639</v>
      </c>
      <c r="D89" s="286"/>
      <c r="E89" s="286" t="s">
        <v>598</v>
      </c>
      <c r="F89" s="286">
        <f>IF(VLOOKUP(A89,'WP-5 Payroll Data'!$K$11:$O$151,3,FALSE)&gt;26,26,VLOOKUP(A89,'WP-5 Payroll Data'!$K$11:$O$151,3,FALSE))</f>
        <v>26</v>
      </c>
      <c r="G89" s="425">
        <v>667.99000000000024</v>
      </c>
      <c r="H89" s="425">
        <v>88.40000000000002</v>
      </c>
      <c r="J89" s="289">
        <f>VLOOKUP(A89,'WP-5 Payroll Data'!$K$11:$O$151,4,FALSE)</f>
        <v>667.99000000000024</v>
      </c>
      <c r="K89" s="289">
        <f>VLOOKUP(A89,'WP-5 Payroll Data'!$K$11:$O$151,5,FALSE)</f>
        <v>88.40000000000002</v>
      </c>
      <c r="L89" s="289">
        <f>J89/K89</f>
        <v>7.5564479638009061</v>
      </c>
      <c r="M89" s="289"/>
      <c r="N89" s="300">
        <f>IF((K89/F89)*26&gt;1500,2080,IF((K89/F89)*26&gt;300,520,IF((K89/F89)*26&gt;100,260,K89)))</f>
        <v>88.40000000000002</v>
      </c>
      <c r="O89" s="296">
        <f>N89*L89</f>
        <v>667.99000000000024</v>
      </c>
      <c r="P89" s="294"/>
      <c r="Q89" s="294">
        <f>O89*0.03</f>
        <v>20.039700000000007</v>
      </c>
      <c r="R89" s="295"/>
      <c r="S89" s="302">
        <f t="shared" si="5"/>
        <v>0</v>
      </c>
      <c r="T89" s="302"/>
      <c r="U89" s="303"/>
      <c r="V89" s="305">
        <f t="shared" si="7"/>
        <v>0</v>
      </c>
      <c r="W89" s="305" t="str">
        <f t="shared" si="4"/>
        <v xml:space="preserve"> </v>
      </c>
      <c r="X89" s="288"/>
    </row>
    <row r="90" spans="1:24">
      <c r="A90" s="286">
        <v>11</v>
      </c>
      <c r="C90" s="286" t="s">
        <v>597</v>
      </c>
      <c r="D90" s="286"/>
      <c r="E90" s="286" t="s">
        <v>598</v>
      </c>
      <c r="F90" s="286">
        <f>IF(VLOOKUP(A90,'WP-5 Payroll Data'!$K$11:$O$151,3,FALSE)&gt;26,26,VLOOKUP(A90,'WP-5 Payroll Data'!$K$11:$O$151,3,FALSE))</f>
        <v>14</v>
      </c>
      <c r="G90" s="425">
        <v>2388.6900000000005</v>
      </c>
      <c r="H90" s="425">
        <v>108</v>
      </c>
      <c r="J90" s="289">
        <f>VLOOKUP(A90,'WP-5 Payroll Data'!$K$11:$O$151,4,FALSE)</f>
        <v>2388.6900000000005</v>
      </c>
      <c r="K90" s="289">
        <f>VLOOKUP(A90,'WP-5 Payroll Data'!$K$11:$O$151,5,FALSE)</f>
        <v>108</v>
      </c>
      <c r="L90" s="289">
        <f>J90/K90</f>
        <v>22.117500000000003</v>
      </c>
      <c r="M90" s="289"/>
      <c r="N90" s="300">
        <f>IF((K90/F90)*26&gt;1500,2080,IF((K90/F90)*26&gt;300,520,IF((K90/F90)*26&gt;100,260,K90)))</f>
        <v>260</v>
      </c>
      <c r="O90" s="296">
        <f>N90*L90</f>
        <v>5750.5500000000011</v>
      </c>
      <c r="P90" s="294"/>
      <c r="Q90" s="294">
        <f>O90*0.03</f>
        <v>172.51650000000004</v>
      </c>
      <c r="R90" s="295"/>
      <c r="S90" s="302">
        <f t="shared" si="5"/>
        <v>0</v>
      </c>
      <c r="T90" s="302"/>
      <c r="U90" s="303"/>
      <c r="V90" s="305">
        <f t="shared" si="7"/>
        <v>0</v>
      </c>
      <c r="W90" s="305" t="str">
        <f t="shared" si="4"/>
        <v xml:space="preserve"> </v>
      </c>
      <c r="X90" s="288"/>
    </row>
    <row r="91" spans="1:24">
      <c r="A91" s="286">
        <v>12</v>
      </c>
      <c r="C91" s="286" t="s">
        <v>639</v>
      </c>
      <c r="D91" s="286"/>
      <c r="E91" s="286" t="s">
        <v>598</v>
      </c>
      <c r="F91" s="286">
        <f>IF(VLOOKUP(A91,'WP-5 Payroll Data'!$K$11:$O$151,3,FALSE)&gt;26,26,VLOOKUP(A91,'WP-5 Payroll Data'!$K$11:$O$151,3,FALSE))</f>
        <v>26</v>
      </c>
      <c r="G91" s="425">
        <v>667.99000000000024</v>
      </c>
      <c r="H91" s="425">
        <v>88.40000000000002</v>
      </c>
      <c r="J91" s="289">
        <f>VLOOKUP(A91,'WP-5 Payroll Data'!$K$11:$O$151,4,FALSE)</f>
        <v>667.99000000000024</v>
      </c>
      <c r="K91" s="289">
        <f>VLOOKUP(A91,'WP-5 Payroll Data'!$K$11:$O$151,5,FALSE)</f>
        <v>88.40000000000002</v>
      </c>
      <c r="L91" s="289">
        <f>J91/K91</f>
        <v>7.5564479638009061</v>
      </c>
      <c r="M91" s="289"/>
      <c r="N91" s="300">
        <f>IF((K91/F91)*26&gt;1500,2080,IF((K91/F91)*26&gt;300,520,IF((K91/F91)*26&gt;100,260,K91)))</f>
        <v>88.40000000000002</v>
      </c>
      <c r="O91" s="296">
        <f>N91*L91</f>
        <v>667.99000000000024</v>
      </c>
      <c r="P91" s="294"/>
      <c r="Q91" s="294">
        <f>O91*0.03</f>
        <v>20.039700000000007</v>
      </c>
      <c r="R91" s="295"/>
      <c r="S91" s="302">
        <f t="shared" si="5"/>
        <v>0</v>
      </c>
      <c r="T91" s="302"/>
      <c r="U91" s="303"/>
      <c r="V91" s="305">
        <f t="shared" si="7"/>
        <v>0</v>
      </c>
      <c r="W91" s="305" t="str">
        <f t="shared" si="4"/>
        <v xml:space="preserve"> </v>
      </c>
      <c r="X91" s="288"/>
    </row>
    <row r="92" spans="1:24">
      <c r="A92" s="286">
        <v>13</v>
      </c>
      <c r="C92" s="286" t="s">
        <v>644</v>
      </c>
      <c r="D92" s="286"/>
      <c r="E92" s="286" t="s">
        <v>598</v>
      </c>
      <c r="F92" s="286">
        <f>IF(VLOOKUP(A92,'WP-5 Payroll Data'!$K$11:$O$151,3,FALSE)&gt;26,26,VLOOKUP(A92,'WP-5 Payroll Data'!$K$11:$O$151,3,FALSE))</f>
        <v>26</v>
      </c>
      <c r="G92" s="425">
        <v>5650.3899999999994</v>
      </c>
      <c r="H92" s="425">
        <v>334.2</v>
      </c>
      <c r="J92" s="289">
        <f>VLOOKUP(A92,'WP-5 Payroll Data'!$K$11:$O$151,4,FALSE)</f>
        <v>8689.7199999999993</v>
      </c>
      <c r="K92" s="289">
        <f>VLOOKUP(A92,'WP-5 Payroll Data'!$K$11:$O$151,5,FALSE)</f>
        <v>514.02</v>
      </c>
      <c r="L92" s="289">
        <f>J92/K92</f>
        <v>16.90541224076884</v>
      </c>
      <c r="M92" s="289"/>
      <c r="N92" s="300">
        <f>IF((K92/F92)*26&gt;1500,2080,IF((K92/F92)*26&gt;300,520,IF((K92/F92)*26&gt;100,260,K92)))</f>
        <v>520</v>
      </c>
      <c r="O92" s="296">
        <f>N92*L92</f>
        <v>8790.8143651997962</v>
      </c>
      <c r="P92" s="294"/>
      <c r="Q92" s="294">
        <f>O92*0.03</f>
        <v>263.72443095599385</v>
      </c>
      <c r="R92" s="295"/>
      <c r="S92" s="302">
        <f t="shared" si="5"/>
        <v>0</v>
      </c>
      <c r="T92" s="302"/>
      <c r="U92" s="303"/>
      <c r="V92" s="305">
        <f t="shared" si="7"/>
        <v>0</v>
      </c>
      <c r="W92" s="305" t="str">
        <f t="shared" si="4"/>
        <v xml:space="preserve"> </v>
      </c>
      <c r="X92" s="288"/>
    </row>
    <row r="93" spans="1:24">
      <c r="A93" s="286">
        <v>13</v>
      </c>
      <c r="C93" s="286" t="s">
        <v>644</v>
      </c>
      <c r="D93" s="286"/>
      <c r="E93" s="286" t="s">
        <v>645</v>
      </c>
      <c r="F93" s="286">
        <v>26</v>
      </c>
      <c r="G93" s="425">
        <v>284.04000000000002</v>
      </c>
      <c r="H93" s="425">
        <v>14</v>
      </c>
      <c r="J93" s="289"/>
      <c r="K93" s="289"/>
      <c r="L93" s="291"/>
      <c r="M93" s="291"/>
      <c r="N93" s="300"/>
      <c r="O93" s="296"/>
      <c r="P93" s="294"/>
      <c r="Q93" s="294"/>
      <c r="R93" s="295"/>
      <c r="S93" s="302">
        <f t="shared" si="5"/>
        <v>0</v>
      </c>
      <c r="T93" s="302"/>
      <c r="U93" s="303"/>
      <c r="V93" s="305">
        <f t="shared" si="7"/>
        <v>0</v>
      </c>
      <c r="W93" s="305" t="str">
        <f t="shared" si="4"/>
        <v xml:space="preserve"> </v>
      </c>
      <c r="X93" s="288"/>
    </row>
    <row r="94" spans="1:24">
      <c r="A94" s="286">
        <v>13</v>
      </c>
      <c r="C94" s="286" t="s">
        <v>644</v>
      </c>
      <c r="D94" s="286"/>
      <c r="E94" s="286" t="s">
        <v>599</v>
      </c>
      <c r="F94" s="286">
        <v>26</v>
      </c>
      <c r="G94" s="425">
        <v>716.73</v>
      </c>
      <c r="H94" s="425">
        <v>26.769999999999996</v>
      </c>
      <c r="J94" s="289"/>
      <c r="K94" s="289"/>
      <c r="L94" s="291"/>
      <c r="M94" s="291"/>
      <c r="N94" s="300"/>
      <c r="O94" s="296"/>
      <c r="P94" s="294"/>
      <c r="Q94" s="294"/>
      <c r="R94" s="295"/>
      <c r="S94" s="302">
        <f t="shared" si="5"/>
        <v>716.73</v>
      </c>
      <c r="T94" s="302">
        <f t="shared" si="6"/>
        <v>21.501899999999999</v>
      </c>
      <c r="U94" s="303"/>
      <c r="V94" s="305">
        <f t="shared" si="7"/>
        <v>0</v>
      </c>
      <c r="W94" s="305" t="str">
        <f t="shared" si="4"/>
        <v xml:space="preserve"> </v>
      </c>
      <c r="X94" s="288"/>
    </row>
    <row r="95" spans="1:24">
      <c r="A95" s="286">
        <v>13</v>
      </c>
      <c r="C95" s="286" t="s">
        <v>644</v>
      </c>
      <c r="D95" s="286"/>
      <c r="E95" s="286" t="s">
        <v>605</v>
      </c>
      <c r="F95" s="286">
        <v>26</v>
      </c>
      <c r="G95" s="425">
        <v>682.16</v>
      </c>
      <c r="H95" s="425">
        <v>39.940000000000005</v>
      </c>
      <c r="J95" s="289"/>
      <c r="K95" s="289"/>
      <c r="L95" s="291"/>
      <c r="M95" s="291"/>
      <c r="N95" s="300"/>
      <c r="O95" s="296"/>
      <c r="P95" s="294"/>
      <c r="Q95" s="294"/>
      <c r="R95" s="295"/>
      <c r="S95" s="302">
        <f t="shared" si="5"/>
        <v>0</v>
      </c>
      <c r="T95" s="302"/>
      <c r="U95" s="303"/>
      <c r="V95" s="305">
        <f t="shared" si="7"/>
        <v>0</v>
      </c>
      <c r="W95" s="305" t="str">
        <f t="shared" si="4"/>
        <v xml:space="preserve"> </v>
      </c>
      <c r="X95" s="288"/>
    </row>
    <row r="96" spans="1:24">
      <c r="A96" s="286">
        <v>13</v>
      </c>
      <c r="C96" s="286" t="s">
        <v>644</v>
      </c>
      <c r="D96" s="286"/>
      <c r="E96" s="286" t="s">
        <v>608</v>
      </c>
      <c r="F96" s="286">
        <v>26</v>
      </c>
      <c r="G96" s="425">
        <v>787.68</v>
      </c>
      <c r="H96" s="425">
        <v>47.88</v>
      </c>
      <c r="J96" s="289"/>
      <c r="K96" s="289"/>
      <c r="L96" s="291"/>
      <c r="M96" s="291"/>
      <c r="N96" s="300"/>
      <c r="O96" s="296"/>
      <c r="P96" s="294"/>
      <c r="Q96" s="294"/>
      <c r="R96" s="295"/>
      <c r="S96" s="302">
        <f t="shared" si="5"/>
        <v>0</v>
      </c>
      <c r="T96" s="302"/>
      <c r="U96" s="303"/>
      <c r="V96" s="305">
        <f t="shared" si="7"/>
        <v>0</v>
      </c>
      <c r="W96" s="305" t="str">
        <f t="shared" si="4"/>
        <v xml:space="preserve"> </v>
      </c>
      <c r="X96" s="288"/>
    </row>
    <row r="97" spans="1:24">
      <c r="A97" s="286">
        <v>13</v>
      </c>
      <c r="C97" s="286" t="s">
        <v>644</v>
      </c>
      <c r="D97" s="286"/>
      <c r="E97" s="286" t="s">
        <v>602</v>
      </c>
      <c r="F97" s="286">
        <v>26</v>
      </c>
      <c r="G97" s="425">
        <v>98.65</v>
      </c>
      <c r="H97" s="425">
        <v>6</v>
      </c>
      <c r="J97" s="289"/>
      <c r="K97" s="289"/>
      <c r="L97" s="291"/>
      <c r="M97" s="291"/>
      <c r="N97" s="300"/>
      <c r="O97" s="296"/>
      <c r="P97" s="294"/>
      <c r="Q97" s="294"/>
      <c r="R97" s="295"/>
      <c r="S97" s="302">
        <f t="shared" si="5"/>
        <v>0</v>
      </c>
      <c r="T97" s="302"/>
      <c r="U97" s="303"/>
      <c r="V97" s="305">
        <f t="shared" si="7"/>
        <v>98.65</v>
      </c>
      <c r="W97" s="305" t="str">
        <f t="shared" si="4"/>
        <v xml:space="preserve"> </v>
      </c>
      <c r="X97" s="288"/>
    </row>
    <row r="98" spans="1:24">
      <c r="A98" s="286">
        <v>13</v>
      </c>
      <c r="C98" s="286" t="s">
        <v>644</v>
      </c>
      <c r="D98" s="286"/>
      <c r="E98" s="286" t="s">
        <v>646</v>
      </c>
      <c r="F98" s="286">
        <v>26</v>
      </c>
      <c r="G98" s="425">
        <v>1118.0000000000002</v>
      </c>
      <c r="H98" s="425">
        <v>68</v>
      </c>
      <c r="J98" s="289"/>
      <c r="K98" s="289"/>
      <c r="L98" s="291"/>
      <c r="M98" s="291"/>
      <c r="N98" s="300"/>
      <c r="O98" s="296"/>
      <c r="P98" s="294"/>
      <c r="Q98" s="294"/>
      <c r="R98" s="295"/>
      <c r="S98" s="302">
        <f t="shared" si="5"/>
        <v>0</v>
      </c>
      <c r="T98" s="302"/>
      <c r="U98" s="303"/>
      <c r="V98" s="305">
        <f t="shared" si="7"/>
        <v>0</v>
      </c>
      <c r="W98" s="305" t="str">
        <f t="shared" si="4"/>
        <v xml:space="preserve"> </v>
      </c>
      <c r="X98" s="288"/>
    </row>
    <row r="99" spans="1:24">
      <c r="A99" s="286">
        <v>13</v>
      </c>
      <c r="C99" s="286" t="s">
        <v>644</v>
      </c>
      <c r="D99" s="286"/>
      <c r="E99" s="286" t="s">
        <v>610</v>
      </c>
      <c r="F99" s="286">
        <v>26</v>
      </c>
      <c r="G99" s="425">
        <v>98.64</v>
      </c>
      <c r="H99" s="425">
        <v>6</v>
      </c>
      <c r="J99" s="289"/>
      <c r="K99" s="289"/>
      <c r="L99" s="291"/>
      <c r="M99" s="291"/>
      <c r="N99" s="300"/>
      <c r="O99" s="296"/>
      <c r="P99" s="294"/>
      <c r="Q99" s="294"/>
      <c r="R99" s="295"/>
      <c r="S99" s="302">
        <f t="shared" si="5"/>
        <v>0</v>
      </c>
      <c r="T99" s="302"/>
      <c r="U99" s="303"/>
      <c r="V99" s="305">
        <f t="shared" si="7"/>
        <v>0</v>
      </c>
      <c r="W99" s="305" t="str">
        <f t="shared" si="4"/>
        <v xml:space="preserve"> </v>
      </c>
      <c r="X99" s="288"/>
    </row>
    <row r="100" spans="1:24">
      <c r="A100" s="286">
        <v>13</v>
      </c>
      <c r="C100" s="286" t="s">
        <v>644</v>
      </c>
      <c r="D100" s="286"/>
      <c r="E100" s="286" t="s">
        <v>638</v>
      </c>
      <c r="F100" s="286">
        <v>26</v>
      </c>
      <c r="G100" s="425">
        <v>32.880000000000003</v>
      </c>
      <c r="H100" s="425">
        <v>2</v>
      </c>
      <c r="J100" s="289"/>
      <c r="K100" s="289"/>
      <c r="L100" s="291"/>
      <c r="M100" s="291"/>
      <c r="N100" s="300"/>
      <c r="O100" s="296"/>
      <c r="P100" s="294"/>
      <c r="Q100" s="294"/>
      <c r="R100" s="295"/>
      <c r="S100" s="302">
        <f t="shared" si="5"/>
        <v>0</v>
      </c>
      <c r="T100" s="302"/>
      <c r="U100" s="303"/>
      <c r="V100" s="305">
        <f t="shared" si="7"/>
        <v>0</v>
      </c>
      <c r="W100" s="305" t="str">
        <f t="shared" si="4"/>
        <v xml:space="preserve"> </v>
      </c>
      <c r="X100" s="288"/>
    </row>
    <row r="101" spans="1:24">
      <c r="A101" s="286">
        <v>13</v>
      </c>
      <c r="C101" s="286" t="s">
        <v>644</v>
      </c>
      <c r="D101" s="286"/>
      <c r="E101" s="286" t="s">
        <v>642</v>
      </c>
      <c r="F101" s="286">
        <v>26</v>
      </c>
      <c r="G101" s="425">
        <v>35.93</v>
      </c>
      <c r="H101" s="425">
        <v>2</v>
      </c>
      <c r="J101" s="289"/>
      <c r="K101" s="289"/>
      <c r="L101" s="291"/>
      <c r="M101" s="291"/>
      <c r="N101" s="300"/>
      <c r="O101" s="296"/>
      <c r="P101" s="294"/>
      <c r="Q101" s="294"/>
      <c r="R101" s="295"/>
      <c r="S101" s="302">
        <f t="shared" si="5"/>
        <v>0</v>
      </c>
      <c r="T101" s="302"/>
      <c r="U101" s="303"/>
      <c r="V101" s="305">
        <f t="shared" si="7"/>
        <v>0</v>
      </c>
      <c r="W101" s="305" t="str">
        <f t="shared" si="4"/>
        <v xml:space="preserve"> </v>
      </c>
      <c r="X101" s="288"/>
    </row>
    <row r="102" spans="1:24">
      <c r="A102" s="286">
        <v>13</v>
      </c>
      <c r="C102" s="286" t="s">
        <v>644</v>
      </c>
      <c r="D102" s="286"/>
      <c r="E102" s="286" t="s">
        <v>614</v>
      </c>
      <c r="F102" s="286">
        <v>26</v>
      </c>
      <c r="G102" s="425">
        <v>62.5</v>
      </c>
      <c r="H102" s="425">
        <v>0</v>
      </c>
      <c r="J102" s="289"/>
      <c r="K102" s="289"/>
      <c r="L102" s="291"/>
      <c r="M102" s="291"/>
      <c r="N102" s="300"/>
      <c r="O102" s="296"/>
      <c r="P102" s="294"/>
      <c r="Q102" s="294"/>
      <c r="R102" s="295"/>
      <c r="S102" s="302">
        <f t="shared" si="5"/>
        <v>0</v>
      </c>
      <c r="T102" s="302"/>
      <c r="U102" s="303"/>
      <c r="V102" s="305">
        <f t="shared" si="7"/>
        <v>62.5</v>
      </c>
      <c r="W102" s="305" t="str">
        <f t="shared" si="4"/>
        <v xml:space="preserve"> </v>
      </c>
      <c r="X102" s="288"/>
    </row>
    <row r="103" spans="1:24">
      <c r="A103" s="286">
        <v>13</v>
      </c>
      <c r="C103" s="286" t="s">
        <v>644</v>
      </c>
      <c r="D103" s="286"/>
      <c r="E103" s="286" t="s">
        <v>616</v>
      </c>
      <c r="F103" s="286">
        <v>26</v>
      </c>
      <c r="G103" s="425">
        <v>600</v>
      </c>
      <c r="H103" s="425">
        <v>0</v>
      </c>
      <c r="J103" s="289"/>
      <c r="K103" s="289"/>
      <c r="L103" s="291"/>
      <c r="M103" s="291"/>
      <c r="N103" s="300"/>
      <c r="O103" s="296"/>
      <c r="P103" s="294"/>
      <c r="Q103" s="294"/>
      <c r="R103" s="295"/>
      <c r="S103" s="302">
        <f t="shared" si="5"/>
        <v>0</v>
      </c>
      <c r="T103" s="302"/>
      <c r="U103" s="303"/>
      <c r="V103" s="305">
        <f t="shared" si="7"/>
        <v>600</v>
      </c>
      <c r="W103" s="305">
        <f t="shared" si="4"/>
        <v>150</v>
      </c>
      <c r="X103" s="288"/>
    </row>
    <row r="104" spans="1:24">
      <c r="A104" s="286">
        <v>14</v>
      </c>
      <c r="C104" s="286" t="s">
        <v>647</v>
      </c>
      <c r="D104" s="286"/>
      <c r="E104" s="286" t="s">
        <v>648</v>
      </c>
      <c r="F104" s="286">
        <f>IF(VLOOKUP(A104,'WP-5 Payroll Data'!$K$11:$O$151,3,FALSE)&gt;26,26,VLOOKUP(A104,'WP-5 Payroll Data'!$K$11:$O$151,3,FALSE))</f>
        <v>26</v>
      </c>
      <c r="G104" s="424">
        <v>5552.25</v>
      </c>
      <c r="H104" s="425">
        <v>277.66999999999996</v>
      </c>
      <c r="J104" s="289">
        <f>VLOOKUP(A104,'WP-5 Payroll Data'!$K$11:$O$151,4,FALSE)</f>
        <v>5552.25</v>
      </c>
      <c r="K104" s="289">
        <f>VLOOKUP(A104,'WP-5 Payroll Data'!$K$11:$O$151,5,FALSE)</f>
        <v>277.66999999999996</v>
      </c>
      <c r="L104" s="289">
        <f>J104/K104</f>
        <v>19.995858393056508</v>
      </c>
      <c r="M104" s="289"/>
      <c r="N104" s="300">
        <f>IF((K104/F104)*26&gt;1500,2080,IF((K104/F104)*26&gt;300,520,IF((K104/F104)*26&gt;100,260,K104)))</f>
        <v>260</v>
      </c>
      <c r="O104" s="296">
        <f>N104*L104</f>
        <v>5198.9231821946923</v>
      </c>
      <c r="P104" s="294"/>
      <c r="Q104" s="294">
        <f>O104*0.03</f>
        <v>155.96769546584076</v>
      </c>
      <c r="R104" s="295"/>
      <c r="S104" s="302">
        <f t="shared" si="5"/>
        <v>0</v>
      </c>
      <c r="T104" s="302"/>
      <c r="U104" s="303"/>
      <c r="V104" s="305">
        <f t="shared" si="7"/>
        <v>0</v>
      </c>
      <c r="W104" s="305" t="str">
        <f t="shared" si="4"/>
        <v xml:space="preserve"> </v>
      </c>
      <c r="X104" s="288"/>
    </row>
    <row r="105" spans="1:24">
      <c r="A105" s="286">
        <v>15</v>
      </c>
      <c r="C105" s="286" t="s">
        <v>597</v>
      </c>
      <c r="D105" s="286"/>
      <c r="E105" s="286" t="s">
        <v>598</v>
      </c>
      <c r="F105" s="286">
        <f>IF(VLOOKUP(A105,'WP-5 Payroll Data'!$K$11:$O$151,3,FALSE)&gt;26,26,VLOOKUP(A105,'WP-5 Payroll Data'!$K$11:$O$151,3,FALSE))</f>
        <v>14</v>
      </c>
      <c r="G105" s="425">
        <v>4487.67</v>
      </c>
      <c r="H105" s="425">
        <v>161.19999999999999</v>
      </c>
      <c r="J105" s="289">
        <f>VLOOKUP(A105,'WP-5 Payroll Data'!$K$11:$O$151,4,FALSE)</f>
        <v>4560.0599999999995</v>
      </c>
      <c r="K105" s="289">
        <f>VLOOKUP(A105,'WP-5 Payroll Data'!$K$11:$O$151,5,FALSE)</f>
        <v>163.79999999999998</v>
      </c>
      <c r="L105" s="289">
        <f>J105/K105</f>
        <v>27.839194139194138</v>
      </c>
      <c r="M105" s="289"/>
      <c r="N105" s="300">
        <f>IF((K105/F105)*26&gt;1500,2080,IF((K105/F105)*26&gt;300,520,IF((K105/F105)*26&gt;100,260,K105)))</f>
        <v>520</v>
      </c>
      <c r="O105" s="296">
        <f>N105*L105</f>
        <v>14476.380952380952</v>
      </c>
      <c r="P105" s="294"/>
      <c r="Q105" s="294">
        <f>O105*0.03</f>
        <v>434.29142857142853</v>
      </c>
      <c r="R105" s="295"/>
      <c r="S105" s="302">
        <f t="shared" si="5"/>
        <v>0</v>
      </c>
      <c r="T105" s="302"/>
      <c r="U105" s="303"/>
      <c r="V105" s="305">
        <f t="shared" si="7"/>
        <v>0</v>
      </c>
      <c r="W105" s="305" t="str">
        <f t="shared" si="4"/>
        <v xml:space="preserve"> </v>
      </c>
      <c r="X105" s="288"/>
    </row>
    <row r="106" spans="1:24">
      <c r="A106" s="286">
        <v>15</v>
      </c>
      <c r="C106" s="286" t="s">
        <v>597</v>
      </c>
      <c r="D106" s="286"/>
      <c r="E106" s="286" t="s">
        <v>610</v>
      </c>
      <c r="F106" s="286">
        <v>14</v>
      </c>
      <c r="G106" s="425">
        <v>253.4</v>
      </c>
      <c r="H106" s="425">
        <v>9.1</v>
      </c>
      <c r="J106" s="289"/>
      <c r="K106" s="289"/>
      <c r="L106" s="291"/>
      <c r="M106" s="291"/>
      <c r="N106" s="300"/>
      <c r="O106" s="296"/>
      <c r="P106" s="294"/>
      <c r="Q106" s="294"/>
      <c r="R106" s="295"/>
      <c r="S106" s="302">
        <f t="shared" si="5"/>
        <v>0</v>
      </c>
      <c r="T106" s="302"/>
      <c r="U106" s="303"/>
      <c r="V106" s="305">
        <f t="shared" si="7"/>
        <v>0</v>
      </c>
      <c r="W106" s="305" t="str">
        <f t="shared" si="4"/>
        <v xml:space="preserve"> </v>
      </c>
      <c r="X106" s="288"/>
    </row>
    <row r="107" spans="1:24">
      <c r="A107" s="286">
        <v>15</v>
      </c>
      <c r="C107" s="286" t="s">
        <v>597</v>
      </c>
      <c r="D107" s="286"/>
      <c r="E107" s="286" t="s">
        <v>649</v>
      </c>
      <c r="F107" s="286">
        <v>14</v>
      </c>
      <c r="G107" s="425">
        <v>-181.01</v>
      </c>
      <c r="H107" s="425">
        <v>-6.5</v>
      </c>
      <c r="J107" s="289"/>
      <c r="K107" s="289"/>
      <c r="L107" s="291"/>
      <c r="M107" s="291"/>
      <c r="N107" s="300"/>
      <c r="O107" s="296"/>
      <c r="P107" s="294"/>
      <c r="Q107" s="294"/>
      <c r="R107" s="295"/>
      <c r="S107" s="302">
        <f t="shared" si="5"/>
        <v>0</v>
      </c>
      <c r="T107" s="302"/>
      <c r="U107" s="303"/>
      <c r="V107" s="305">
        <f t="shared" si="7"/>
        <v>0</v>
      </c>
      <c r="W107" s="305" t="str">
        <f t="shared" si="4"/>
        <v xml:space="preserve"> </v>
      </c>
      <c r="X107" s="288"/>
    </row>
    <row r="108" spans="1:24">
      <c r="A108" s="286">
        <v>16</v>
      </c>
      <c r="C108" s="286" t="s">
        <v>639</v>
      </c>
      <c r="D108" s="286"/>
      <c r="E108" s="286" t="s">
        <v>598</v>
      </c>
      <c r="F108" s="286">
        <f>IF(VLOOKUP(A108,'WP-5 Payroll Data'!$K$11:$O$151,3,FALSE)&gt;26,26,VLOOKUP(A108,'WP-5 Payroll Data'!$K$11:$O$151,3,FALSE))</f>
        <v>26</v>
      </c>
      <c r="G108" s="424">
        <v>12414.290000000005</v>
      </c>
      <c r="H108" s="425">
        <v>260</v>
      </c>
      <c r="J108" s="289">
        <f>VLOOKUP(A108,'WP-5 Payroll Data'!$K$11:$O$151,4,FALSE)</f>
        <v>12414.290000000005</v>
      </c>
      <c r="K108" s="289">
        <f>VLOOKUP(A108,'WP-5 Payroll Data'!$K$11:$O$151,5,FALSE)</f>
        <v>260</v>
      </c>
      <c r="L108" s="289">
        <f>J108/K108</f>
        <v>47.747269230769248</v>
      </c>
      <c r="M108" s="289"/>
      <c r="N108" s="300">
        <f>IF((K108/F108)*26&gt;1500,2080,IF((K108/F108)*26&gt;300,520,IF((K108/F108)*26&gt;100,260,K108)))</f>
        <v>260</v>
      </c>
      <c r="O108" s="296">
        <f>N108*L108</f>
        <v>12414.290000000005</v>
      </c>
      <c r="P108" s="294"/>
      <c r="Q108" s="294">
        <f>O108*0.03</f>
        <v>372.42870000000011</v>
      </c>
      <c r="R108" s="295"/>
      <c r="S108" s="302">
        <f t="shared" si="5"/>
        <v>0</v>
      </c>
      <c r="T108" s="302"/>
      <c r="U108" s="303"/>
      <c r="V108" s="305">
        <f t="shared" si="7"/>
        <v>0</v>
      </c>
      <c r="W108" s="305" t="str">
        <f t="shared" si="4"/>
        <v xml:space="preserve"> </v>
      </c>
      <c r="X108" s="288"/>
    </row>
    <row r="109" spans="1:24">
      <c r="A109" s="286">
        <v>16</v>
      </c>
      <c r="C109" s="286" t="s">
        <v>639</v>
      </c>
      <c r="D109" s="286"/>
      <c r="E109" s="286" t="s">
        <v>612</v>
      </c>
      <c r="F109" s="286">
        <v>26</v>
      </c>
      <c r="G109" s="424">
        <v>12.5</v>
      </c>
      <c r="H109" s="425">
        <v>0</v>
      </c>
      <c r="J109" s="289"/>
      <c r="K109" s="289"/>
      <c r="L109" s="291"/>
      <c r="M109" s="291"/>
      <c r="N109" s="300"/>
      <c r="O109" s="296"/>
      <c r="P109" s="294"/>
      <c r="Q109" s="294"/>
      <c r="R109" s="295"/>
      <c r="S109" s="302">
        <f t="shared" si="5"/>
        <v>0</v>
      </c>
      <c r="T109" s="302"/>
      <c r="U109" s="303"/>
      <c r="V109" s="305">
        <f t="shared" si="7"/>
        <v>12.5</v>
      </c>
      <c r="W109" s="305" t="str">
        <f t="shared" si="4"/>
        <v xml:space="preserve"> </v>
      </c>
      <c r="X109" s="288"/>
    </row>
    <row r="110" spans="1:24">
      <c r="A110" s="286">
        <v>17</v>
      </c>
      <c r="C110" s="286" t="s">
        <v>597</v>
      </c>
      <c r="D110" s="286"/>
      <c r="E110" s="286" t="s">
        <v>598</v>
      </c>
      <c r="F110" s="286">
        <f>IF(VLOOKUP(A110,'WP-5 Payroll Data'!$K$11:$O$151,3,FALSE)&gt;26,26,VLOOKUP(A110,'WP-5 Payroll Data'!$K$11:$O$151,3,FALSE))</f>
        <v>26</v>
      </c>
      <c r="G110" s="425">
        <v>10813.470000000001</v>
      </c>
      <c r="H110" s="425">
        <v>309.40000000000003</v>
      </c>
      <c r="J110" s="289">
        <f>VLOOKUP(A110,'WP-5 Payroll Data'!$K$11:$O$151,4,FALSE)</f>
        <v>11619.200000000003</v>
      </c>
      <c r="K110" s="289">
        <f>VLOOKUP(A110,'WP-5 Payroll Data'!$K$11:$O$151,5,FALSE)</f>
        <v>332.80000000000007</v>
      </c>
      <c r="L110" s="289">
        <f>J110/K110</f>
        <v>34.91346153846154</v>
      </c>
      <c r="M110" s="289"/>
      <c r="N110" s="300">
        <f>IF((K110/F110)*26&gt;1500,2080,IF((K110/F110)*26&gt;300,520,IF((K110/F110)*26&gt;100,260,K110)))</f>
        <v>520</v>
      </c>
      <c r="O110" s="296">
        <f>N110*L110</f>
        <v>18155</v>
      </c>
      <c r="P110" s="294"/>
      <c r="Q110" s="294">
        <f>O110*0.03</f>
        <v>544.65</v>
      </c>
      <c r="R110" s="295"/>
      <c r="S110" s="302">
        <f t="shared" si="5"/>
        <v>0</v>
      </c>
      <c r="T110" s="302"/>
      <c r="U110" s="303"/>
      <c r="V110" s="305">
        <f t="shared" si="7"/>
        <v>0</v>
      </c>
      <c r="W110" s="305" t="str">
        <f t="shared" si="4"/>
        <v xml:space="preserve"> </v>
      </c>
      <c r="X110" s="288"/>
    </row>
    <row r="111" spans="1:24">
      <c r="A111" s="286">
        <v>17</v>
      </c>
      <c r="C111" s="286" t="s">
        <v>597</v>
      </c>
      <c r="D111" s="286"/>
      <c r="E111" s="286" t="s">
        <v>605</v>
      </c>
      <c r="F111" s="286">
        <v>26</v>
      </c>
      <c r="G111" s="425">
        <v>492.87</v>
      </c>
      <c r="H111" s="425">
        <v>14.3</v>
      </c>
      <c r="J111" s="289"/>
      <c r="K111" s="289"/>
      <c r="L111" s="291"/>
      <c r="M111" s="291"/>
      <c r="N111" s="300"/>
      <c r="O111" s="296"/>
      <c r="P111" s="294"/>
      <c r="Q111" s="294"/>
      <c r="R111" s="295"/>
      <c r="S111" s="302">
        <f t="shared" si="5"/>
        <v>0</v>
      </c>
      <c r="T111" s="302"/>
      <c r="U111" s="303"/>
      <c r="V111" s="305">
        <f t="shared" si="7"/>
        <v>0</v>
      </c>
      <c r="W111" s="305" t="str">
        <f t="shared" si="4"/>
        <v xml:space="preserve"> </v>
      </c>
      <c r="X111" s="288"/>
    </row>
    <row r="112" spans="1:24">
      <c r="A112" s="286">
        <v>17</v>
      </c>
      <c r="C112" s="286" t="s">
        <v>597</v>
      </c>
      <c r="D112" s="286"/>
      <c r="E112" s="286" t="s">
        <v>600</v>
      </c>
      <c r="F112" s="286">
        <v>26</v>
      </c>
      <c r="G112" s="425">
        <v>454.42</v>
      </c>
      <c r="H112" s="425">
        <v>13</v>
      </c>
      <c r="J112" s="289"/>
      <c r="K112" s="289"/>
      <c r="L112" s="291"/>
      <c r="M112" s="291"/>
      <c r="N112" s="300"/>
      <c r="O112" s="296"/>
      <c r="P112" s="294"/>
      <c r="Q112" s="294"/>
      <c r="R112" s="295"/>
      <c r="S112" s="302">
        <f t="shared" si="5"/>
        <v>0</v>
      </c>
      <c r="T112" s="302"/>
      <c r="U112" s="303"/>
      <c r="V112" s="305">
        <f t="shared" si="7"/>
        <v>454.42</v>
      </c>
      <c r="W112" s="305" t="str">
        <f t="shared" si="4"/>
        <v xml:space="preserve"> </v>
      </c>
      <c r="X112" s="288"/>
    </row>
    <row r="113" spans="1:24">
      <c r="A113" s="286">
        <v>17</v>
      </c>
      <c r="C113" s="286" t="s">
        <v>597</v>
      </c>
      <c r="D113" s="286"/>
      <c r="E113" s="286" t="s">
        <v>608</v>
      </c>
      <c r="F113" s="286">
        <v>26</v>
      </c>
      <c r="G113" s="425">
        <v>45.44</v>
      </c>
      <c r="H113" s="425">
        <v>1.3</v>
      </c>
      <c r="J113" s="289"/>
      <c r="K113" s="289"/>
      <c r="L113" s="291"/>
      <c r="M113" s="291"/>
      <c r="N113" s="300"/>
      <c r="O113" s="296"/>
      <c r="P113" s="294"/>
      <c r="Q113" s="294"/>
      <c r="R113" s="295"/>
      <c r="S113" s="302">
        <f t="shared" si="5"/>
        <v>0</v>
      </c>
      <c r="T113" s="302"/>
      <c r="U113" s="303"/>
      <c r="V113" s="305">
        <f t="shared" si="7"/>
        <v>0</v>
      </c>
      <c r="W113" s="305" t="str">
        <f t="shared" si="4"/>
        <v xml:space="preserve"> </v>
      </c>
      <c r="X113" s="288"/>
    </row>
    <row r="114" spans="1:24">
      <c r="A114" s="286">
        <v>17</v>
      </c>
      <c r="C114" s="286" t="s">
        <v>597</v>
      </c>
      <c r="D114" s="286"/>
      <c r="E114" s="286" t="s">
        <v>602</v>
      </c>
      <c r="F114" s="286">
        <v>26</v>
      </c>
      <c r="G114" s="425">
        <v>178.26999999999998</v>
      </c>
      <c r="H114" s="425">
        <v>5.2</v>
      </c>
      <c r="J114" s="289"/>
      <c r="K114" s="289"/>
      <c r="L114" s="291"/>
      <c r="M114" s="291"/>
      <c r="N114" s="300"/>
      <c r="O114" s="296"/>
      <c r="P114" s="294"/>
      <c r="Q114" s="294"/>
      <c r="R114" s="295"/>
      <c r="S114" s="302">
        <f t="shared" si="5"/>
        <v>0</v>
      </c>
      <c r="T114" s="302"/>
      <c r="U114" s="303"/>
      <c r="V114" s="305">
        <f t="shared" si="7"/>
        <v>178.26999999999998</v>
      </c>
      <c r="W114" s="305" t="str">
        <f t="shared" si="4"/>
        <v xml:space="preserve"> </v>
      </c>
      <c r="X114" s="288"/>
    </row>
    <row r="115" spans="1:24">
      <c r="A115" s="286">
        <v>17</v>
      </c>
      <c r="C115" s="286" t="s">
        <v>597</v>
      </c>
      <c r="D115" s="286"/>
      <c r="E115" s="286" t="s">
        <v>610</v>
      </c>
      <c r="F115" s="286">
        <v>26</v>
      </c>
      <c r="G115" s="425">
        <v>267.42</v>
      </c>
      <c r="H115" s="425">
        <v>7.8</v>
      </c>
      <c r="J115" s="289"/>
      <c r="K115" s="289"/>
      <c r="L115" s="291"/>
      <c r="M115" s="291"/>
      <c r="N115" s="300"/>
      <c r="O115" s="296"/>
      <c r="P115" s="294"/>
      <c r="Q115" s="294"/>
      <c r="R115" s="295"/>
      <c r="S115" s="302">
        <f t="shared" si="5"/>
        <v>0</v>
      </c>
      <c r="T115" s="302"/>
      <c r="U115" s="303"/>
      <c r="V115" s="305">
        <f t="shared" si="7"/>
        <v>0</v>
      </c>
      <c r="W115" s="305" t="str">
        <f t="shared" si="4"/>
        <v xml:space="preserve"> </v>
      </c>
      <c r="X115" s="288"/>
    </row>
    <row r="116" spans="1:24">
      <c r="A116" s="286">
        <v>17</v>
      </c>
      <c r="C116" s="286" t="s">
        <v>597</v>
      </c>
      <c r="D116" s="286"/>
      <c r="E116" s="286" t="s">
        <v>624</v>
      </c>
      <c r="F116" s="286">
        <v>26</v>
      </c>
      <c r="G116" s="425">
        <v>487.5</v>
      </c>
      <c r="H116" s="425">
        <v>0</v>
      </c>
      <c r="J116" s="289"/>
      <c r="K116" s="289"/>
      <c r="L116" s="291"/>
      <c r="M116" s="291"/>
      <c r="N116" s="300"/>
      <c r="O116" s="296"/>
      <c r="P116" s="294"/>
      <c r="Q116" s="294"/>
      <c r="R116" s="295"/>
      <c r="S116" s="302">
        <f t="shared" si="5"/>
        <v>0</v>
      </c>
      <c r="T116" s="302"/>
      <c r="U116" s="303"/>
      <c r="V116" s="305">
        <f t="shared" si="7"/>
        <v>487.5</v>
      </c>
      <c r="W116" s="305">
        <f t="shared" si="4"/>
        <v>121.875</v>
      </c>
      <c r="X116" s="288"/>
    </row>
    <row r="117" spans="1:24">
      <c r="A117" s="286">
        <v>18</v>
      </c>
      <c r="C117" s="286" t="s">
        <v>650</v>
      </c>
      <c r="D117" s="286"/>
      <c r="E117" s="286" t="s">
        <v>598</v>
      </c>
      <c r="F117" s="286">
        <f>IF(VLOOKUP(A117,'WP-5 Payroll Data'!$K$11:$O$151,3,FALSE)&gt;26,26,VLOOKUP(A117,'WP-5 Payroll Data'!$K$11:$O$151,3,FALSE))</f>
        <v>26</v>
      </c>
      <c r="G117" s="425">
        <v>12551.529999999999</v>
      </c>
      <c r="H117" s="425">
        <v>308.26</v>
      </c>
      <c r="J117" s="289">
        <f>VLOOKUP(A117,'WP-5 Payroll Data'!$K$11:$O$151,4,FALSE)</f>
        <v>13753.199999999999</v>
      </c>
      <c r="K117" s="289">
        <f>VLOOKUP(A117,'WP-5 Payroll Data'!$K$11:$O$151,5,FALSE)</f>
        <v>338</v>
      </c>
      <c r="L117" s="289">
        <f>J117/K117</f>
        <v>40.689940828402364</v>
      </c>
      <c r="M117" s="289"/>
      <c r="N117" s="300">
        <f>IF((K117/F117)*26&gt;1500,2080,IF((K117/F117)*26&gt;300,520,IF((K117/F117)*26&gt;100,260,K117)))</f>
        <v>520</v>
      </c>
      <c r="O117" s="296">
        <f>N117*L117</f>
        <v>21158.76923076923</v>
      </c>
      <c r="P117" s="294"/>
      <c r="Q117" s="294">
        <f>O117*0.03</f>
        <v>634.76307692307694</v>
      </c>
      <c r="R117" s="295"/>
      <c r="S117" s="302">
        <f t="shared" si="5"/>
        <v>0</v>
      </c>
      <c r="T117" s="302"/>
      <c r="U117" s="303"/>
      <c r="V117" s="305">
        <f t="shared" si="7"/>
        <v>0</v>
      </c>
      <c r="W117" s="305" t="str">
        <f t="shared" si="4"/>
        <v xml:space="preserve"> </v>
      </c>
      <c r="X117" s="288"/>
    </row>
    <row r="118" spans="1:24">
      <c r="A118" s="286">
        <v>18</v>
      </c>
      <c r="C118" s="286" t="s">
        <v>650</v>
      </c>
      <c r="D118" s="286"/>
      <c r="E118" s="286" t="s">
        <v>605</v>
      </c>
      <c r="F118" s="286">
        <v>26</v>
      </c>
      <c r="G118" s="425">
        <v>737.6</v>
      </c>
      <c r="H118" s="425">
        <v>18.2</v>
      </c>
      <c r="J118" s="289"/>
      <c r="K118" s="289"/>
      <c r="L118" s="291"/>
      <c r="M118" s="291"/>
      <c r="N118" s="300"/>
      <c r="O118" s="296"/>
      <c r="P118" s="294"/>
      <c r="Q118" s="294"/>
      <c r="R118" s="295"/>
      <c r="S118" s="302">
        <f t="shared" si="5"/>
        <v>0</v>
      </c>
      <c r="T118" s="302"/>
      <c r="U118" s="303"/>
      <c r="V118" s="305">
        <f t="shared" si="7"/>
        <v>0</v>
      </c>
      <c r="W118" s="305" t="str">
        <f t="shared" si="4"/>
        <v xml:space="preserve"> </v>
      </c>
      <c r="X118" s="288"/>
    </row>
    <row r="119" spans="1:24">
      <c r="A119" s="286">
        <v>18</v>
      </c>
      <c r="C119" s="286" t="s">
        <v>650</v>
      </c>
      <c r="D119" s="286"/>
      <c r="E119" s="286" t="s">
        <v>608</v>
      </c>
      <c r="F119" s="286">
        <v>26</v>
      </c>
      <c r="G119" s="425">
        <v>185.43</v>
      </c>
      <c r="H119" s="425">
        <v>4.55</v>
      </c>
      <c r="J119" s="289"/>
      <c r="K119" s="289"/>
      <c r="L119" s="291"/>
      <c r="M119" s="291"/>
      <c r="N119" s="300"/>
      <c r="O119" s="296"/>
      <c r="P119" s="294"/>
      <c r="Q119" s="294"/>
      <c r="R119" s="295"/>
      <c r="S119" s="302">
        <f t="shared" si="5"/>
        <v>0</v>
      </c>
      <c r="T119" s="302"/>
      <c r="U119" s="303"/>
      <c r="V119" s="305">
        <f t="shared" si="7"/>
        <v>0</v>
      </c>
      <c r="W119" s="305" t="str">
        <f t="shared" si="4"/>
        <v xml:space="preserve"> </v>
      </c>
      <c r="X119" s="288"/>
    </row>
    <row r="120" spans="1:24">
      <c r="A120" s="286">
        <v>18</v>
      </c>
      <c r="C120" s="286" t="s">
        <v>650</v>
      </c>
      <c r="D120" s="286"/>
      <c r="E120" s="286" t="s">
        <v>610</v>
      </c>
      <c r="F120" s="286">
        <v>26</v>
      </c>
      <c r="G120" s="425">
        <v>278.64</v>
      </c>
      <c r="H120" s="425">
        <v>6.9899999999999993</v>
      </c>
      <c r="J120" s="289"/>
      <c r="K120" s="289"/>
      <c r="L120" s="291"/>
      <c r="M120" s="291"/>
      <c r="N120" s="300"/>
      <c r="O120" s="296"/>
      <c r="P120" s="294"/>
      <c r="Q120" s="294"/>
      <c r="R120" s="295"/>
      <c r="S120" s="302">
        <f t="shared" si="5"/>
        <v>0</v>
      </c>
      <c r="T120" s="302"/>
      <c r="U120" s="303"/>
      <c r="V120" s="305">
        <f t="shared" si="7"/>
        <v>0</v>
      </c>
      <c r="W120" s="305" t="str">
        <f t="shared" si="4"/>
        <v xml:space="preserve"> </v>
      </c>
      <c r="X120" s="288"/>
    </row>
    <row r="121" spans="1:24">
      <c r="A121" s="286">
        <v>18</v>
      </c>
      <c r="C121" s="286" t="s">
        <v>650</v>
      </c>
      <c r="D121" s="286"/>
      <c r="E121" s="286" t="s">
        <v>624</v>
      </c>
      <c r="F121" s="286">
        <v>26</v>
      </c>
      <c r="G121" s="425">
        <v>16.25</v>
      </c>
      <c r="H121" s="425">
        <v>0</v>
      </c>
      <c r="J121" s="289"/>
      <c r="K121" s="289"/>
      <c r="L121" s="291"/>
      <c r="M121" s="291"/>
      <c r="N121" s="300"/>
      <c r="O121" s="296"/>
      <c r="P121" s="294"/>
      <c r="Q121" s="294"/>
      <c r="R121" s="295"/>
      <c r="S121" s="302">
        <f t="shared" si="5"/>
        <v>0</v>
      </c>
      <c r="T121" s="302"/>
      <c r="U121" s="303"/>
      <c r="V121" s="305">
        <f t="shared" si="7"/>
        <v>16.25</v>
      </c>
      <c r="W121" s="305">
        <f t="shared" si="4"/>
        <v>4.0625</v>
      </c>
      <c r="X121" s="288"/>
    </row>
    <row r="122" spans="1:24">
      <c r="A122" s="286">
        <v>19</v>
      </c>
      <c r="C122" s="286" t="s">
        <v>644</v>
      </c>
      <c r="D122" s="286"/>
      <c r="E122" s="286" t="s">
        <v>598</v>
      </c>
      <c r="F122" s="286">
        <f>IF(VLOOKUP(A122,'WP-5 Payroll Data'!$K$11:$O$151,3,FALSE)&gt;26,26,VLOOKUP(A122,'WP-5 Payroll Data'!$K$11:$O$151,3,FALSE))</f>
        <v>14</v>
      </c>
      <c r="G122" s="425">
        <v>1838.78</v>
      </c>
      <c r="H122" s="425">
        <v>97.12</v>
      </c>
      <c r="J122" s="289">
        <f>VLOOKUP(A122,'WP-5 Payroll Data'!$K$11:$O$151,4,FALSE)</f>
        <v>1339.87</v>
      </c>
      <c r="K122" s="289">
        <f>VLOOKUP(A122,'WP-5 Payroll Data'!$K$11:$O$151,5,FALSE)</f>
        <v>70.889999999999986</v>
      </c>
      <c r="L122" s="289">
        <f>J122/K122</f>
        <v>18.900691211736497</v>
      </c>
      <c r="M122" s="289"/>
      <c r="N122" s="300">
        <f>IF((K122/F122)*26&gt;1500,2080,IF((K122/F122)*26&gt;300,520,IF((K122/F122)*26&gt;100,260,K122)))</f>
        <v>260</v>
      </c>
      <c r="O122" s="296">
        <f>N122*L122</f>
        <v>4914.1797150514894</v>
      </c>
      <c r="P122" s="294"/>
      <c r="Q122" s="294">
        <f>O122*0.03</f>
        <v>147.42539145154467</v>
      </c>
      <c r="R122" s="295"/>
      <c r="S122" s="302">
        <f t="shared" si="5"/>
        <v>0</v>
      </c>
      <c r="T122" s="302"/>
      <c r="U122" s="303"/>
      <c r="V122" s="305">
        <f t="shared" si="7"/>
        <v>0</v>
      </c>
      <c r="W122" s="305" t="str">
        <f t="shared" si="4"/>
        <v xml:space="preserve"> </v>
      </c>
      <c r="X122" s="288"/>
    </row>
    <row r="123" spans="1:24">
      <c r="A123" s="286">
        <v>19</v>
      </c>
      <c r="C123" s="286" t="s">
        <v>644</v>
      </c>
      <c r="D123" s="286"/>
      <c r="E123" s="286" t="s">
        <v>605</v>
      </c>
      <c r="F123" s="286">
        <v>14</v>
      </c>
      <c r="G123" s="425">
        <v>569.49</v>
      </c>
      <c r="H123" s="425">
        <v>30.009999999999998</v>
      </c>
      <c r="J123" s="289"/>
      <c r="K123" s="289"/>
      <c r="L123" s="291"/>
      <c r="M123" s="291"/>
      <c r="N123" s="300"/>
      <c r="O123" s="296"/>
      <c r="P123" s="294"/>
      <c r="Q123" s="294"/>
      <c r="R123" s="295"/>
      <c r="S123" s="302">
        <f t="shared" si="5"/>
        <v>0</v>
      </c>
      <c r="T123" s="302"/>
      <c r="U123" s="303"/>
      <c r="V123" s="305">
        <f t="shared" si="7"/>
        <v>0</v>
      </c>
      <c r="W123" s="305" t="str">
        <f t="shared" si="4"/>
        <v xml:space="preserve"> </v>
      </c>
      <c r="X123" s="288"/>
    </row>
    <row r="124" spans="1:24">
      <c r="A124" s="286">
        <v>19</v>
      </c>
      <c r="C124" s="286" t="s">
        <v>644</v>
      </c>
      <c r="D124" s="286"/>
      <c r="E124" s="286" t="s">
        <v>608</v>
      </c>
      <c r="F124" s="286">
        <v>14</v>
      </c>
      <c r="G124" s="425">
        <v>91.85</v>
      </c>
      <c r="H124" s="425">
        <v>4.88</v>
      </c>
      <c r="J124" s="289"/>
      <c r="K124" s="289"/>
      <c r="L124" s="291"/>
      <c r="M124" s="291"/>
      <c r="N124" s="300"/>
      <c r="O124" s="296"/>
      <c r="P124" s="294"/>
      <c r="Q124" s="294"/>
      <c r="R124" s="295"/>
      <c r="S124" s="302">
        <f t="shared" si="5"/>
        <v>0</v>
      </c>
      <c r="T124" s="302"/>
      <c r="U124" s="303"/>
      <c r="V124" s="305">
        <f t="shared" si="7"/>
        <v>0</v>
      </c>
      <c r="W124" s="305" t="str">
        <f t="shared" si="4"/>
        <v xml:space="preserve"> </v>
      </c>
      <c r="X124" s="288"/>
    </row>
    <row r="125" spans="1:24">
      <c r="A125" s="286">
        <v>19</v>
      </c>
      <c r="C125" s="286" t="s">
        <v>644</v>
      </c>
      <c r="D125" s="286"/>
      <c r="E125" s="286" t="s">
        <v>610</v>
      </c>
      <c r="F125" s="286">
        <v>14</v>
      </c>
      <c r="G125" s="425">
        <v>56.95</v>
      </c>
      <c r="H125" s="425">
        <v>3</v>
      </c>
      <c r="J125" s="289"/>
      <c r="K125" s="289"/>
      <c r="L125" s="291"/>
      <c r="M125" s="291"/>
      <c r="N125" s="300"/>
      <c r="O125" s="296"/>
      <c r="P125" s="294"/>
      <c r="Q125" s="294"/>
      <c r="R125" s="295"/>
      <c r="S125" s="302">
        <f t="shared" si="5"/>
        <v>0</v>
      </c>
      <c r="T125" s="302"/>
      <c r="U125" s="303"/>
      <c r="V125" s="305">
        <f t="shared" si="7"/>
        <v>0</v>
      </c>
      <c r="W125" s="305" t="str">
        <f t="shared" si="4"/>
        <v xml:space="preserve"> </v>
      </c>
      <c r="X125" s="288"/>
    </row>
    <row r="126" spans="1:24">
      <c r="A126" s="286">
        <v>19</v>
      </c>
      <c r="C126" s="286" t="s">
        <v>644</v>
      </c>
      <c r="D126" s="286"/>
      <c r="E126" s="286" t="s">
        <v>614</v>
      </c>
      <c r="F126" s="286">
        <v>14</v>
      </c>
      <c r="G126" s="425">
        <v>31.25</v>
      </c>
      <c r="H126" s="425">
        <v>0</v>
      </c>
      <c r="J126" s="289"/>
      <c r="K126" s="289"/>
      <c r="L126" s="291"/>
      <c r="M126" s="291"/>
      <c r="N126" s="300"/>
      <c r="O126" s="296"/>
      <c r="P126" s="294"/>
      <c r="Q126" s="294"/>
      <c r="R126" s="295"/>
      <c r="S126" s="302">
        <f t="shared" si="5"/>
        <v>0</v>
      </c>
      <c r="T126" s="302"/>
      <c r="U126" s="303"/>
      <c r="V126" s="305">
        <f t="shared" si="7"/>
        <v>31.25</v>
      </c>
      <c r="W126" s="305" t="str">
        <f t="shared" si="4"/>
        <v xml:space="preserve"> </v>
      </c>
      <c r="X126" s="288"/>
    </row>
    <row r="127" spans="1:24">
      <c r="A127" s="286">
        <v>19</v>
      </c>
      <c r="C127" s="286" t="s">
        <v>644</v>
      </c>
      <c r="D127" s="286"/>
      <c r="E127" s="286" t="s">
        <v>616</v>
      </c>
      <c r="F127" s="286">
        <v>14</v>
      </c>
      <c r="G127" s="425">
        <v>625</v>
      </c>
      <c r="H127" s="425">
        <v>0</v>
      </c>
      <c r="J127" s="289"/>
      <c r="K127" s="289"/>
      <c r="L127" s="291"/>
      <c r="M127" s="291"/>
      <c r="N127" s="300"/>
      <c r="O127" s="296"/>
      <c r="P127" s="294"/>
      <c r="Q127" s="294"/>
      <c r="R127" s="295"/>
      <c r="S127" s="302">
        <f t="shared" si="5"/>
        <v>0</v>
      </c>
      <c r="T127" s="302"/>
      <c r="U127" s="303"/>
      <c r="V127" s="305">
        <f t="shared" si="7"/>
        <v>625</v>
      </c>
      <c r="W127" s="305">
        <f t="shared" si="4"/>
        <v>156.25</v>
      </c>
      <c r="X127" s="288"/>
    </row>
    <row r="128" spans="1:24">
      <c r="A128" s="286">
        <v>19</v>
      </c>
      <c r="C128" s="286" t="s">
        <v>644</v>
      </c>
      <c r="D128" s="286"/>
      <c r="E128" s="286" t="s">
        <v>649</v>
      </c>
      <c r="F128" s="286">
        <v>14</v>
      </c>
      <c r="G128" s="425">
        <v>-284.73</v>
      </c>
      <c r="H128" s="425">
        <v>-15</v>
      </c>
      <c r="J128" s="289"/>
      <c r="K128" s="289"/>
      <c r="L128" s="291"/>
      <c r="M128" s="291"/>
      <c r="N128" s="300"/>
      <c r="O128" s="296"/>
      <c r="P128" s="294"/>
      <c r="Q128" s="294"/>
      <c r="R128" s="295"/>
      <c r="S128" s="302">
        <f t="shared" si="5"/>
        <v>0</v>
      </c>
      <c r="T128" s="302"/>
      <c r="U128" s="303"/>
      <c r="V128" s="305">
        <f t="shared" si="7"/>
        <v>0</v>
      </c>
      <c r="W128" s="305" t="str">
        <f t="shared" si="4"/>
        <v xml:space="preserve"> </v>
      </c>
      <c r="X128" s="288"/>
    </row>
    <row r="129" spans="1:24">
      <c r="A129" s="286">
        <v>19</v>
      </c>
      <c r="C129" s="286" t="s">
        <v>644</v>
      </c>
      <c r="D129" s="286"/>
      <c r="E129" s="286" t="s">
        <v>643</v>
      </c>
      <c r="F129" s="286">
        <v>14</v>
      </c>
      <c r="G129" s="425">
        <v>-932.4699999999998</v>
      </c>
      <c r="H129" s="425">
        <v>-49.120000000000005</v>
      </c>
      <c r="J129" s="289"/>
      <c r="K129" s="289"/>
      <c r="L129" s="291"/>
      <c r="M129" s="291"/>
      <c r="N129" s="300"/>
      <c r="O129" s="296"/>
      <c r="P129" s="294"/>
      <c r="Q129" s="294"/>
      <c r="R129" s="295"/>
      <c r="S129" s="302">
        <f t="shared" si="5"/>
        <v>0</v>
      </c>
      <c r="T129" s="302"/>
      <c r="U129" s="303"/>
      <c r="V129" s="305">
        <f t="shared" si="7"/>
        <v>0</v>
      </c>
      <c r="W129" s="305" t="str">
        <f t="shared" si="4"/>
        <v xml:space="preserve"> </v>
      </c>
      <c r="X129" s="288"/>
    </row>
    <row r="130" spans="1:24">
      <c r="A130" s="286">
        <v>20</v>
      </c>
      <c r="C130" s="286" t="s">
        <v>644</v>
      </c>
      <c r="D130" s="286" t="s">
        <v>651</v>
      </c>
      <c r="E130" s="286" t="s">
        <v>598</v>
      </c>
      <c r="F130" s="286">
        <f>IF(VLOOKUP(A130,'WP-5 Payroll Data'!$K$11:$O$151,3,FALSE)&gt;26,26,VLOOKUP(A130,'WP-5 Payroll Data'!$K$11:$O$151,3,FALSE))</f>
        <v>26</v>
      </c>
      <c r="G130" s="425">
        <v>31643.42</v>
      </c>
      <c r="H130" s="425">
        <v>1669.05</v>
      </c>
      <c r="J130" s="289">
        <f>VLOOKUP(A130,'WP-5 Payroll Data'!$K$11:$O$151,4,FALSE)</f>
        <v>39281.080000000009</v>
      </c>
      <c r="K130" s="289">
        <f>VLOOKUP(A130,'WP-5 Payroll Data'!$K$11:$O$151,5,FALSE)</f>
        <v>2079.5300000000002</v>
      </c>
      <c r="L130" s="289">
        <f>J130/K130</f>
        <v>18.889402893923148</v>
      </c>
      <c r="M130" s="289"/>
      <c r="N130" s="300">
        <f>IF((K130/F130)*26&gt;1500,2080,IF((K130/F130)*26&gt;300,520,IF((K130/F130)*26&gt;100,260,K130)))</f>
        <v>2080</v>
      </c>
      <c r="O130" s="296">
        <f>N130*L130</f>
        <v>39289.958019360143</v>
      </c>
      <c r="P130" s="294"/>
      <c r="Q130" s="294">
        <f>O130*0.03</f>
        <v>1178.6987405808043</v>
      </c>
      <c r="R130" s="295"/>
      <c r="S130" s="302">
        <f t="shared" si="5"/>
        <v>0</v>
      </c>
      <c r="T130" s="302"/>
      <c r="U130" s="303"/>
      <c r="V130" s="305">
        <f t="shared" si="7"/>
        <v>0</v>
      </c>
      <c r="W130" s="305" t="str">
        <f t="shared" si="4"/>
        <v xml:space="preserve"> </v>
      </c>
      <c r="X130" s="288"/>
    </row>
    <row r="131" spans="1:24">
      <c r="A131" s="286">
        <v>20</v>
      </c>
      <c r="C131" s="286" t="s">
        <v>644</v>
      </c>
      <c r="D131" s="286" t="s">
        <v>651</v>
      </c>
      <c r="E131" s="286" t="s">
        <v>599</v>
      </c>
      <c r="F131" s="286">
        <v>26</v>
      </c>
      <c r="G131" s="425">
        <v>110.48</v>
      </c>
      <c r="H131" s="425">
        <v>3.88</v>
      </c>
      <c r="J131" s="289"/>
      <c r="K131" s="291"/>
      <c r="L131" s="291"/>
      <c r="M131" s="291"/>
      <c r="N131" s="300"/>
      <c r="O131" s="296"/>
      <c r="P131" s="294"/>
      <c r="Q131" s="294"/>
      <c r="R131" s="295"/>
      <c r="S131" s="302">
        <f t="shared" si="5"/>
        <v>110.48</v>
      </c>
      <c r="T131" s="302">
        <f t="shared" si="6"/>
        <v>3.3144</v>
      </c>
      <c r="U131" s="303"/>
      <c r="V131" s="305">
        <f t="shared" si="7"/>
        <v>0</v>
      </c>
      <c r="W131" s="305" t="str">
        <f t="shared" si="4"/>
        <v xml:space="preserve"> </v>
      </c>
      <c r="X131" s="288"/>
    </row>
    <row r="132" spans="1:24">
      <c r="A132" s="286">
        <v>20</v>
      </c>
      <c r="C132" s="286" t="s">
        <v>644</v>
      </c>
      <c r="D132" s="286" t="s">
        <v>651</v>
      </c>
      <c r="E132" s="286" t="s">
        <v>605</v>
      </c>
      <c r="F132" s="286">
        <v>26</v>
      </c>
      <c r="G132" s="425">
        <v>4555.7700000000004</v>
      </c>
      <c r="H132" s="425">
        <v>240</v>
      </c>
      <c r="J132" s="289"/>
      <c r="K132" s="289"/>
      <c r="L132" s="291"/>
      <c r="M132" s="291"/>
      <c r="N132" s="300"/>
      <c r="O132" s="296"/>
      <c r="P132" s="294"/>
      <c r="Q132" s="294"/>
      <c r="R132" s="295"/>
      <c r="S132" s="302">
        <f t="shared" si="5"/>
        <v>0</v>
      </c>
      <c r="T132" s="302"/>
      <c r="U132" s="303"/>
      <c r="V132" s="305">
        <f t="shared" si="7"/>
        <v>0</v>
      </c>
      <c r="W132" s="305" t="str">
        <f t="shared" si="4"/>
        <v xml:space="preserve"> </v>
      </c>
      <c r="X132" s="288"/>
    </row>
    <row r="133" spans="1:24">
      <c r="A133" s="286">
        <v>20</v>
      </c>
      <c r="C133" s="286" t="s">
        <v>644</v>
      </c>
      <c r="D133" s="286" t="s">
        <v>651</v>
      </c>
      <c r="E133" s="286" t="s">
        <v>608</v>
      </c>
      <c r="F133" s="286">
        <v>26</v>
      </c>
      <c r="G133" s="425">
        <v>2303.5800000000004</v>
      </c>
      <c r="H133" s="425">
        <v>121.4</v>
      </c>
      <c r="J133" s="289"/>
      <c r="K133" s="289"/>
      <c r="L133" s="291"/>
      <c r="M133" s="291"/>
      <c r="N133" s="300"/>
      <c r="O133" s="296"/>
      <c r="P133" s="294"/>
      <c r="Q133" s="294"/>
      <c r="R133" s="295"/>
      <c r="S133" s="302">
        <f t="shared" si="5"/>
        <v>0</v>
      </c>
      <c r="T133" s="302"/>
      <c r="U133" s="303"/>
      <c r="V133" s="305">
        <f t="shared" si="7"/>
        <v>0</v>
      </c>
      <c r="W133" s="305" t="str">
        <f t="shared" si="4"/>
        <v xml:space="preserve"> </v>
      </c>
      <c r="X133" s="288"/>
    </row>
    <row r="134" spans="1:24">
      <c r="A134" s="286">
        <v>20</v>
      </c>
      <c r="C134" s="286" t="s">
        <v>644</v>
      </c>
      <c r="D134" s="286" t="s">
        <v>651</v>
      </c>
      <c r="E134" s="286" t="s">
        <v>652</v>
      </c>
      <c r="F134" s="286">
        <v>26</v>
      </c>
      <c r="G134" s="425">
        <v>455.58</v>
      </c>
      <c r="H134" s="425">
        <v>24</v>
      </c>
      <c r="J134" s="289"/>
      <c r="K134" s="289"/>
      <c r="L134" s="291"/>
      <c r="M134" s="291"/>
      <c r="N134" s="300"/>
      <c r="O134" s="296"/>
      <c r="P134" s="294"/>
      <c r="Q134" s="294"/>
      <c r="R134" s="295"/>
      <c r="S134" s="302">
        <f t="shared" si="5"/>
        <v>0</v>
      </c>
      <c r="T134" s="302"/>
      <c r="U134" s="303"/>
      <c r="V134" s="305">
        <f t="shared" si="7"/>
        <v>0</v>
      </c>
      <c r="W134" s="305" t="str">
        <f t="shared" si="4"/>
        <v xml:space="preserve"> </v>
      </c>
      <c r="X134" s="288"/>
    </row>
    <row r="135" spans="1:24">
      <c r="A135" s="286">
        <v>20</v>
      </c>
      <c r="C135" s="286" t="s">
        <v>644</v>
      </c>
      <c r="D135" s="286" t="s">
        <v>651</v>
      </c>
      <c r="E135" s="286" t="s">
        <v>610</v>
      </c>
      <c r="F135" s="286">
        <v>26</v>
      </c>
      <c r="G135" s="425">
        <v>455.58000000000004</v>
      </c>
      <c r="H135" s="425">
        <v>24</v>
      </c>
      <c r="J135" s="289"/>
      <c r="K135" s="289"/>
      <c r="L135" s="291"/>
      <c r="M135" s="291"/>
      <c r="N135" s="300"/>
      <c r="O135" s="296"/>
      <c r="P135" s="294"/>
      <c r="Q135" s="294"/>
      <c r="R135" s="295"/>
      <c r="S135" s="302">
        <f t="shared" si="5"/>
        <v>0</v>
      </c>
      <c r="T135" s="302"/>
      <c r="U135" s="303"/>
      <c r="V135" s="305">
        <f t="shared" si="7"/>
        <v>0</v>
      </c>
      <c r="W135" s="305" t="str">
        <f t="shared" si="4"/>
        <v xml:space="preserve"> </v>
      </c>
      <c r="X135" s="288"/>
    </row>
    <row r="136" spans="1:24">
      <c r="A136" s="286">
        <v>20</v>
      </c>
      <c r="C136" s="286" t="s">
        <v>644</v>
      </c>
      <c r="D136" s="286" t="s">
        <v>651</v>
      </c>
      <c r="E136" s="286" t="s">
        <v>642</v>
      </c>
      <c r="F136" s="286">
        <v>26</v>
      </c>
      <c r="G136" s="425">
        <v>10.44</v>
      </c>
      <c r="H136" s="425">
        <v>0.55000000000000004</v>
      </c>
      <c r="J136" s="289"/>
      <c r="K136" s="289"/>
      <c r="L136" s="291"/>
      <c r="M136" s="291"/>
      <c r="N136" s="300"/>
      <c r="O136" s="296"/>
      <c r="P136" s="294"/>
      <c r="Q136" s="294"/>
      <c r="R136" s="295"/>
      <c r="S136" s="302">
        <f t="shared" si="5"/>
        <v>0</v>
      </c>
      <c r="T136" s="302"/>
      <c r="U136" s="303"/>
      <c r="V136" s="305">
        <f t="shared" si="7"/>
        <v>0</v>
      </c>
      <c r="W136" s="305" t="str">
        <f t="shared" si="4"/>
        <v xml:space="preserve"> </v>
      </c>
      <c r="X136" s="288"/>
    </row>
    <row r="137" spans="1:24">
      <c r="A137" s="286">
        <v>20</v>
      </c>
      <c r="C137" s="286" t="s">
        <v>644</v>
      </c>
      <c r="D137" s="286" t="s">
        <v>651</v>
      </c>
      <c r="E137" s="286" t="s">
        <v>614</v>
      </c>
      <c r="F137" s="286">
        <v>26</v>
      </c>
      <c r="G137" s="425">
        <v>250</v>
      </c>
      <c r="H137" s="425">
        <v>0</v>
      </c>
      <c r="J137" s="289"/>
      <c r="K137" s="289"/>
      <c r="L137" s="291"/>
      <c r="M137" s="291"/>
      <c r="N137" s="300"/>
      <c r="O137" s="296"/>
      <c r="P137" s="294"/>
      <c r="Q137" s="294"/>
      <c r="R137" s="295"/>
      <c r="S137" s="302">
        <f t="shared" si="5"/>
        <v>0</v>
      </c>
      <c r="T137" s="302"/>
      <c r="U137" s="303"/>
      <c r="V137" s="305">
        <f t="shared" si="7"/>
        <v>250</v>
      </c>
      <c r="W137" s="305" t="str">
        <f t="shared" si="4"/>
        <v xml:space="preserve"> </v>
      </c>
      <c r="X137" s="288"/>
    </row>
    <row r="138" spans="1:24">
      <c r="A138" s="286">
        <v>20</v>
      </c>
      <c r="C138" s="286" t="s">
        <v>644</v>
      </c>
      <c r="D138" s="286" t="s">
        <v>651</v>
      </c>
      <c r="E138" s="286" t="s">
        <v>616</v>
      </c>
      <c r="F138" s="286">
        <v>26</v>
      </c>
      <c r="G138" s="425">
        <v>5000</v>
      </c>
      <c r="H138" s="425">
        <v>0</v>
      </c>
      <c r="J138" s="289"/>
      <c r="K138" s="289"/>
      <c r="L138" s="291"/>
      <c r="M138" s="291"/>
      <c r="N138" s="300"/>
      <c r="O138" s="296"/>
      <c r="P138" s="294"/>
      <c r="Q138" s="294"/>
      <c r="R138" s="295"/>
      <c r="S138" s="302">
        <f t="shared" si="5"/>
        <v>0</v>
      </c>
      <c r="T138" s="302"/>
      <c r="U138" s="303"/>
      <c r="V138" s="305">
        <f t="shared" si="7"/>
        <v>5000</v>
      </c>
      <c r="W138" s="305">
        <f t="shared" ref="W138:W201" si="8">IF($E138=$AA$29,-$V138,IF(OR($E138=$AA$18,$E138=$AA$23,$E138=$AA$24,$E138=$AA$26),(($V138/200)*50)," "))</f>
        <v>1250</v>
      </c>
      <c r="X138" s="288"/>
    </row>
    <row r="139" spans="1:24">
      <c r="A139" s="286">
        <v>20</v>
      </c>
      <c r="C139" s="286" t="s">
        <v>644</v>
      </c>
      <c r="D139" s="286" t="s">
        <v>651</v>
      </c>
      <c r="E139" s="286" t="s">
        <v>636</v>
      </c>
      <c r="F139" s="286">
        <v>26</v>
      </c>
      <c r="G139" s="425">
        <v>-133.22999999999999</v>
      </c>
      <c r="H139" s="425">
        <v>0</v>
      </c>
      <c r="J139" s="289"/>
      <c r="K139" s="289"/>
      <c r="L139" s="291"/>
      <c r="M139" s="291"/>
      <c r="N139" s="300"/>
      <c r="O139" s="296"/>
      <c r="P139" s="294"/>
      <c r="Q139" s="294"/>
      <c r="R139" s="295"/>
      <c r="S139" s="302">
        <f t="shared" ref="S139:S202" si="9">IF(OR($E139=$Y$10,$E139=$Y$11,$E139=$Y$12,$E139=$Y$13),$G139,0)</f>
        <v>0</v>
      </c>
      <c r="T139" s="302"/>
      <c r="U139" s="303"/>
      <c r="V139" s="305">
        <f t="shared" ref="V139:V202" si="10">IF(OR($E139=$AA$10,$E139=$AA$11,$E139=$AA$12,$E139=$AA$13,$E139=$AA$14,$E139=$AA$15,$E139=$AA$16,$E139=$AA$17,$E139=$AA$18,$E139=$AA$19,$E139=$AA$20,$E139=$AA$21,$E139=$AA$22,$E139=$AA$23,$E139=$AA$24,$E139=$AA$25,$E139=$AA$26,$E139=$AA$27,$E139=$AA$28,$E139=$AA$29),G139,0)</f>
        <v>0</v>
      </c>
      <c r="W139" s="305" t="str">
        <f t="shared" si="8"/>
        <v xml:space="preserve"> </v>
      </c>
      <c r="X139" s="288"/>
    </row>
    <row r="140" spans="1:24">
      <c r="A140" s="286">
        <v>20</v>
      </c>
      <c r="C140" s="286" t="s">
        <v>644</v>
      </c>
      <c r="D140" s="286" t="s">
        <v>651</v>
      </c>
      <c r="E140" s="286" t="s">
        <v>643</v>
      </c>
      <c r="F140" s="286">
        <v>26</v>
      </c>
      <c r="G140" s="425">
        <v>-10.06</v>
      </c>
      <c r="H140" s="425">
        <v>0.53</v>
      </c>
      <c r="J140" s="289"/>
      <c r="K140" s="289"/>
      <c r="L140" s="291"/>
      <c r="M140" s="291"/>
      <c r="N140" s="300"/>
      <c r="O140" s="296"/>
      <c r="P140" s="294"/>
      <c r="Q140" s="294"/>
      <c r="R140" s="295"/>
      <c r="S140" s="302">
        <f t="shared" si="9"/>
        <v>0</v>
      </c>
      <c r="T140" s="302"/>
      <c r="U140" s="303"/>
      <c r="V140" s="305">
        <f t="shared" si="10"/>
        <v>0</v>
      </c>
      <c r="W140" s="305" t="str">
        <f t="shared" si="8"/>
        <v xml:space="preserve"> </v>
      </c>
      <c r="X140" s="288"/>
    </row>
    <row r="141" spans="1:24">
      <c r="A141" s="286">
        <v>21</v>
      </c>
      <c r="C141" s="286" t="s">
        <v>597</v>
      </c>
      <c r="D141" s="286" t="s">
        <v>653</v>
      </c>
      <c r="E141" s="286" t="s">
        <v>598</v>
      </c>
      <c r="F141" s="286">
        <f>IF(VLOOKUP(A141,'WP-5 Payroll Data'!$K$11:$O$151,3,FALSE)&gt;26,26,VLOOKUP(A141,'WP-5 Payroll Data'!$K$11:$O$151,3,FALSE))</f>
        <v>26</v>
      </c>
      <c r="G141" s="425">
        <v>58222.760000000009</v>
      </c>
      <c r="H141" s="425">
        <v>1809</v>
      </c>
      <c r="J141" s="289">
        <f>VLOOKUP(A141,'WP-5 Payroll Data'!$K$11:$O$151,4,FALSE)</f>
        <v>68791.98</v>
      </c>
      <c r="K141" s="289">
        <f>VLOOKUP(A141,'WP-5 Payroll Data'!$K$11:$O$151,5,FALSE)</f>
        <v>2064</v>
      </c>
      <c r="L141" s="289">
        <f>J141/K141</f>
        <v>33.329447674418603</v>
      </c>
      <c r="M141" s="289"/>
      <c r="N141" s="300">
        <f>IF((K141/F141)*26&gt;1500,2080,IF((K141/F141)*26&gt;300,520,IF((K141/F141)*26&gt;100,260,K141)))</f>
        <v>2080</v>
      </c>
      <c r="O141" s="296">
        <f>N141*L141</f>
        <v>69325.251162790693</v>
      </c>
      <c r="P141" s="294"/>
      <c r="Q141" s="294">
        <f>O141*0.03</f>
        <v>2079.7575348837208</v>
      </c>
      <c r="R141" s="295"/>
      <c r="S141" s="302">
        <f t="shared" si="9"/>
        <v>0</v>
      </c>
      <c r="T141" s="302"/>
      <c r="U141" s="303"/>
      <c r="V141" s="305">
        <f t="shared" si="10"/>
        <v>0</v>
      </c>
      <c r="W141" s="305" t="str">
        <f t="shared" si="8"/>
        <v xml:space="preserve"> </v>
      </c>
      <c r="X141" s="288"/>
    </row>
    <row r="142" spans="1:24">
      <c r="A142" s="286">
        <v>21</v>
      </c>
      <c r="C142" s="286" t="s">
        <v>597</v>
      </c>
      <c r="D142" s="286" t="s">
        <v>653</v>
      </c>
      <c r="E142" s="286" t="s">
        <v>599</v>
      </c>
      <c r="F142" s="286">
        <v>26</v>
      </c>
      <c r="G142" s="425">
        <v>5297.49</v>
      </c>
      <c r="H142" s="425">
        <v>92.580000000000013</v>
      </c>
      <c r="J142" s="289"/>
      <c r="K142" s="291"/>
      <c r="L142" s="291"/>
      <c r="M142" s="291"/>
      <c r="N142" s="300"/>
      <c r="O142" s="296"/>
      <c r="P142" s="294"/>
      <c r="Q142" s="294"/>
      <c r="R142" s="295"/>
      <c r="S142" s="302">
        <f t="shared" si="9"/>
        <v>5297.49</v>
      </c>
      <c r="T142" s="302">
        <f t="shared" ref="T142:T201" si="11">S142*0.03</f>
        <v>158.9247</v>
      </c>
      <c r="U142" s="303"/>
      <c r="V142" s="305">
        <f t="shared" si="10"/>
        <v>0</v>
      </c>
      <c r="W142" s="305" t="str">
        <f t="shared" si="8"/>
        <v xml:space="preserve"> </v>
      </c>
      <c r="X142" s="288"/>
    </row>
    <row r="143" spans="1:24">
      <c r="A143" s="286">
        <v>21</v>
      </c>
      <c r="C143" s="286" t="s">
        <v>597</v>
      </c>
      <c r="D143" s="286" t="s">
        <v>653</v>
      </c>
      <c r="E143" s="286" t="s">
        <v>601</v>
      </c>
      <c r="F143" s="286">
        <v>26</v>
      </c>
      <c r="G143" s="425">
        <v>16903.169999999998</v>
      </c>
      <c r="H143" s="425">
        <v>222.2</v>
      </c>
      <c r="J143" s="289"/>
      <c r="K143" s="289"/>
      <c r="L143" s="291"/>
      <c r="M143" s="291"/>
      <c r="N143" s="300"/>
      <c r="O143" s="296"/>
      <c r="P143" s="294"/>
      <c r="Q143" s="294"/>
      <c r="R143" s="295"/>
      <c r="S143" s="302">
        <f t="shared" si="9"/>
        <v>16903.169999999998</v>
      </c>
      <c r="T143" s="302">
        <f t="shared" si="11"/>
        <v>507.09509999999995</v>
      </c>
      <c r="U143" s="303"/>
      <c r="V143" s="305">
        <f t="shared" si="10"/>
        <v>0</v>
      </c>
      <c r="W143" s="305" t="str">
        <f t="shared" si="8"/>
        <v xml:space="preserve"> </v>
      </c>
      <c r="X143" s="288"/>
    </row>
    <row r="144" spans="1:24">
      <c r="A144" s="286">
        <v>21</v>
      </c>
      <c r="C144" s="286" t="s">
        <v>597</v>
      </c>
      <c r="D144" s="286" t="s">
        <v>653</v>
      </c>
      <c r="E144" s="286" t="s">
        <v>605</v>
      </c>
      <c r="F144" s="286">
        <v>26</v>
      </c>
      <c r="G144" s="425">
        <v>5253.5000000000009</v>
      </c>
      <c r="H144" s="425">
        <v>162.94999999999999</v>
      </c>
      <c r="J144" s="289"/>
      <c r="K144" s="289"/>
      <c r="L144" s="291"/>
      <c r="M144" s="291"/>
      <c r="N144" s="300"/>
      <c r="O144" s="296"/>
      <c r="P144" s="294"/>
      <c r="Q144" s="294"/>
      <c r="R144" s="295"/>
      <c r="S144" s="302">
        <f t="shared" si="9"/>
        <v>0</v>
      </c>
      <c r="T144" s="302"/>
      <c r="U144" s="303"/>
      <c r="V144" s="305">
        <f t="shared" si="10"/>
        <v>0</v>
      </c>
      <c r="W144" s="305" t="str">
        <f t="shared" si="8"/>
        <v xml:space="preserve"> </v>
      </c>
      <c r="X144" s="288"/>
    </row>
    <row r="145" spans="1:24">
      <c r="A145" s="286">
        <v>21</v>
      </c>
      <c r="C145" s="286" t="s">
        <v>597</v>
      </c>
      <c r="D145" s="286" t="s">
        <v>653</v>
      </c>
      <c r="E145" s="286" t="s">
        <v>608</v>
      </c>
      <c r="F145" s="286">
        <v>26</v>
      </c>
      <c r="G145" s="425">
        <v>1287.99</v>
      </c>
      <c r="H145" s="425">
        <v>39.950000000000003</v>
      </c>
      <c r="J145" s="289"/>
      <c r="K145" s="289"/>
      <c r="L145" s="291"/>
      <c r="M145" s="291"/>
      <c r="N145" s="300"/>
      <c r="O145" s="296"/>
      <c r="P145" s="294"/>
      <c r="Q145" s="294"/>
      <c r="R145" s="295"/>
      <c r="S145" s="302">
        <f t="shared" si="9"/>
        <v>0</v>
      </c>
      <c r="T145" s="302"/>
      <c r="U145" s="303"/>
      <c r="V145" s="305">
        <f t="shared" si="10"/>
        <v>0</v>
      </c>
      <c r="W145" s="305" t="str">
        <f t="shared" si="8"/>
        <v xml:space="preserve"> </v>
      </c>
      <c r="X145" s="288"/>
    </row>
    <row r="146" spans="1:24">
      <c r="A146" s="286">
        <v>21</v>
      </c>
      <c r="C146" s="286" t="s">
        <v>597</v>
      </c>
      <c r="D146" s="286" t="s">
        <v>653</v>
      </c>
      <c r="E146" s="286" t="s">
        <v>602</v>
      </c>
      <c r="F146" s="286">
        <v>26</v>
      </c>
      <c r="G146" s="425">
        <v>515.84</v>
      </c>
      <c r="H146" s="425">
        <v>16</v>
      </c>
      <c r="J146" s="289"/>
      <c r="K146" s="289"/>
      <c r="L146" s="291"/>
      <c r="M146" s="291"/>
      <c r="N146" s="300"/>
      <c r="O146" s="296"/>
      <c r="P146" s="294"/>
      <c r="Q146" s="294"/>
      <c r="R146" s="295"/>
      <c r="S146" s="302">
        <f t="shared" si="9"/>
        <v>0</v>
      </c>
      <c r="T146" s="302"/>
      <c r="U146" s="303"/>
      <c r="V146" s="305">
        <f t="shared" si="10"/>
        <v>515.84</v>
      </c>
      <c r="W146" s="305" t="str">
        <f t="shared" si="8"/>
        <v xml:space="preserve"> </v>
      </c>
      <c r="X146" s="288"/>
    </row>
    <row r="147" spans="1:24">
      <c r="A147" s="286">
        <v>21</v>
      </c>
      <c r="C147" s="286" t="s">
        <v>597</v>
      </c>
      <c r="D147" s="286" t="s">
        <v>653</v>
      </c>
      <c r="E147" s="286" t="s">
        <v>610</v>
      </c>
      <c r="F147" s="286">
        <v>26</v>
      </c>
      <c r="G147" s="425">
        <v>773.76</v>
      </c>
      <c r="H147" s="425">
        <v>24</v>
      </c>
      <c r="J147" s="289"/>
      <c r="K147" s="289"/>
      <c r="L147" s="291"/>
      <c r="M147" s="291"/>
      <c r="N147" s="300"/>
      <c r="O147" s="296"/>
      <c r="P147" s="294"/>
      <c r="Q147" s="294"/>
      <c r="R147" s="295"/>
      <c r="S147" s="302">
        <f t="shared" si="9"/>
        <v>0</v>
      </c>
      <c r="T147" s="302"/>
      <c r="U147" s="303"/>
      <c r="V147" s="305">
        <f t="shared" si="10"/>
        <v>0</v>
      </c>
      <c r="W147" s="305" t="str">
        <f t="shared" si="8"/>
        <v xml:space="preserve"> </v>
      </c>
      <c r="X147" s="288"/>
    </row>
    <row r="148" spans="1:24">
      <c r="A148" s="286">
        <v>21</v>
      </c>
      <c r="C148" s="286" t="s">
        <v>597</v>
      </c>
      <c r="D148" s="286" t="s">
        <v>653</v>
      </c>
      <c r="E148" s="286" t="s">
        <v>638</v>
      </c>
      <c r="F148" s="286">
        <v>26</v>
      </c>
      <c r="G148" s="425">
        <v>773.76</v>
      </c>
      <c r="H148" s="425">
        <v>24</v>
      </c>
      <c r="J148" s="289"/>
      <c r="K148" s="289"/>
      <c r="L148" s="291"/>
      <c r="M148" s="291"/>
      <c r="N148" s="300"/>
      <c r="O148" s="296"/>
      <c r="P148" s="294"/>
      <c r="Q148" s="294"/>
      <c r="R148" s="295"/>
      <c r="S148" s="302">
        <f t="shared" si="9"/>
        <v>0</v>
      </c>
      <c r="T148" s="302"/>
      <c r="U148" s="303"/>
      <c r="V148" s="305">
        <f t="shared" si="10"/>
        <v>0</v>
      </c>
      <c r="W148" s="305" t="str">
        <f t="shared" si="8"/>
        <v xml:space="preserve"> </v>
      </c>
      <c r="X148" s="288"/>
    </row>
    <row r="149" spans="1:24">
      <c r="A149" s="286">
        <v>21</v>
      </c>
      <c r="C149" s="286" t="s">
        <v>597</v>
      </c>
      <c r="D149" s="286" t="s">
        <v>653</v>
      </c>
      <c r="E149" s="286" t="s">
        <v>642</v>
      </c>
      <c r="F149" s="286">
        <v>26</v>
      </c>
      <c r="G149" s="425">
        <v>132.18</v>
      </c>
      <c r="H149" s="425">
        <v>4.0999999999999996</v>
      </c>
      <c r="J149" s="289"/>
      <c r="K149" s="289"/>
      <c r="L149" s="291"/>
      <c r="M149" s="291"/>
      <c r="N149" s="300"/>
      <c r="O149" s="296"/>
      <c r="P149" s="294"/>
      <c r="Q149" s="294"/>
      <c r="R149" s="295"/>
      <c r="S149" s="302">
        <f t="shared" si="9"/>
        <v>0</v>
      </c>
      <c r="T149" s="302"/>
      <c r="U149" s="303"/>
      <c r="V149" s="305">
        <f t="shared" si="10"/>
        <v>0</v>
      </c>
      <c r="W149" s="305" t="str">
        <f t="shared" si="8"/>
        <v xml:space="preserve"> </v>
      </c>
      <c r="X149" s="288"/>
    </row>
    <row r="150" spans="1:24">
      <c r="A150" s="286">
        <v>21</v>
      </c>
      <c r="C150" s="286" t="s">
        <v>597</v>
      </c>
      <c r="D150" s="286" t="s">
        <v>653</v>
      </c>
      <c r="E150" s="286" t="s">
        <v>607</v>
      </c>
      <c r="F150" s="286">
        <v>26</v>
      </c>
      <c r="G150" s="425">
        <v>4160</v>
      </c>
      <c r="H150" s="425">
        <v>0</v>
      </c>
      <c r="J150" s="289"/>
      <c r="K150" s="289"/>
      <c r="L150" s="291"/>
      <c r="M150" s="291"/>
      <c r="N150" s="300"/>
      <c r="O150" s="296"/>
      <c r="P150" s="294"/>
      <c r="Q150" s="294"/>
      <c r="R150" s="295"/>
      <c r="S150" s="302">
        <f t="shared" si="9"/>
        <v>0</v>
      </c>
      <c r="T150" s="302"/>
      <c r="U150" s="303"/>
      <c r="V150" s="305">
        <f t="shared" si="10"/>
        <v>4160</v>
      </c>
      <c r="W150" s="305" t="str">
        <f t="shared" si="8"/>
        <v xml:space="preserve"> </v>
      </c>
      <c r="X150" s="288"/>
    </row>
    <row r="151" spans="1:24">
      <c r="A151" s="286">
        <v>21</v>
      </c>
      <c r="C151" s="286" t="s">
        <v>597</v>
      </c>
      <c r="D151" s="286" t="s">
        <v>653</v>
      </c>
      <c r="E151" s="286" t="s">
        <v>609</v>
      </c>
      <c r="F151" s="286">
        <v>26</v>
      </c>
      <c r="G151" s="425">
        <v>6240</v>
      </c>
      <c r="H151" s="425">
        <v>0</v>
      </c>
      <c r="J151" s="289"/>
      <c r="K151" s="289"/>
      <c r="L151" s="291"/>
      <c r="M151" s="291"/>
      <c r="N151" s="300"/>
      <c r="O151" s="296"/>
      <c r="P151" s="294"/>
      <c r="Q151" s="294"/>
      <c r="R151" s="295"/>
      <c r="S151" s="302">
        <f t="shared" si="9"/>
        <v>0</v>
      </c>
      <c r="T151" s="302"/>
      <c r="U151" s="303"/>
      <c r="V151" s="305">
        <f t="shared" si="10"/>
        <v>6240</v>
      </c>
      <c r="W151" s="305" t="str">
        <f t="shared" si="8"/>
        <v xml:space="preserve"> </v>
      </c>
      <c r="X151" s="288"/>
    </row>
    <row r="152" spans="1:24">
      <c r="A152" s="286">
        <v>21</v>
      </c>
      <c r="C152" s="286" t="s">
        <v>597</v>
      </c>
      <c r="D152" s="286" t="s">
        <v>653</v>
      </c>
      <c r="E152" s="286" t="s">
        <v>611</v>
      </c>
      <c r="F152" s="286">
        <v>26</v>
      </c>
      <c r="G152" s="425">
        <v>1976</v>
      </c>
      <c r="H152" s="425">
        <v>0</v>
      </c>
      <c r="J152" s="289"/>
      <c r="K152" s="289"/>
      <c r="L152" s="291"/>
      <c r="M152" s="291"/>
      <c r="N152" s="300"/>
      <c r="O152" s="296"/>
      <c r="P152" s="294"/>
      <c r="Q152" s="294"/>
      <c r="R152" s="295"/>
      <c r="S152" s="302">
        <f t="shared" si="9"/>
        <v>0</v>
      </c>
      <c r="T152" s="302"/>
      <c r="U152" s="303"/>
      <c r="V152" s="305">
        <f t="shared" si="10"/>
        <v>1976</v>
      </c>
      <c r="W152" s="305" t="str">
        <f t="shared" si="8"/>
        <v xml:space="preserve"> </v>
      </c>
      <c r="X152" s="288"/>
    </row>
    <row r="153" spans="1:24">
      <c r="A153" s="286">
        <v>21</v>
      </c>
      <c r="C153" s="286" t="s">
        <v>597</v>
      </c>
      <c r="D153" s="286" t="s">
        <v>653</v>
      </c>
      <c r="E153" s="286" t="s">
        <v>624</v>
      </c>
      <c r="F153" s="286">
        <v>26</v>
      </c>
      <c r="G153" s="425">
        <v>2000</v>
      </c>
      <c r="H153" s="425">
        <v>0</v>
      </c>
      <c r="J153" s="289"/>
      <c r="K153" s="289"/>
      <c r="L153" s="291"/>
      <c r="M153" s="291"/>
      <c r="N153" s="300"/>
      <c r="O153" s="296"/>
      <c r="P153" s="294"/>
      <c r="Q153" s="294"/>
      <c r="R153" s="295"/>
      <c r="S153" s="302">
        <f t="shared" si="9"/>
        <v>0</v>
      </c>
      <c r="T153" s="302"/>
      <c r="U153" s="303"/>
      <c r="V153" s="305">
        <f t="shared" si="10"/>
        <v>2000</v>
      </c>
      <c r="W153" s="305">
        <f t="shared" si="8"/>
        <v>500</v>
      </c>
      <c r="X153" s="288"/>
    </row>
    <row r="154" spans="1:24">
      <c r="A154" s="286">
        <v>21</v>
      </c>
      <c r="C154" s="286" t="s">
        <v>597</v>
      </c>
      <c r="D154" s="286" t="s">
        <v>653</v>
      </c>
      <c r="E154" s="286" t="s">
        <v>629</v>
      </c>
      <c r="F154" s="286">
        <v>26</v>
      </c>
      <c r="G154" s="425">
        <v>3375</v>
      </c>
      <c r="H154" s="425">
        <v>0</v>
      </c>
      <c r="J154" s="289"/>
      <c r="K154" s="289"/>
      <c r="L154" s="291"/>
      <c r="M154" s="291"/>
      <c r="N154" s="300"/>
      <c r="O154" s="296"/>
      <c r="P154" s="294"/>
      <c r="Q154" s="294"/>
      <c r="R154" s="295"/>
      <c r="S154" s="302">
        <f t="shared" si="9"/>
        <v>0</v>
      </c>
      <c r="T154" s="302"/>
      <c r="U154" s="303"/>
      <c r="V154" s="305">
        <f t="shared" si="10"/>
        <v>3375</v>
      </c>
      <c r="W154" s="305" t="str">
        <f t="shared" si="8"/>
        <v xml:space="preserve"> </v>
      </c>
      <c r="X154" s="288"/>
    </row>
    <row r="155" spans="1:24">
      <c r="A155" s="286">
        <v>21</v>
      </c>
      <c r="C155" s="286" t="s">
        <v>597</v>
      </c>
      <c r="D155" s="286" t="s">
        <v>653</v>
      </c>
      <c r="E155" s="286" t="s">
        <v>636</v>
      </c>
      <c r="F155" s="286">
        <v>26</v>
      </c>
      <c r="G155" s="425">
        <v>2348.0300000000002</v>
      </c>
      <c r="H155" s="425">
        <v>0</v>
      </c>
      <c r="J155" s="289"/>
      <c r="K155" s="289"/>
      <c r="L155" s="291"/>
      <c r="M155" s="291"/>
      <c r="N155" s="300"/>
      <c r="O155" s="296"/>
      <c r="P155" s="294"/>
      <c r="Q155" s="294"/>
      <c r="R155" s="295"/>
      <c r="S155" s="302">
        <f t="shared" si="9"/>
        <v>0</v>
      </c>
      <c r="T155" s="302"/>
      <c r="U155" s="303"/>
      <c r="V155" s="305">
        <f t="shared" si="10"/>
        <v>0</v>
      </c>
      <c r="W155" s="305" t="str">
        <f t="shared" si="8"/>
        <v xml:space="preserve"> </v>
      </c>
      <c r="X155" s="288"/>
    </row>
    <row r="156" spans="1:24">
      <c r="A156" s="286">
        <v>22</v>
      </c>
      <c r="C156" s="286" t="s">
        <v>597</v>
      </c>
      <c r="D156" s="286"/>
      <c r="E156" s="286" t="s">
        <v>598</v>
      </c>
      <c r="F156" s="286">
        <f>IF(VLOOKUP(A156,'WP-5 Payroll Data'!$K$11:$O$151,3,FALSE)&gt;26,26,VLOOKUP(A156,'WP-5 Payroll Data'!$K$11:$O$151,3,FALSE))</f>
        <v>26</v>
      </c>
      <c r="G156" s="424">
        <v>6965.4500000000007</v>
      </c>
      <c r="H156" s="425">
        <v>213.9</v>
      </c>
      <c r="J156" s="289">
        <f>VLOOKUP(A156,'WP-5 Payroll Data'!$K$11:$O$151,4,FALSE)</f>
        <v>8396.99</v>
      </c>
      <c r="K156" s="289">
        <f>VLOOKUP(A156,'WP-5 Payroll Data'!$K$11:$O$151,5,FALSE)</f>
        <v>258.02999999999997</v>
      </c>
      <c r="L156" s="289">
        <f>J156/K156</f>
        <v>32.542688834631633</v>
      </c>
      <c r="M156" s="289"/>
      <c r="N156" s="300">
        <f>IF((K156/F156)*26&gt;1500,2080,IF((K156/F156)*26&gt;300,520,IF((K156/F156)*26&gt;100,260,K156)))</f>
        <v>260</v>
      </c>
      <c r="O156" s="296">
        <f>N156*L156</f>
        <v>8461.0990970042239</v>
      </c>
      <c r="P156" s="294"/>
      <c r="Q156" s="294">
        <f>O156*0.03</f>
        <v>253.8329729101267</v>
      </c>
      <c r="R156" s="295"/>
      <c r="S156" s="302">
        <f t="shared" si="9"/>
        <v>0</v>
      </c>
      <c r="T156" s="302"/>
      <c r="U156" s="303"/>
      <c r="V156" s="305">
        <f t="shared" si="10"/>
        <v>0</v>
      </c>
      <c r="W156" s="305" t="str">
        <f t="shared" si="8"/>
        <v xml:space="preserve"> </v>
      </c>
      <c r="X156" s="288"/>
    </row>
    <row r="157" spans="1:24">
      <c r="A157" s="286">
        <v>22</v>
      </c>
      <c r="C157" s="286" t="s">
        <v>597</v>
      </c>
      <c r="D157" s="286"/>
      <c r="E157" s="286" t="s">
        <v>605</v>
      </c>
      <c r="F157" s="286">
        <v>26</v>
      </c>
      <c r="G157" s="424">
        <v>908.92000000000007</v>
      </c>
      <c r="H157" s="425">
        <v>28</v>
      </c>
      <c r="J157" s="289"/>
      <c r="K157" s="289"/>
      <c r="L157" s="291"/>
      <c r="M157" s="291"/>
      <c r="N157" s="300"/>
      <c r="O157" s="296"/>
      <c r="P157" s="294"/>
      <c r="Q157" s="294"/>
      <c r="R157" s="295"/>
      <c r="S157" s="302">
        <f t="shared" si="9"/>
        <v>0</v>
      </c>
      <c r="T157" s="302"/>
      <c r="U157" s="303"/>
      <c r="V157" s="305">
        <f t="shared" si="10"/>
        <v>0</v>
      </c>
      <c r="W157" s="305" t="str">
        <f t="shared" si="8"/>
        <v xml:space="preserve"> </v>
      </c>
      <c r="X157" s="288"/>
    </row>
    <row r="158" spans="1:24">
      <c r="A158" s="286">
        <v>22</v>
      </c>
      <c r="C158" s="286" t="s">
        <v>597</v>
      </c>
      <c r="D158" s="286"/>
      <c r="E158" s="286" t="s">
        <v>608</v>
      </c>
      <c r="F158" s="286">
        <v>26</v>
      </c>
      <c r="G158" s="424">
        <v>424.82000000000005</v>
      </c>
      <c r="H158" s="425">
        <v>13.13</v>
      </c>
      <c r="J158" s="289"/>
      <c r="K158" s="289"/>
      <c r="L158" s="291"/>
      <c r="M158" s="291"/>
      <c r="N158" s="300"/>
      <c r="O158" s="296"/>
      <c r="P158" s="294"/>
      <c r="Q158" s="294"/>
      <c r="R158" s="295"/>
      <c r="S158" s="302">
        <f t="shared" si="9"/>
        <v>0</v>
      </c>
      <c r="T158" s="302"/>
      <c r="U158" s="303"/>
      <c r="V158" s="305">
        <f t="shared" si="10"/>
        <v>0</v>
      </c>
      <c r="W158" s="305" t="str">
        <f t="shared" si="8"/>
        <v xml:space="preserve"> </v>
      </c>
      <c r="X158" s="288"/>
    </row>
    <row r="159" spans="1:24">
      <c r="A159" s="286">
        <v>22</v>
      </c>
      <c r="C159" s="286" t="s">
        <v>597</v>
      </c>
      <c r="D159" s="286"/>
      <c r="E159" s="286" t="s">
        <v>602</v>
      </c>
      <c r="F159" s="286">
        <v>26</v>
      </c>
      <c r="G159" s="424">
        <v>65.19</v>
      </c>
      <c r="H159" s="425">
        <v>2</v>
      </c>
      <c r="J159" s="289"/>
      <c r="K159" s="289"/>
      <c r="L159" s="291"/>
      <c r="M159" s="291"/>
      <c r="N159" s="300"/>
      <c r="O159" s="296"/>
      <c r="P159" s="294"/>
      <c r="Q159" s="294"/>
      <c r="R159" s="295"/>
      <c r="S159" s="302">
        <f t="shared" si="9"/>
        <v>0</v>
      </c>
      <c r="T159" s="302"/>
      <c r="U159" s="303"/>
      <c r="V159" s="305">
        <f t="shared" si="10"/>
        <v>65.19</v>
      </c>
      <c r="W159" s="305" t="str">
        <f t="shared" si="8"/>
        <v xml:space="preserve"> </v>
      </c>
      <c r="X159" s="288"/>
    </row>
    <row r="160" spans="1:24">
      <c r="A160" s="286">
        <v>22</v>
      </c>
      <c r="C160" s="286" t="s">
        <v>597</v>
      </c>
      <c r="D160" s="286"/>
      <c r="E160" s="286" t="s">
        <v>610</v>
      </c>
      <c r="F160" s="286">
        <v>26</v>
      </c>
      <c r="G160" s="424">
        <v>97.800000000000011</v>
      </c>
      <c r="H160" s="425">
        <v>3</v>
      </c>
      <c r="J160" s="289"/>
      <c r="K160" s="289"/>
      <c r="L160" s="291"/>
      <c r="M160" s="291"/>
      <c r="N160" s="300"/>
      <c r="O160" s="296"/>
      <c r="P160" s="294"/>
      <c r="Q160" s="294"/>
      <c r="R160" s="295"/>
      <c r="S160" s="302">
        <f t="shared" si="9"/>
        <v>0</v>
      </c>
      <c r="T160" s="302"/>
      <c r="U160" s="303"/>
      <c r="V160" s="305">
        <f t="shared" si="10"/>
        <v>0</v>
      </c>
      <c r="W160" s="305" t="str">
        <f t="shared" si="8"/>
        <v xml:space="preserve"> </v>
      </c>
      <c r="X160" s="288"/>
    </row>
    <row r="161" spans="1:24">
      <c r="A161" s="286">
        <v>22</v>
      </c>
      <c r="C161" s="286" t="s">
        <v>597</v>
      </c>
      <c r="D161" s="286"/>
      <c r="E161" s="286" t="s">
        <v>612</v>
      </c>
      <c r="F161" s="286">
        <v>26</v>
      </c>
      <c r="G161" s="424">
        <v>12.5</v>
      </c>
      <c r="H161" s="425">
        <v>0</v>
      </c>
      <c r="J161" s="289"/>
      <c r="K161" s="289"/>
      <c r="L161" s="291"/>
      <c r="M161" s="291"/>
      <c r="N161" s="300"/>
      <c r="O161" s="296"/>
      <c r="P161" s="294"/>
      <c r="Q161" s="294"/>
      <c r="R161" s="295"/>
      <c r="S161" s="302">
        <f t="shared" si="9"/>
        <v>0</v>
      </c>
      <c r="T161" s="302"/>
      <c r="U161" s="303"/>
      <c r="V161" s="305">
        <f t="shared" si="10"/>
        <v>12.5</v>
      </c>
      <c r="W161" s="305" t="str">
        <f t="shared" si="8"/>
        <v xml:space="preserve"> </v>
      </c>
      <c r="X161" s="288"/>
    </row>
    <row r="162" spans="1:24">
      <c r="A162" s="286">
        <v>22</v>
      </c>
      <c r="C162" s="286" t="s">
        <v>597</v>
      </c>
      <c r="D162" s="286"/>
      <c r="E162" s="286" t="s">
        <v>624</v>
      </c>
      <c r="F162" s="286">
        <v>26</v>
      </c>
      <c r="G162" s="424">
        <v>275</v>
      </c>
      <c r="H162" s="425">
        <v>0</v>
      </c>
      <c r="J162" s="289"/>
      <c r="K162" s="289"/>
      <c r="L162" s="291"/>
      <c r="M162" s="291"/>
      <c r="N162" s="300"/>
      <c r="O162" s="296"/>
      <c r="P162" s="294"/>
      <c r="Q162" s="294"/>
      <c r="R162" s="295"/>
      <c r="S162" s="302">
        <f t="shared" si="9"/>
        <v>0</v>
      </c>
      <c r="T162" s="302"/>
      <c r="U162" s="303"/>
      <c r="V162" s="305">
        <f t="shared" si="10"/>
        <v>275</v>
      </c>
      <c r="W162" s="305">
        <f t="shared" si="8"/>
        <v>68.75</v>
      </c>
      <c r="X162" s="288"/>
    </row>
    <row r="163" spans="1:24">
      <c r="A163" s="286">
        <v>23</v>
      </c>
      <c r="C163" s="286" t="s">
        <v>619</v>
      </c>
      <c r="D163" s="286" t="s">
        <v>654</v>
      </c>
      <c r="E163" s="286" t="s">
        <v>621</v>
      </c>
      <c r="F163" s="286">
        <f>IF(VLOOKUP(A163,'WP-5 Payroll Data'!$K$11:$O$151,3,FALSE)&gt;26,26,VLOOKUP(A163,'WP-5 Payroll Data'!$K$11:$O$151,3,FALSE))</f>
        <v>26</v>
      </c>
      <c r="G163" s="425">
        <v>37623.660000000011</v>
      </c>
      <c r="H163" s="425">
        <v>1568.8</v>
      </c>
      <c r="J163" s="289">
        <f>VLOOKUP(A163,'WP-5 Payroll Data'!$K$11:$O$151,4,FALSE)</f>
        <v>49954.15</v>
      </c>
      <c r="K163" s="289">
        <f>VLOOKUP(A163,'WP-5 Payroll Data'!$K$11:$O$151,5,FALSE)</f>
        <v>2080</v>
      </c>
      <c r="L163" s="289">
        <f>J163/K163</f>
        <v>24.016418269230769</v>
      </c>
      <c r="M163" s="289"/>
      <c r="N163" s="300">
        <f>IF((K163/F163)*26&gt;1500,2080,IF((K163/F163)*26&gt;300,520,IF((K163/F163)*26&gt;100,260,K163)))</f>
        <v>2080</v>
      </c>
      <c r="O163" s="296">
        <f>N163*L163</f>
        <v>49954.15</v>
      </c>
      <c r="P163" s="294"/>
      <c r="Q163" s="294">
        <f>O163*0.03</f>
        <v>1498.6244999999999</v>
      </c>
      <c r="R163" s="295"/>
      <c r="S163" s="302">
        <f t="shared" si="9"/>
        <v>0</v>
      </c>
      <c r="T163" s="302"/>
      <c r="U163" s="303"/>
      <c r="V163" s="305">
        <f t="shared" si="10"/>
        <v>0</v>
      </c>
      <c r="W163" s="305" t="str">
        <f t="shared" si="8"/>
        <v xml:space="preserve"> </v>
      </c>
      <c r="X163" s="288"/>
    </row>
    <row r="164" spans="1:24">
      <c r="A164" s="286">
        <v>23</v>
      </c>
      <c r="C164" s="286" t="s">
        <v>619</v>
      </c>
      <c r="D164" s="286" t="s">
        <v>654</v>
      </c>
      <c r="E164" s="286" t="s">
        <v>599</v>
      </c>
      <c r="F164" s="286">
        <v>27</v>
      </c>
      <c r="G164" s="425">
        <v>408.55</v>
      </c>
      <c r="H164" s="425">
        <v>11.6</v>
      </c>
      <c r="J164" s="289"/>
      <c r="K164" s="291"/>
      <c r="L164" s="291"/>
      <c r="M164" s="291"/>
      <c r="N164" s="300"/>
      <c r="O164" s="296"/>
      <c r="P164" s="294"/>
      <c r="Q164" s="294"/>
      <c r="R164" s="295"/>
      <c r="S164" s="302">
        <f t="shared" si="9"/>
        <v>408.55</v>
      </c>
      <c r="T164" s="302">
        <f t="shared" si="11"/>
        <v>12.256499999999999</v>
      </c>
      <c r="U164" s="303"/>
      <c r="V164" s="305">
        <f t="shared" si="10"/>
        <v>0</v>
      </c>
      <c r="W164" s="305" t="str">
        <f t="shared" si="8"/>
        <v xml:space="preserve"> </v>
      </c>
      <c r="X164" s="288"/>
    </row>
    <row r="165" spans="1:24">
      <c r="A165" s="286">
        <v>23</v>
      </c>
      <c r="C165" s="286" t="s">
        <v>619</v>
      </c>
      <c r="D165" s="286" t="s">
        <v>654</v>
      </c>
      <c r="E165" s="286" t="s">
        <v>601</v>
      </c>
      <c r="F165" s="286">
        <v>27</v>
      </c>
      <c r="G165" s="425">
        <v>2113.1999999999998</v>
      </c>
      <c r="H165" s="425">
        <v>45</v>
      </c>
      <c r="J165" s="289"/>
      <c r="K165" s="289"/>
      <c r="L165" s="291"/>
      <c r="M165" s="291"/>
      <c r="N165" s="300"/>
      <c r="O165" s="296"/>
      <c r="P165" s="294"/>
      <c r="Q165" s="294"/>
      <c r="R165" s="295"/>
      <c r="S165" s="302">
        <f t="shared" si="9"/>
        <v>2113.1999999999998</v>
      </c>
      <c r="T165" s="302">
        <f t="shared" si="11"/>
        <v>63.395999999999994</v>
      </c>
      <c r="U165" s="303"/>
      <c r="V165" s="305">
        <f t="shared" si="10"/>
        <v>0</v>
      </c>
      <c r="W165" s="305" t="str">
        <f t="shared" si="8"/>
        <v xml:space="preserve"> </v>
      </c>
      <c r="X165" s="288"/>
    </row>
    <row r="166" spans="1:24">
      <c r="A166" s="286">
        <v>23</v>
      </c>
      <c r="C166" s="286" t="s">
        <v>619</v>
      </c>
      <c r="D166" s="286" t="s">
        <v>654</v>
      </c>
      <c r="E166" s="286" t="s">
        <v>627</v>
      </c>
      <c r="F166" s="286">
        <v>27</v>
      </c>
      <c r="G166" s="425">
        <v>4618.84</v>
      </c>
      <c r="H166" s="425">
        <v>193.3</v>
      </c>
      <c r="J166" s="289"/>
      <c r="K166" s="289"/>
      <c r="L166" s="291"/>
      <c r="M166" s="291"/>
      <c r="N166" s="300"/>
      <c r="O166" s="296"/>
      <c r="P166" s="294"/>
      <c r="Q166" s="294"/>
      <c r="R166" s="295"/>
      <c r="S166" s="302">
        <f t="shared" si="9"/>
        <v>0</v>
      </c>
      <c r="T166" s="302"/>
      <c r="U166" s="303"/>
      <c r="V166" s="305">
        <f t="shared" si="10"/>
        <v>0</v>
      </c>
      <c r="W166" s="305" t="str">
        <f t="shared" si="8"/>
        <v xml:space="preserve"> </v>
      </c>
      <c r="X166" s="288"/>
    </row>
    <row r="167" spans="1:24">
      <c r="A167" s="286">
        <v>23</v>
      </c>
      <c r="C167" s="286" t="s">
        <v>619</v>
      </c>
      <c r="D167" s="286" t="s">
        <v>654</v>
      </c>
      <c r="E167" s="286" t="s">
        <v>630</v>
      </c>
      <c r="F167" s="286">
        <v>27</v>
      </c>
      <c r="G167" s="425">
        <v>3780.7699999999995</v>
      </c>
      <c r="H167" s="425">
        <v>155.9</v>
      </c>
      <c r="J167" s="289"/>
      <c r="K167" s="289"/>
      <c r="L167" s="291"/>
      <c r="M167" s="291"/>
      <c r="N167" s="300"/>
      <c r="O167" s="296"/>
      <c r="P167" s="294"/>
      <c r="Q167" s="294"/>
      <c r="R167" s="295"/>
      <c r="S167" s="302">
        <f t="shared" si="9"/>
        <v>0</v>
      </c>
      <c r="T167" s="302"/>
      <c r="U167" s="303"/>
      <c r="V167" s="305">
        <f t="shared" si="10"/>
        <v>0</v>
      </c>
      <c r="W167" s="305" t="str">
        <f t="shared" si="8"/>
        <v xml:space="preserve"> </v>
      </c>
      <c r="X167" s="288"/>
    </row>
    <row r="168" spans="1:24">
      <c r="A168" s="286">
        <v>23</v>
      </c>
      <c r="C168" s="286" t="s">
        <v>619</v>
      </c>
      <c r="D168" s="286" t="s">
        <v>654</v>
      </c>
      <c r="E168" s="286" t="s">
        <v>633</v>
      </c>
      <c r="F168" s="286">
        <v>27</v>
      </c>
      <c r="G168" s="425">
        <v>2696.56</v>
      </c>
      <c r="H168" s="425">
        <v>112</v>
      </c>
      <c r="J168" s="289"/>
      <c r="K168" s="289"/>
      <c r="L168" s="291"/>
      <c r="M168" s="291"/>
      <c r="N168" s="300"/>
      <c r="O168" s="296"/>
      <c r="P168" s="294"/>
      <c r="Q168" s="294"/>
      <c r="R168" s="295"/>
      <c r="S168" s="302">
        <f t="shared" si="9"/>
        <v>0</v>
      </c>
      <c r="T168" s="302"/>
      <c r="U168" s="303"/>
      <c r="V168" s="305">
        <f t="shared" si="10"/>
        <v>0</v>
      </c>
      <c r="W168" s="305" t="str">
        <f t="shared" si="8"/>
        <v xml:space="preserve"> </v>
      </c>
      <c r="X168" s="288"/>
    </row>
    <row r="169" spans="1:24">
      <c r="A169" s="286">
        <v>23</v>
      </c>
      <c r="C169" s="286" t="s">
        <v>619</v>
      </c>
      <c r="D169" s="286" t="s">
        <v>654</v>
      </c>
      <c r="E169" s="286" t="s">
        <v>634</v>
      </c>
      <c r="F169" s="286">
        <v>27</v>
      </c>
      <c r="G169" s="425">
        <v>952.56</v>
      </c>
      <c r="H169" s="425">
        <v>40</v>
      </c>
      <c r="J169" s="289"/>
      <c r="K169" s="289"/>
      <c r="L169" s="291"/>
      <c r="M169" s="291"/>
      <c r="N169" s="300"/>
      <c r="O169" s="296"/>
      <c r="P169" s="294"/>
      <c r="Q169" s="294"/>
      <c r="R169" s="295"/>
      <c r="S169" s="302">
        <f t="shared" si="9"/>
        <v>0</v>
      </c>
      <c r="T169" s="302"/>
      <c r="U169" s="303"/>
      <c r="V169" s="305">
        <f t="shared" si="10"/>
        <v>0</v>
      </c>
      <c r="W169" s="305" t="str">
        <f t="shared" si="8"/>
        <v xml:space="preserve"> </v>
      </c>
      <c r="X169" s="288"/>
    </row>
    <row r="170" spans="1:24">
      <c r="A170" s="286">
        <v>23</v>
      </c>
      <c r="C170" s="286" t="s">
        <v>619</v>
      </c>
      <c r="D170" s="286" t="s">
        <v>654</v>
      </c>
      <c r="E170" s="286" t="s">
        <v>635</v>
      </c>
      <c r="F170" s="286">
        <v>27</v>
      </c>
      <c r="G170" s="425">
        <v>187.84</v>
      </c>
      <c r="H170" s="425">
        <v>8</v>
      </c>
      <c r="J170" s="289"/>
      <c r="K170" s="289"/>
      <c r="L170" s="291"/>
      <c r="M170" s="291"/>
      <c r="N170" s="300"/>
      <c r="O170" s="296"/>
      <c r="P170" s="294"/>
      <c r="Q170" s="294"/>
      <c r="R170" s="295"/>
      <c r="S170" s="302">
        <f t="shared" si="9"/>
        <v>0</v>
      </c>
      <c r="T170" s="302"/>
      <c r="U170" s="303"/>
      <c r="V170" s="305">
        <f t="shared" si="10"/>
        <v>0</v>
      </c>
      <c r="W170" s="305" t="str">
        <f t="shared" si="8"/>
        <v xml:space="preserve"> </v>
      </c>
      <c r="X170" s="288"/>
    </row>
    <row r="171" spans="1:24">
      <c r="A171" s="286">
        <v>23</v>
      </c>
      <c r="C171" s="286" t="s">
        <v>619</v>
      </c>
      <c r="D171" s="286" t="s">
        <v>654</v>
      </c>
      <c r="E171" s="286" t="s">
        <v>655</v>
      </c>
      <c r="F171" s="286">
        <v>27</v>
      </c>
      <c r="G171" s="425">
        <v>93.92</v>
      </c>
      <c r="H171" s="425">
        <v>2</v>
      </c>
      <c r="J171" s="289"/>
      <c r="K171" s="289"/>
      <c r="L171" s="291"/>
      <c r="M171" s="291"/>
      <c r="N171" s="300"/>
      <c r="O171" s="296"/>
      <c r="P171" s="294"/>
      <c r="Q171" s="294"/>
      <c r="R171" s="295"/>
      <c r="S171" s="302">
        <f t="shared" si="9"/>
        <v>0</v>
      </c>
      <c r="T171" s="302"/>
      <c r="U171" s="303"/>
      <c r="V171" s="305">
        <f t="shared" si="10"/>
        <v>0</v>
      </c>
      <c r="W171" s="305" t="str">
        <f t="shared" si="8"/>
        <v xml:space="preserve"> </v>
      </c>
      <c r="X171" s="288"/>
    </row>
    <row r="172" spans="1:24">
      <c r="A172" s="286">
        <v>23</v>
      </c>
      <c r="C172" s="286" t="s">
        <v>619</v>
      </c>
      <c r="D172" s="286" t="s">
        <v>654</v>
      </c>
      <c r="E172" s="286" t="s">
        <v>623</v>
      </c>
      <c r="F172" s="286">
        <v>27</v>
      </c>
      <c r="G172" s="425">
        <v>250</v>
      </c>
      <c r="H172" s="425">
        <v>0</v>
      </c>
      <c r="J172" s="289"/>
      <c r="K172" s="289"/>
      <c r="L172" s="291"/>
      <c r="M172" s="291"/>
      <c r="N172" s="300"/>
      <c r="O172" s="296"/>
      <c r="P172" s="294"/>
      <c r="Q172" s="294"/>
      <c r="R172" s="295"/>
      <c r="S172" s="302">
        <f t="shared" si="9"/>
        <v>0</v>
      </c>
      <c r="T172" s="302"/>
      <c r="U172" s="303"/>
      <c r="V172" s="305">
        <f t="shared" si="10"/>
        <v>250</v>
      </c>
      <c r="W172" s="305" t="str">
        <f t="shared" si="8"/>
        <v xml:space="preserve"> </v>
      </c>
      <c r="X172" s="288"/>
    </row>
    <row r="173" spans="1:24">
      <c r="A173" s="286">
        <v>23</v>
      </c>
      <c r="C173" s="286" t="s">
        <v>619</v>
      </c>
      <c r="D173" s="286" t="s">
        <v>654</v>
      </c>
      <c r="E173" s="286" t="s">
        <v>625</v>
      </c>
      <c r="F173" s="286">
        <v>27</v>
      </c>
      <c r="G173" s="425">
        <v>6000</v>
      </c>
      <c r="H173" s="425">
        <v>0</v>
      </c>
      <c r="J173" s="289"/>
      <c r="K173" s="289"/>
      <c r="L173" s="291"/>
      <c r="M173" s="291"/>
      <c r="N173" s="300"/>
      <c r="O173" s="296"/>
      <c r="P173" s="294"/>
      <c r="Q173" s="294"/>
      <c r="R173" s="295"/>
      <c r="S173" s="302">
        <f t="shared" si="9"/>
        <v>0</v>
      </c>
      <c r="T173" s="302"/>
      <c r="U173" s="303"/>
      <c r="V173" s="305">
        <f t="shared" si="10"/>
        <v>6000</v>
      </c>
      <c r="W173" s="305">
        <f t="shared" si="8"/>
        <v>1500</v>
      </c>
      <c r="X173" s="288"/>
    </row>
    <row r="174" spans="1:24">
      <c r="A174" s="286">
        <v>23</v>
      </c>
      <c r="C174" s="286" t="s">
        <v>619</v>
      </c>
      <c r="D174" s="286" t="s">
        <v>654</v>
      </c>
      <c r="E174" s="286" t="s">
        <v>629</v>
      </c>
      <c r="F174" s="286">
        <v>27</v>
      </c>
      <c r="G174" s="425">
        <v>1500</v>
      </c>
      <c r="H174" s="425">
        <v>0</v>
      </c>
      <c r="J174" s="289"/>
      <c r="K174" s="289"/>
      <c r="L174" s="291"/>
      <c r="M174" s="291"/>
      <c r="N174" s="300"/>
      <c r="O174" s="296"/>
      <c r="P174" s="294"/>
      <c r="Q174" s="294"/>
      <c r="R174" s="295"/>
      <c r="S174" s="302">
        <f t="shared" si="9"/>
        <v>0</v>
      </c>
      <c r="T174" s="302"/>
      <c r="U174" s="303"/>
      <c r="V174" s="305">
        <f t="shared" si="10"/>
        <v>1500</v>
      </c>
      <c r="W174" s="305" t="str">
        <f t="shared" si="8"/>
        <v xml:space="preserve"> </v>
      </c>
      <c r="X174" s="288"/>
    </row>
    <row r="175" spans="1:24">
      <c r="A175" s="286">
        <v>23</v>
      </c>
      <c r="C175" s="286" t="s">
        <v>619</v>
      </c>
      <c r="D175" s="286" t="s">
        <v>654</v>
      </c>
      <c r="E175" s="286" t="s">
        <v>632</v>
      </c>
      <c r="F175" s="286">
        <v>27</v>
      </c>
      <c r="G175" s="425">
        <v>8989.91</v>
      </c>
      <c r="H175" s="425">
        <v>0</v>
      </c>
      <c r="J175" s="289"/>
      <c r="K175" s="289"/>
      <c r="L175" s="291"/>
      <c r="M175" s="291"/>
      <c r="N175" s="300"/>
      <c r="O175" s="296"/>
      <c r="P175" s="294"/>
      <c r="Q175" s="294"/>
      <c r="R175" s="295"/>
      <c r="S175" s="302">
        <f t="shared" si="9"/>
        <v>0</v>
      </c>
      <c r="T175" s="302"/>
      <c r="U175" s="303"/>
      <c r="V175" s="305">
        <f t="shared" si="10"/>
        <v>8989.91</v>
      </c>
      <c r="W175" s="305">
        <f t="shared" si="8"/>
        <v>-8989.91</v>
      </c>
      <c r="X175" s="288"/>
    </row>
    <row r="176" spans="1:24">
      <c r="A176" s="286">
        <v>24</v>
      </c>
      <c r="C176" s="286" t="s">
        <v>656</v>
      </c>
      <c r="D176" s="286"/>
      <c r="E176" s="286" t="s">
        <v>648</v>
      </c>
      <c r="F176" s="286">
        <f>IF(VLOOKUP(A176,'WP-5 Payroll Data'!$K$11:$O$151,3,FALSE)&gt;26,26,VLOOKUP(A176,'WP-5 Payroll Data'!$K$11:$O$151,3,FALSE))</f>
        <v>26</v>
      </c>
      <c r="G176" s="424">
        <v>3240.4099999999989</v>
      </c>
      <c r="H176" s="425">
        <v>191.91000000000005</v>
      </c>
      <c r="J176" s="289">
        <f>VLOOKUP(A176,'WP-5 Payroll Data'!$K$11:$O$151,4,FALSE)</f>
        <v>3395.1099999999988</v>
      </c>
      <c r="K176" s="289">
        <f>VLOOKUP(A176,'WP-5 Payroll Data'!$K$11:$O$151,5,FALSE)</f>
        <v>201.01000000000005</v>
      </c>
      <c r="L176" s="289">
        <f>J176/K176</f>
        <v>16.890254216208138</v>
      </c>
      <c r="M176" s="289"/>
      <c r="N176" s="300">
        <f>IF((K176/F176)*26&gt;1500,2080,IF((K176/F176)*26&gt;300,520,IF((K176/F176)*26&gt;100,260,K176)))</f>
        <v>260</v>
      </c>
      <c r="O176" s="296">
        <f>N176*L176</f>
        <v>4391.4660962141161</v>
      </c>
      <c r="P176" s="294"/>
      <c r="Q176" s="294">
        <f>O176*0.03</f>
        <v>131.74398288642348</v>
      </c>
      <c r="R176" s="295"/>
      <c r="S176" s="302">
        <f t="shared" si="9"/>
        <v>0</v>
      </c>
      <c r="T176" s="302"/>
      <c r="U176" s="303"/>
      <c r="V176" s="305">
        <f t="shared" si="10"/>
        <v>0</v>
      </c>
      <c r="W176" s="305" t="str">
        <f t="shared" si="8"/>
        <v xml:space="preserve"> </v>
      </c>
      <c r="X176" s="288"/>
    </row>
    <row r="177" spans="1:24">
      <c r="A177" s="286">
        <v>24</v>
      </c>
      <c r="C177" s="286" t="s">
        <v>656</v>
      </c>
      <c r="D177" s="286"/>
      <c r="E177" s="286" t="s">
        <v>627</v>
      </c>
      <c r="F177" s="286">
        <v>26</v>
      </c>
      <c r="G177" s="424">
        <v>154.69999999999999</v>
      </c>
      <c r="H177" s="425">
        <v>9.1</v>
      </c>
      <c r="J177" s="289"/>
      <c r="K177" s="289"/>
      <c r="L177" s="291"/>
      <c r="M177" s="291"/>
      <c r="N177" s="300"/>
      <c r="O177" s="296"/>
      <c r="P177" s="294"/>
      <c r="Q177" s="294"/>
      <c r="R177" s="295"/>
      <c r="S177" s="302">
        <f t="shared" si="9"/>
        <v>0</v>
      </c>
      <c r="T177" s="302"/>
      <c r="U177" s="303"/>
      <c r="V177" s="305">
        <f t="shared" si="10"/>
        <v>0</v>
      </c>
      <c r="W177" s="305" t="str">
        <f t="shared" si="8"/>
        <v xml:space="preserve"> </v>
      </c>
      <c r="X177" s="288"/>
    </row>
    <row r="178" spans="1:24">
      <c r="A178" s="286">
        <v>25</v>
      </c>
      <c r="C178" s="286" t="s">
        <v>597</v>
      </c>
      <c r="D178" s="286"/>
      <c r="E178" s="286" t="s">
        <v>598</v>
      </c>
      <c r="F178" s="286">
        <f>IF(VLOOKUP(A178,'WP-5 Payroll Data'!$K$11:$O$151,3,FALSE)&gt;26,26,VLOOKUP(A178,'WP-5 Payroll Data'!$K$11:$O$151,3,FALSE))</f>
        <v>26</v>
      </c>
      <c r="G178" s="424">
        <v>7108.22</v>
      </c>
      <c r="H178" s="425">
        <v>210.67999999999998</v>
      </c>
      <c r="J178" s="289">
        <f>VLOOKUP(A178,'WP-5 Payroll Data'!$K$11:$O$151,4,FALSE)</f>
        <v>8768.16</v>
      </c>
      <c r="K178" s="289">
        <f>VLOOKUP(A178,'WP-5 Payroll Data'!$K$11:$O$151,5,FALSE)</f>
        <v>260.06</v>
      </c>
      <c r="L178" s="289">
        <f>J178/K178</f>
        <v>33.715911712681688</v>
      </c>
      <c r="M178" s="289"/>
      <c r="N178" s="300">
        <f>IF((K178/F178)*26&gt;1500,2080,IF((K178/F178)*26&gt;300,520,IF((K178/F178)*26&gt;100,260,K178)))</f>
        <v>260</v>
      </c>
      <c r="O178" s="296">
        <f>N178*L178</f>
        <v>8766.1370452972387</v>
      </c>
      <c r="P178" s="294"/>
      <c r="Q178" s="294">
        <f>O178*0.03</f>
        <v>262.98411135891718</v>
      </c>
      <c r="R178" s="295"/>
      <c r="S178" s="302">
        <f t="shared" si="9"/>
        <v>0</v>
      </c>
      <c r="T178" s="302"/>
      <c r="U178" s="303"/>
      <c r="V178" s="305">
        <f t="shared" si="10"/>
        <v>0</v>
      </c>
      <c r="W178" s="305" t="str">
        <f t="shared" si="8"/>
        <v xml:space="preserve"> </v>
      </c>
      <c r="X178" s="288"/>
    </row>
    <row r="179" spans="1:24">
      <c r="A179" s="286">
        <v>25</v>
      </c>
      <c r="C179" s="286" t="s">
        <v>597</v>
      </c>
      <c r="D179" s="286"/>
      <c r="E179" s="286" t="s">
        <v>605</v>
      </c>
      <c r="F179" s="286">
        <v>26</v>
      </c>
      <c r="G179" s="424">
        <v>938.29999999999984</v>
      </c>
      <c r="H179" s="425">
        <v>27.959999999999997</v>
      </c>
      <c r="J179" s="289"/>
      <c r="K179" s="289"/>
      <c r="L179" s="291"/>
      <c r="M179" s="291"/>
      <c r="N179" s="300"/>
      <c r="O179" s="296"/>
      <c r="P179" s="294"/>
      <c r="Q179" s="294"/>
      <c r="R179" s="295"/>
      <c r="S179" s="302">
        <f t="shared" si="9"/>
        <v>0</v>
      </c>
      <c r="T179" s="302"/>
      <c r="U179" s="303"/>
      <c r="V179" s="305">
        <f t="shared" si="10"/>
        <v>0</v>
      </c>
      <c r="W179" s="305" t="str">
        <f t="shared" si="8"/>
        <v xml:space="preserve"> </v>
      </c>
      <c r="X179" s="288"/>
    </row>
    <row r="180" spans="1:24">
      <c r="A180" s="286">
        <v>25</v>
      </c>
      <c r="C180" s="286" t="s">
        <v>597</v>
      </c>
      <c r="D180" s="286"/>
      <c r="E180" s="286" t="s">
        <v>608</v>
      </c>
      <c r="F180" s="286">
        <v>26</v>
      </c>
      <c r="G180" s="425">
        <v>620.32000000000005</v>
      </c>
      <c r="H180" s="425">
        <v>18.41</v>
      </c>
      <c r="J180" s="289"/>
      <c r="K180" s="289"/>
      <c r="L180" s="291"/>
      <c r="M180" s="291"/>
      <c r="N180" s="300"/>
      <c r="O180" s="296"/>
      <c r="P180" s="294"/>
      <c r="Q180" s="294"/>
      <c r="R180" s="295"/>
      <c r="S180" s="302">
        <f t="shared" si="9"/>
        <v>0</v>
      </c>
      <c r="T180" s="302"/>
      <c r="U180" s="303"/>
      <c r="V180" s="305">
        <f t="shared" si="10"/>
        <v>0</v>
      </c>
      <c r="W180" s="305" t="str">
        <f t="shared" si="8"/>
        <v xml:space="preserve"> </v>
      </c>
      <c r="X180" s="288"/>
    </row>
    <row r="181" spans="1:24">
      <c r="A181" s="286">
        <v>25</v>
      </c>
      <c r="C181" s="286" t="s">
        <v>597</v>
      </c>
      <c r="D181" s="286"/>
      <c r="E181" s="286" t="s">
        <v>610</v>
      </c>
      <c r="F181" s="286">
        <v>26</v>
      </c>
      <c r="G181" s="425">
        <v>101.32000000000001</v>
      </c>
      <c r="H181" s="425">
        <v>3.01</v>
      </c>
      <c r="J181" s="289"/>
      <c r="K181" s="289"/>
      <c r="L181" s="291"/>
      <c r="M181" s="291"/>
      <c r="N181" s="300"/>
      <c r="O181" s="296"/>
      <c r="P181" s="294"/>
      <c r="Q181" s="294"/>
      <c r="R181" s="295"/>
      <c r="S181" s="302">
        <f t="shared" si="9"/>
        <v>0</v>
      </c>
      <c r="T181" s="302"/>
      <c r="U181" s="303"/>
      <c r="V181" s="305">
        <f t="shared" si="10"/>
        <v>0</v>
      </c>
      <c r="W181" s="305" t="str">
        <f t="shared" si="8"/>
        <v xml:space="preserve"> </v>
      </c>
      <c r="X181" s="288"/>
    </row>
    <row r="182" spans="1:24">
      <c r="A182" s="286">
        <v>25</v>
      </c>
      <c r="C182" s="286" t="s">
        <v>597</v>
      </c>
      <c r="D182" s="286"/>
      <c r="E182" s="286" t="s">
        <v>624</v>
      </c>
      <c r="F182" s="286">
        <v>26</v>
      </c>
      <c r="G182" s="425">
        <v>325</v>
      </c>
      <c r="H182" s="425">
        <v>0</v>
      </c>
      <c r="J182" s="289"/>
      <c r="K182" s="289"/>
      <c r="L182" s="291"/>
      <c r="M182" s="291"/>
      <c r="N182" s="300"/>
      <c r="O182" s="296"/>
      <c r="P182" s="294"/>
      <c r="Q182" s="294"/>
      <c r="R182" s="295"/>
      <c r="S182" s="302">
        <f t="shared" si="9"/>
        <v>0</v>
      </c>
      <c r="T182" s="302"/>
      <c r="U182" s="303"/>
      <c r="V182" s="305">
        <f t="shared" si="10"/>
        <v>325</v>
      </c>
      <c r="W182" s="305">
        <f t="shared" si="8"/>
        <v>81.25</v>
      </c>
      <c r="X182" s="288"/>
    </row>
    <row r="183" spans="1:24">
      <c r="A183" s="286">
        <v>26</v>
      </c>
      <c r="C183" s="286" t="s">
        <v>644</v>
      </c>
      <c r="D183" s="286"/>
      <c r="E183" s="286" t="s">
        <v>598</v>
      </c>
      <c r="F183" s="286">
        <f>IF(VLOOKUP(A183,'WP-5 Payroll Data'!$K$11:$O$151,3,FALSE)&gt;26,26,VLOOKUP(A183,'WP-5 Payroll Data'!$K$11:$O$151,3,FALSE))</f>
        <v>26</v>
      </c>
      <c r="G183" s="425">
        <v>6967.7099999999982</v>
      </c>
      <c r="H183" s="425">
        <v>460.01</v>
      </c>
      <c r="J183" s="289">
        <f>VLOOKUP(A183,'WP-5 Payroll Data'!$K$11:$O$151,4,FALSE)</f>
        <v>7876.5299999999979</v>
      </c>
      <c r="K183" s="289">
        <f>VLOOKUP(A183,'WP-5 Payroll Data'!$K$11:$O$151,5,FALSE)</f>
        <v>520.03</v>
      </c>
      <c r="L183" s="289">
        <f>J183/K183</f>
        <v>15.14629925196623</v>
      </c>
      <c r="M183" s="289"/>
      <c r="N183" s="300">
        <f>IF((K183/F183)*26&gt;1500,2080,IF((K183/F183)*26&gt;300,520,IF((K183/F183)*26&gt;100,260,K183)))</f>
        <v>520</v>
      </c>
      <c r="O183" s="296">
        <f>N183*L183</f>
        <v>7876.0756110224393</v>
      </c>
      <c r="P183" s="294"/>
      <c r="Q183" s="294">
        <f>O183*0.03</f>
        <v>236.28226833067316</v>
      </c>
      <c r="R183" s="295"/>
      <c r="S183" s="302">
        <f t="shared" si="9"/>
        <v>0</v>
      </c>
      <c r="T183" s="302"/>
      <c r="U183" s="303"/>
      <c r="V183" s="305">
        <f t="shared" si="10"/>
        <v>0</v>
      </c>
      <c r="W183" s="305" t="str">
        <f t="shared" si="8"/>
        <v xml:space="preserve"> </v>
      </c>
      <c r="X183" s="288"/>
    </row>
    <row r="184" spans="1:24">
      <c r="A184" s="286">
        <v>26</v>
      </c>
      <c r="C184" s="286" t="s">
        <v>644</v>
      </c>
      <c r="D184" s="286"/>
      <c r="E184" s="286" t="s">
        <v>599</v>
      </c>
      <c r="F184" s="286">
        <v>26</v>
      </c>
      <c r="G184" s="425">
        <v>142.31999999999996</v>
      </c>
      <c r="H184" s="425">
        <v>6.33</v>
      </c>
      <c r="J184" s="289"/>
      <c r="K184" s="289"/>
      <c r="L184" s="291"/>
      <c r="M184" s="291"/>
      <c r="N184" s="300"/>
      <c r="O184" s="296"/>
      <c r="P184" s="294"/>
      <c r="Q184" s="294"/>
      <c r="R184" s="295"/>
      <c r="S184" s="302">
        <f t="shared" si="9"/>
        <v>142.31999999999996</v>
      </c>
      <c r="T184" s="302">
        <f t="shared" si="11"/>
        <v>4.2695999999999987</v>
      </c>
      <c r="U184" s="303"/>
      <c r="V184" s="305">
        <f t="shared" si="10"/>
        <v>0</v>
      </c>
      <c r="W184" s="305" t="str">
        <f t="shared" si="8"/>
        <v xml:space="preserve"> </v>
      </c>
      <c r="X184" s="288"/>
    </row>
    <row r="185" spans="1:24">
      <c r="A185" s="286">
        <v>26</v>
      </c>
      <c r="C185" s="286" t="s">
        <v>644</v>
      </c>
      <c r="D185" s="286"/>
      <c r="E185" s="286" t="s">
        <v>605</v>
      </c>
      <c r="F185" s="286">
        <v>26</v>
      </c>
      <c r="G185" s="425">
        <v>284.34000000000003</v>
      </c>
      <c r="H185" s="425">
        <v>18.75</v>
      </c>
      <c r="J185" s="289"/>
      <c r="K185" s="289"/>
      <c r="L185" s="291"/>
      <c r="M185" s="291"/>
      <c r="N185" s="300"/>
      <c r="O185" s="296"/>
      <c r="P185" s="294"/>
      <c r="Q185" s="294"/>
      <c r="R185" s="295"/>
      <c r="S185" s="302">
        <f t="shared" si="9"/>
        <v>0</v>
      </c>
      <c r="T185" s="302"/>
      <c r="U185" s="303"/>
      <c r="V185" s="305">
        <f t="shared" si="10"/>
        <v>0</v>
      </c>
      <c r="W185" s="305" t="str">
        <f t="shared" si="8"/>
        <v xml:space="preserve"> </v>
      </c>
      <c r="X185" s="288"/>
    </row>
    <row r="186" spans="1:24">
      <c r="A186" s="286">
        <v>26</v>
      </c>
      <c r="C186" s="286" t="s">
        <v>644</v>
      </c>
      <c r="D186" s="286"/>
      <c r="E186" s="286" t="s">
        <v>608</v>
      </c>
      <c r="F186" s="286">
        <v>26</v>
      </c>
      <c r="G186" s="425">
        <v>533.5</v>
      </c>
      <c r="H186" s="425">
        <v>35.269999999999996</v>
      </c>
      <c r="J186" s="289"/>
      <c r="K186" s="289"/>
      <c r="L186" s="291"/>
      <c r="M186" s="291"/>
      <c r="N186" s="300"/>
      <c r="O186" s="296"/>
      <c r="P186" s="294"/>
      <c r="Q186" s="294"/>
      <c r="R186" s="295"/>
      <c r="S186" s="302">
        <f t="shared" si="9"/>
        <v>0</v>
      </c>
      <c r="T186" s="302"/>
      <c r="U186" s="303"/>
      <c r="V186" s="305">
        <f t="shared" si="10"/>
        <v>0</v>
      </c>
      <c r="W186" s="305" t="str">
        <f t="shared" si="8"/>
        <v xml:space="preserve"> </v>
      </c>
      <c r="X186" s="288"/>
    </row>
    <row r="187" spans="1:24">
      <c r="A187" s="286">
        <v>26</v>
      </c>
      <c r="C187" s="286" t="s">
        <v>644</v>
      </c>
      <c r="D187" s="286"/>
      <c r="E187" s="286" t="s">
        <v>610</v>
      </c>
      <c r="F187" s="286">
        <v>26</v>
      </c>
      <c r="G187" s="425">
        <v>90.98</v>
      </c>
      <c r="H187" s="425">
        <v>6</v>
      </c>
      <c r="J187" s="289"/>
      <c r="K187" s="289"/>
      <c r="L187" s="291"/>
      <c r="M187" s="291"/>
      <c r="N187" s="300"/>
      <c r="O187" s="296"/>
      <c r="P187" s="294"/>
      <c r="Q187" s="294"/>
      <c r="R187" s="295"/>
      <c r="S187" s="302">
        <f t="shared" si="9"/>
        <v>0</v>
      </c>
      <c r="T187" s="302"/>
      <c r="U187" s="303"/>
      <c r="V187" s="305">
        <f t="shared" si="10"/>
        <v>0</v>
      </c>
      <c r="W187" s="305" t="str">
        <f t="shared" si="8"/>
        <v xml:space="preserve"> </v>
      </c>
      <c r="X187" s="288"/>
    </row>
    <row r="188" spans="1:24">
      <c r="A188" s="286">
        <v>26</v>
      </c>
      <c r="C188" s="286" t="s">
        <v>644</v>
      </c>
      <c r="D188" s="286"/>
      <c r="E188" s="286" t="s">
        <v>614</v>
      </c>
      <c r="F188" s="286">
        <v>26</v>
      </c>
      <c r="G188" s="425">
        <v>62.5</v>
      </c>
      <c r="H188" s="425">
        <v>0</v>
      </c>
      <c r="J188" s="289"/>
      <c r="K188" s="289"/>
      <c r="L188" s="291"/>
      <c r="M188" s="291"/>
      <c r="N188" s="300"/>
      <c r="O188" s="296"/>
      <c r="P188" s="294"/>
      <c r="Q188" s="294"/>
      <c r="R188" s="295"/>
      <c r="S188" s="302">
        <f t="shared" si="9"/>
        <v>0</v>
      </c>
      <c r="T188" s="302"/>
      <c r="U188" s="303"/>
      <c r="V188" s="305">
        <f t="shared" si="10"/>
        <v>62.5</v>
      </c>
      <c r="W188" s="305" t="str">
        <f t="shared" si="8"/>
        <v xml:space="preserve"> </v>
      </c>
      <c r="X188" s="288"/>
    </row>
    <row r="189" spans="1:24">
      <c r="A189" s="286">
        <v>26</v>
      </c>
      <c r="C189" s="286" t="s">
        <v>644</v>
      </c>
      <c r="D189" s="286"/>
      <c r="E189" s="286" t="s">
        <v>616</v>
      </c>
      <c r="F189" s="286">
        <v>26</v>
      </c>
      <c r="G189" s="425">
        <v>150</v>
      </c>
      <c r="H189" s="425">
        <v>0</v>
      </c>
      <c r="J189" s="289"/>
      <c r="K189" s="289"/>
      <c r="L189" s="291"/>
      <c r="M189" s="291"/>
      <c r="N189" s="300"/>
      <c r="O189" s="296"/>
      <c r="P189" s="294"/>
      <c r="Q189" s="294"/>
      <c r="R189" s="295"/>
      <c r="S189" s="302">
        <f t="shared" si="9"/>
        <v>0</v>
      </c>
      <c r="T189" s="302"/>
      <c r="U189" s="303"/>
      <c r="V189" s="305">
        <f t="shared" si="10"/>
        <v>150</v>
      </c>
      <c r="W189" s="305">
        <f t="shared" si="8"/>
        <v>37.5</v>
      </c>
      <c r="X189" s="288"/>
    </row>
    <row r="190" spans="1:24">
      <c r="A190" s="286">
        <v>27</v>
      </c>
      <c r="C190" s="286" t="s">
        <v>597</v>
      </c>
      <c r="D190" s="286" t="s">
        <v>657</v>
      </c>
      <c r="E190" s="286" t="s">
        <v>598</v>
      </c>
      <c r="F190" s="286">
        <f>IF(VLOOKUP(A190,'WP-5 Payroll Data'!$K$11:$O$151,3,FALSE)&gt;26,26,VLOOKUP(A190,'WP-5 Payroll Data'!$K$11:$O$151,3,FALSE))</f>
        <v>26</v>
      </c>
      <c r="G190" s="425">
        <v>38089.07</v>
      </c>
      <c r="H190" s="425">
        <v>1800.5999999999997</v>
      </c>
      <c r="J190" s="289">
        <f>VLOOKUP(A190,'WP-5 Payroll Data'!$K$11:$O$151,4,FALSE)</f>
        <v>43967.93</v>
      </c>
      <c r="K190" s="289">
        <f>VLOOKUP(A190,'WP-5 Payroll Data'!$K$11:$O$151,5,FALSE)</f>
        <v>2091.1999999999994</v>
      </c>
      <c r="L190" s="289">
        <f>J190/K190</f>
        <v>21.025215187452186</v>
      </c>
      <c r="M190" s="289"/>
      <c r="N190" s="300">
        <f>IF((K190/F190)*26&gt;1500,2080,IF((K190/F190)*26&gt;300,520,IF((K190/F190)*26&gt;100,260,K190)))</f>
        <v>2080</v>
      </c>
      <c r="O190" s="296">
        <f>N190*L190</f>
        <v>43732.447589900548</v>
      </c>
      <c r="P190" s="294"/>
      <c r="Q190" s="294">
        <f>O190*0.03</f>
        <v>1311.9734276970164</v>
      </c>
      <c r="R190" s="295"/>
      <c r="S190" s="302">
        <f t="shared" si="9"/>
        <v>0</v>
      </c>
      <c r="T190" s="302"/>
      <c r="U190" s="303"/>
      <c r="V190" s="305">
        <f t="shared" si="10"/>
        <v>0</v>
      </c>
      <c r="W190" s="305" t="str">
        <f t="shared" si="8"/>
        <v xml:space="preserve"> </v>
      </c>
      <c r="X190" s="288"/>
    </row>
    <row r="191" spans="1:24">
      <c r="A191" s="286">
        <v>27</v>
      </c>
      <c r="C191" s="286" t="s">
        <v>597</v>
      </c>
      <c r="D191" s="286" t="s">
        <v>657</v>
      </c>
      <c r="E191" s="286" t="s">
        <v>599</v>
      </c>
      <c r="F191" s="286">
        <v>26</v>
      </c>
      <c r="G191" s="425">
        <v>587.32999999999993</v>
      </c>
      <c r="H191" s="425">
        <v>18.369999999999994</v>
      </c>
      <c r="J191" s="289"/>
      <c r="K191" s="289"/>
      <c r="L191" s="291"/>
      <c r="M191" s="291"/>
      <c r="N191" s="300"/>
      <c r="O191" s="296"/>
      <c r="P191" s="294"/>
      <c r="Q191" s="294"/>
      <c r="R191" s="295"/>
      <c r="S191" s="302">
        <f t="shared" si="9"/>
        <v>587.32999999999993</v>
      </c>
      <c r="T191" s="302">
        <f t="shared" si="11"/>
        <v>17.619899999999998</v>
      </c>
      <c r="U191" s="303"/>
      <c r="V191" s="305">
        <f t="shared" si="10"/>
        <v>0</v>
      </c>
      <c r="W191" s="305" t="str">
        <f t="shared" si="8"/>
        <v xml:space="preserve"> </v>
      </c>
      <c r="X191" s="288"/>
    </row>
    <row r="192" spans="1:24">
      <c r="A192" s="286">
        <v>27</v>
      </c>
      <c r="C192" s="286" t="s">
        <v>597</v>
      </c>
      <c r="D192" s="286" t="s">
        <v>657</v>
      </c>
      <c r="E192" s="286" t="s">
        <v>605</v>
      </c>
      <c r="F192" s="286">
        <v>26</v>
      </c>
      <c r="G192" s="425">
        <v>2446.81</v>
      </c>
      <c r="H192" s="425">
        <v>116.75</v>
      </c>
      <c r="J192" s="289"/>
      <c r="K192" s="289"/>
      <c r="L192" s="291"/>
      <c r="M192" s="291"/>
      <c r="N192" s="300"/>
      <c r="O192" s="296"/>
      <c r="P192" s="294"/>
      <c r="Q192" s="294"/>
      <c r="R192" s="295"/>
      <c r="S192" s="302">
        <f t="shared" si="9"/>
        <v>0</v>
      </c>
      <c r="T192" s="302"/>
      <c r="U192" s="303"/>
      <c r="V192" s="305">
        <f t="shared" si="10"/>
        <v>0</v>
      </c>
      <c r="W192" s="305" t="str">
        <f t="shared" si="8"/>
        <v xml:space="preserve"> </v>
      </c>
      <c r="X192" s="288"/>
    </row>
    <row r="193" spans="1:24">
      <c r="A193" s="286">
        <v>27</v>
      </c>
      <c r="C193" s="286" t="s">
        <v>597</v>
      </c>
      <c r="D193" s="286" t="s">
        <v>657</v>
      </c>
      <c r="E193" s="286" t="s">
        <v>608</v>
      </c>
      <c r="F193" s="286">
        <v>26</v>
      </c>
      <c r="G193" s="425">
        <v>2311.4699999999993</v>
      </c>
      <c r="H193" s="425">
        <v>108.95</v>
      </c>
      <c r="J193" s="289"/>
      <c r="K193" s="289"/>
      <c r="L193" s="291"/>
      <c r="M193" s="291"/>
      <c r="N193" s="300"/>
      <c r="O193" s="296"/>
      <c r="P193" s="294"/>
      <c r="Q193" s="294"/>
      <c r="R193" s="295"/>
      <c r="S193" s="302">
        <f t="shared" si="9"/>
        <v>0</v>
      </c>
      <c r="T193" s="302"/>
      <c r="U193" s="303"/>
      <c r="V193" s="305">
        <f t="shared" si="10"/>
        <v>0</v>
      </c>
      <c r="W193" s="305" t="str">
        <f t="shared" si="8"/>
        <v xml:space="preserve"> </v>
      </c>
      <c r="X193" s="288"/>
    </row>
    <row r="194" spans="1:24">
      <c r="A194" s="286">
        <v>27</v>
      </c>
      <c r="C194" s="286" t="s">
        <v>597</v>
      </c>
      <c r="D194" s="286" t="s">
        <v>657</v>
      </c>
      <c r="E194" s="286" t="s">
        <v>610</v>
      </c>
      <c r="F194" s="286">
        <v>26</v>
      </c>
      <c r="G194" s="425">
        <v>498.11</v>
      </c>
      <c r="H194" s="425">
        <v>23.869999999999997</v>
      </c>
      <c r="J194" s="289"/>
      <c r="K194" s="289"/>
      <c r="L194" s="291"/>
      <c r="M194" s="291"/>
      <c r="N194" s="300"/>
      <c r="O194" s="296"/>
      <c r="P194" s="294"/>
      <c r="Q194" s="294"/>
      <c r="R194" s="295"/>
      <c r="S194" s="302">
        <f t="shared" si="9"/>
        <v>0</v>
      </c>
      <c r="T194" s="302"/>
      <c r="U194" s="303"/>
      <c r="V194" s="305">
        <f t="shared" si="10"/>
        <v>0</v>
      </c>
      <c r="W194" s="305" t="str">
        <f t="shared" si="8"/>
        <v xml:space="preserve"> </v>
      </c>
      <c r="X194" s="288"/>
    </row>
    <row r="195" spans="1:24">
      <c r="A195" s="286">
        <v>27</v>
      </c>
      <c r="C195" s="286" t="s">
        <v>597</v>
      </c>
      <c r="D195" s="286" t="s">
        <v>657</v>
      </c>
      <c r="E195" s="286" t="s">
        <v>638</v>
      </c>
      <c r="F195" s="286">
        <v>26</v>
      </c>
      <c r="G195" s="425">
        <v>333.87</v>
      </c>
      <c r="H195" s="425">
        <v>16</v>
      </c>
      <c r="J195" s="289"/>
      <c r="K195" s="289"/>
      <c r="L195" s="291"/>
      <c r="M195" s="291"/>
      <c r="N195" s="300"/>
      <c r="O195" s="296"/>
      <c r="P195" s="294"/>
      <c r="Q195" s="294"/>
      <c r="R195" s="295"/>
      <c r="S195" s="302">
        <f t="shared" si="9"/>
        <v>0</v>
      </c>
      <c r="T195" s="302"/>
      <c r="U195" s="303"/>
      <c r="V195" s="305">
        <f t="shared" si="10"/>
        <v>0</v>
      </c>
      <c r="W195" s="305" t="str">
        <f t="shared" si="8"/>
        <v xml:space="preserve"> </v>
      </c>
      <c r="X195" s="288"/>
    </row>
    <row r="196" spans="1:24">
      <c r="A196" s="286">
        <v>27</v>
      </c>
      <c r="C196" s="286" t="s">
        <v>597</v>
      </c>
      <c r="D196" s="286" t="s">
        <v>657</v>
      </c>
      <c r="E196" s="286" t="s">
        <v>641</v>
      </c>
      <c r="F196" s="286">
        <v>26</v>
      </c>
      <c r="G196" s="425">
        <v>0</v>
      </c>
      <c r="H196" s="425">
        <v>11.2</v>
      </c>
      <c r="J196" s="289"/>
      <c r="K196" s="289"/>
      <c r="L196" s="291"/>
      <c r="M196" s="291"/>
      <c r="N196" s="300"/>
      <c r="O196" s="296"/>
      <c r="P196" s="294"/>
      <c r="Q196" s="294"/>
      <c r="R196" s="295"/>
      <c r="S196" s="302">
        <f t="shared" si="9"/>
        <v>0</v>
      </c>
      <c r="T196" s="302"/>
      <c r="U196" s="303"/>
      <c r="V196" s="305">
        <f t="shared" si="10"/>
        <v>0</v>
      </c>
      <c r="W196" s="305" t="str">
        <f t="shared" si="8"/>
        <v xml:space="preserve"> </v>
      </c>
      <c r="X196" s="288"/>
    </row>
    <row r="197" spans="1:24">
      <c r="A197" s="286">
        <v>27</v>
      </c>
      <c r="C197" s="286" t="s">
        <v>597</v>
      </c>
      <c r="D197" s="286" t="s">
        <v>657</v>
      </c>
      <c r="E197" s="286" t="s">
        <v>642</v>
      </c>
      <c r="F197" s="286">
        <v>26</v>
      </c>
      <c r="G197" s="425">
        <v>288.60000000000002</v>
      </c>
      <c r="H197" s="425">
        <v>13.83</v>
      </c>
      <c r="J197" s="289"/>
      <c r="K197" s="289"/>
      <c r="L197" s="291"/>
      <c r="M197" s="291"/>
      <c r="N197" s="300"/>
      <c r="O197" s="296"/>
      <c r="P197" s="294"/>
      <c r="Q197" s="294"/>
      <c r="R197" s="295"/>
      <c r="S197" s="302">
        <f t="shared" si="9"/>
        <v>0</v>
      </c>
      <c r="T197" s="302"/>
      <c r="U197" s="303"/>
      <c r="V197" s="305">
        <f t="shared" si="10"/>
        <v>0</v>
      </c>
      <c r="W197" s="305" t="str">
        <f t="shared" si="8"/>
        <v xml:space="preserve"> </v>
      </c>
      <c r="X197" s="288"/>
    </row>
    <row r="198" spans="1:24">
      <c r="A198" s="286">
        <v>27</v>
      </c>
      <c r="C198" s="286" t="s">
        <v>597</v>
      </c>
      <c r="D198" s="286" t="s">
        <v>657</v>
      </c>
      <c r="E198" s="286" t="s">
        <v>624</v>
      </c>
      <c r="F198" s="286">
        <v>26</v>
      </c>
      <c r="G198" s="425">
        <v>700</v>
      </c>
      <c r="H198" s="425">
        <v>0</v>
      </c>
      <c r="J198" s="289"/>
      <c r="K198" s="289"/>
      <c r="L198" s="291"/>
      <c r="M198" s="291"/>
      <c r="N198" s="300"/>
      <c r="O198" s="296"/>
      <c r="P198" s="294"/>
      <c r="Q198" s="294"/>
      <c r="R198" s="295"/>
      <c r="S198" s="302">
        <f t="shared" si="9"/>
        <v>0</v>
      </c>
      <c r="T198" s="302"/>
      <c r="U198" s="303"/>
      <c r="V198" s="305">
        <f t="shared" si="10"/>
        <v>700</v>
      </c>
      <c r="W198" s="305">
        <f t="shared" si="8"/>
        <v>175</v>
      </c>
      <c r="X198" s="288"/>
    </row>
    <row r="199" spans="1:24">
      <c r="A199" s="286">
        <v>27</v>
      </c>
      <c r="C199" s="286" t="s">
        <v>597</v>
      </c>
      <c r="D199" s="286" t="s">
        <v>657</v>
      </c>
      <c r="E199" s="286" t="s">
        <v>632</v>
      </c>
      <c r="F199" s="286">
        <v>26</v>
      </c>
      <c r="G199" s="425">
        <v>1425.65</v>
      </c>
      <c r="H199" s="425">
        <v>0</v>
      </c>
      <c r="J199" s="289"/>
      <c r="K199" s="289"/>
      <c r="L199" s="291"/>
      <c r="M199" s="291"/>
      <c r="N199" s="300"/>
      <c r="O199" s="296"/>
      <c r="P199" s="294"/>
      <c r="Q199" s="294"/>
      <c r="R199" s="295"/>
      <c r="S199" s="302">
        <f t="shared" si="9"/>
        <v>0</v>
      </c>
      <c r="T199" s="302"/>
      <c r="U199" s="303"/>
      <c r="V199" s="305">
        <f t="shared" si="10"/>
        <v>1425.65</v>
      </c>
      <c r="W199" s="305">
        <f t="shared" si="8"/>
        <v>-1425.65</v>
      </c>
      <c r="X199" s="288"/>
    </row>
    <row r="200" spans="1:24">
      <c r="A200" s="286">
        <v>28</v>
      </c>
      <c r="C200" s="286" t="s">
        <v>644</v>
      </c>
      <c r="D200" s="286"/>
      <c r="E200" s="286" t="s">
        <v>598</v>
      </c>
      <c r="F200" s="286">
        <f>IF(VLOOKUP(A200,'WP-5 Payroll Data'!$K$11:$O$151,3,FALSE)&gt;26,26,VLOOKUP(A200,'WP-5 Payroll Data'!$K$11:$O$151,3,FALSE))</f>
        <v>26</v>
      </c>
      <c r="G200" s="425">
        <v>7067.529999999997</v>
      </c>
      <c r="H200" s="425">
        <v>466.62</v>
      </c>
      <c r="J200" s="289">
        <f>VLOOKUP(A200,'WP-5 Payroll Data'!$K$11:$O$151,4,FALSE)</f>
        <v>7846.1799999999976</v>
      </c>
      <c r="K200" s="289">
        <f>VLOOKUP(A200,'WP-5 Payroll Data'!$K$11:$O$151,5,FALSE)</f>
        <v>518</v>
      </c>
      <c r="L200" s="289">
        <f>J200/K200</f>
        <v>15.147065637065632</v>
      </c>
      <c r="M200" s="289"/>
      <c r="N200" s="300">
        <f>IF((K200/F200)*26&gt;1500,2080,IF((K200/F200)*26&gt;300,520,IF((K200/F200)*26&gt;100,260,K200)))</f>
        <v>520</v>
      </c>
      <c r="O200" s="296">
        <f>N200*L200</f>
        <v>7876.4741312741289</v>
      </c>
      <c r="P200" s="294"/>
      <c r="Q200" s="294">
        <f>O200*0.03</f>
        <v>236.29422393822387</v>
      </c>
      <c r="R200" s="295"/>
      <c r="S200" s="302">
        <f t="shared" si="9"/>
        <v>0</v>
      </c>
      <c r="T200" s="302"/>
      <c r="U200" s="303"/>
      <c r="V200" s="305">
        <f t="shared" si="10"/>
        <v>0</v>
      </c>
      <c r="W200" s="305" t="str">
        <f t="shared" si="8"/>
        <v xml:space="preserve"> </v>
      </c>
      <c r="X200" s="288"/>
    </row>
    <row r="201" spans="1:24">
      <c r="A201" s="286">
        <v>28</v>
      </c>
      <c r="C201" s="286" t="s">
        <v>644</v>
      </c>
      <c r="D201" s="286"/>
      <c r="E201" s="286" t="s">
        <v>599</v>
      </c>
      <c r="F201" s="286">
        <v>26</v>
      </c>
      <c r="G201" s="425">
        <v>507.96</v>
      </c>
      <c r="H201" s="425">
        <v>22.409999999999997</v>
      </c>
      <c r="J201" s="289"/>
      <c r="K201" s="289"/>
      <c r="L201" s="291"/>
      <c r="M201" s="291"/>
      <c r="N201" s="300"/>
      <c r="O201" s="296"/>
      <c r="P201" s="294"/>
      <c r="Q201" s="294"/>
      <c r="R201" s="295"/>
      <c r="S201" s="302">
        <f t="shared" si="9"/>
        <v>507.96</v>
      </c>
      <c r="T201" s="302">
        <f t="shared" si="11"/>
        <v>15.238799999999999</v>
      </c>
      <c r="U201" s="303"/>
      <c r="V201" s="305">
        <f t="shared" si="10"/>
        <v>0</v>
      </c>
      <c r="W201" s="305" t="str">
        <f t="shared" si="8"/>
        <v xml:space="preserve"> </v>
      </c>
      <c r="X201" s="288"/>
    </row>
    <row r="202" spans="1:24">
      <c r="A202" s="286">
        <v>28</v>
      </c>
      <c r="C202" s="286" t="s">
        <v>644</v>
      </c>
      <c r="D202" s="286"/>
      <c r="E202" s="286" t="s">
        <v>605</v>
      </c>
      <c r="F202" s="286">
        <v>26</v>
      </c>
      <c r="G202" s="425">
        <v>303.3</v>
      </c>
      <c r="H202" s="425">
        <v>20</v>
      </c>
      <c r="J202" s="289"/>
      <c r="K202" s="289"/>
      <c r="L202" s="291"/>
      <c r="M202" s="291"/>
      <c r="N202" s="300"/>
      <c r="O202" s="296"/>
      <c r="P202" s="294"/>
      <c r="Q202" s="294"/>
      <c r="R202" s="295"/>
      <c r="S202" s="302">
        <f t="shared" si="9"/>
        <v>0</v>
      </c>
      <c r="T202" s="302"/>
      <c r="U202" s="303"/>
      <c r="V202" s="305">
        <f t="shared" si="10"/>
        <v>0</v>
      </c>
      <c r="W202" s="305" t="str">
        <f t="shared" ref="W202:W265" si="12">IF($E202=$AA$29,-$V202,IF(OR($E202=$AA$18,$E202=$AA$23,$E202=$AA$24,$E202=$AA$26),(($V202/200)*50)," "))</f>
        <v xml:space="preserve"> </v>
      </c>
      <c r="X202" s="288"/>
    </row>
    <row r="203" spans="1:24">
      <c r="A203" s="286">
        <v>28</v>
      </c>
      <c r="C203" s="286" t="s">
        <v>644</v>
      </c>
      <c r="D203" s="286"/>
      <c r="E203" s="286" t="s">
        <v>608</v>
      </c>
      <c r="F203" s="286">
        <v>26</v>
      </c>
      <c r="G203" s="425">
        <v>308.98</v>
      </c>
      <c r="H203" s="425">
        <v>20.38</v>
      </c>
      <c r="J203" s="289"/>
      <c r="K203" s="289"/>
      <c r="L203" s="291"/>
      <c r="M203" s="291"/>
      <c r="N203" s="300"/>
      <c r="O203" s="296"/>
      <c r="P203" s="294"/>
      <c r="Q203" s="294"/>
      <c r="R203" s="295"/>
      <c r="S203" s="302">
        <f t="shared" ref="S203:S266" si="13">IF(OR($E203=$Y$10,$E203=$Y$11,$E203=$Y$12,$E203=$Y$13),$G203,0)</f>
        <v>0</v>
      </c>
      <c r="T203" s="302"/>
      <c r="U203" s="303"/>
      <c r="V203" s="305">
        <f t="shared" ref="V203:V266" si="14">IF(OR($E203=$AA$10,$E203=$AA$11,$E203=$AA$12,$E203=$AA$13,$E203=$AA$14,$E203=$AA$15,$E203=$AA$16,$E203=$AA$17,$E203=$AA$18,$E203=$AA$19,$E203=$AA$20,$E203=$AA$21,$E203=$AA$22,$E203=$AA$23,$E203=$AA$24,$E203=$AA$25,$E203=$AA$26,$E203=$AA$27,$E203=$AA$28,$E203=$AA$29),G203,0)</f>
        <v>0</v>
      </c>
      <c r="W203" s="305" t="str">
        <f t="shared" si="12"/>
        <v xml:space="preserve"> </v>
      </c>
      <c r="X203" s="288"/>
    </row>
    <row r="204" spans="1:24">
      <c r="A204" s="286">
        <v>28</v>
      </c>
      <c r="C204" s="286" t="s">
        <v>644</v>
      </c>
      <c r="D204" s="286"/>
      <c r="E204" s="286" t="s">
        <v>610</v>
      </c>
      <c r="F204" s="286">
        <v>26</v>
      </c>
      <c r="G204" s="425">
        <v>105.71</v>
      </c>
      <c r="H204" s="425">
        <v>7</v>
      </c>
      <c r="J204" s="289"/>
      <c r="K204" s="289"/>
      <c r="L204" s="291"/>
      <c r="M204" s="291"/>
      <c r="N204" s="300"/>
      <c r="O204" s="296"/>
      <c r="P204" s="294"/>
      <c r="Q204" s="294"/>
      <c r="R204" s="295"/>
      <c r="S204" s="302">
        <f t="shared" si="13"/>
        <v>0</v>
      </c>
      <c r="T204" s="302"/>
      <c r="U204" s="303"/>
      <c r="V204" s="305">
        <f t="shared" si="14"/>
        <v>0</v>
      </c>
      <c r="W204" s="305" t="str">
        <f t="shared" si="12"/>
        <v xml:space="preserve"> </v>
      </c>
      <c r="X204" s="288"/>
    </row>
    <row r="205" spans="1:24">
      <c r="A205" s="286">
        <v>28</v>
      </c>
      <c r="C205" s="286" t="s">
        <v>644</v>
      </c>
      <c r="D205" s="286"/>
      <c r="E205" s="286" t="s">
        <v>638</v>
      </c>
      <c r="F205" s="286">
        <v>26</v>
      </c>
      <c r="G205" s="425">
        <v>90.99</v>
      </c>
      <c r="H205" s="425">
        <v>6</v>
      </c>
      <c r="J205" s="289"/>
      <c r="K205" s="289"/>
      <c r="L205" s="291"/>
      <c r="M205" s="291"/>
      <c r="N205" s="300"/>
      <c r="O205" s="296"/>
      <c r="P205" s="294"/>
      <c r="Q205" s="294"/>
      <c r="R205" s="295"/>
      <c r="S205" s="302">
        <f t="shared" si="13"/>
        <v>0</v>
      </c>
      <c r="T205" s="302"/>
      <c r="U205" s="303"/>
      <c r="V205" s="305">
        <f t="shared" si="14"/>
        <v>0</v>
      </c>
      <c r="W205" s="305" t="str">
        <f t="shared" si="12"/>
        <v xml:space="preserve"> </v>
      </c>
      <c r="X205" s="288"/>
    </row>
    <row r="206" spans="1:24">
      <c r="A206" s="286">
        <v>28</v>
      </c>
      <c r="C206" s="286" t="s">
        <v>644</v>
      </c>
      <c r="D206" s="286"/>
      <c r="E206" s="286" t="s">
        <v>616</v>
      </c>
      <c r="F206" s="286">
        <v>26</v>
      </c>
      <c r="G206" s="425">
        <v>50</v>
      </c>
      <c r="H206" s="425">
        <v>0</v>
      </c>
      <c r="J206" s="289"/>
      <c r="K206" s="289"/>
      <c r="L206" s="291"/>
      <c r="M206" s="291"/>
      <c r="N206" s="300"/>
      <c r="O206" s="296"/>
      <c r="P206" s="294"/>
      <c r="Q206" s="294"/>
      <c r="R206" s="295"/>
      <c r="S206" s="302">
        <f t="shared" si="13"/>
        <v>0</v>
      </c>
      <c r="T206" s="302"/>
      <c r="U206" s="303"/>
      <c r="V206" s="305">
        <f t="shared" si="14"/>
        <v>50</v>
      </c>
      <c r="W206" s="305">
        <f t="shared" si="12"/>
        <v>12.5</v>
      </c>
      <c r="X206" s="288"/>
    </row>
    <row r="207" spans="1:24">
      <c r="A207" s="286">
        <v>28</v>
      </c>
      <c r="C207" s="286" t="s">
        <v>644</v>
      </c>
      <c r="D207" s="286"/>
      <c r="E207" s="286" t="s">
        <v>658</v>
      </c>
      <c r="F207" s="286">
        <v>26</v>
      </c>
      <c r="G207" s="425">
        <v>-30.33</v>
      </c>
      <c r="H207" s="425">
        <v>-2</v>
      </c>
      <c r="J207" s="289"/>
      <c r="K207" s="289"/>
      <c r="L207" s="291"/>
      <c r="M207" s="291"/>
      <c r="N207" s="300"/>
      <c r="O207" s="296"/>
      <c r="P207" s="294"/>
      <c r="Q207" s="294"/>
      <c r="R207" s="295"/>
      <c r="S207" s="302">
        <f t="shared" si="13"/>
        <v>0</v>
      </c>
      <c r="T207" s="302"/>
      <c r="U207" s="303"/>
      <c r="V207" s="305">
        <f t="shared" si="14"/>
        <v>0</v>
      </c>
      <c r="W207" s="305" t="str">
        <f t="shared" si="12"/>
        <v xml:space="preserve"> </v>
      </c>
      <c r="X207" s="288"/>
    </row>
    <row r="208" spans="1:24">
      <c r="A208" s="286">
        <v>29</v>
      </c>
      <c r="C208" s="286" t="s">
        <v>597</v>
      </c>
      <c r="D208" s="286"/>
      <c r="E208" s="286" t="s">
        <v>598</v>
      </c>
      <c r="F208" s="286">
        <f>IF(VLOOKUP(A208,'WP-5 Payroll Data'!$K$11:$O$151,3,FALSE)&gt;26,26,VLOOKUP(A208,'WP-5 Payroll Data'!$K$11:$O$151,3,FALSE))</f>
        <v>26</v>
      </c>
      <c r="G208" s="425">
        <v>8565.9600000000028</v>
      </c>
      <c r="H208" s="425">
        <v>308.09999999999997</v>
      </c>
      <c r="J208" s="289">
        <f>VLOOKUP(A208,'WP-5 Payroll Data'!$K$11:$O$151,4,FALSE)</f>
        <v>9403.4600000000028</v>
      </c>
      <c r="K208" s="289">
        <f>VLOOKUP(A208,'WP-5 Payroll Data'!$K$11:$O$151,5,FALSE)</f>
        <v>337.99999999999994</v>
      </c>
      <c r="L208" s="289">
        <f>J208/K208</f>
        <v>27.820887573964509</v>
      </c>
      <c r="M208" s="289"/>
      <c r="N208" s="300">
        <f>IF((K208/F208)*26&gt;1500,2080,IF((K208/F208)*26&gt;300,520,IF((K208/F208)*26&gt;100,260,K208)))</f>
        <v>520</v>
      </c>
      <c r="O208" s="296">
        <f>N208*L208</f>
        <v>14466.861538461544</v>
      </c>
      <c r="P208" s="294"/>
      <c r="Q208" s="294">
        <f>O208*0.03</f>
        <v>434.00584615384633</v>
      </c>
      <c r="R208" s="295"/>
      <c r="S208" s="302">
        <f t="shared" si="13"/>
        <v>0</v>
      </c>
      <c r="T208" s="302"/>
      <c r="U208" s="303"/>
      <c r="V208" s="305">
        <f t="shared" si="14"/>
        <v>0</v>
      </c>
      <c r="W208" s="305" t="str">
        <f t="shared" si="12"/>
        <v xml:space="preserve"> </v>
      </c>
      <c r="X208" s="288"/>
    </row>
    <row r="209" spans="1:24">
      <c r="A209" s="286">
        <v>29</v>
      </c>
      <c r="C209" s="286" t="s">
        <v>597</v>
      </c>
      <c r="D209" s="286"/>
      <c r="E209" s="286" t="s">
        <v>605</v>
      </c>
      <c r="F209" s="286">
        <v>26</v>
      </c>
      <c r="G209" s="425">
        <v>398.21999999999997</v>
      </c>
      <c r="H209" s="425">
        <v>14.3</v>
      </c>
      <c r="J209" s="289"/>
      <c r="K209" s="289"/>
      <c r="L209" s="291"/>
      <c r="M209" s="291"/>
      <c r="N209" s="300"/>
      <c r="O209" s="296"/>
      <c r="P209" s="294"/>
      <c r="Q209" s="294"/>
      <c r="R209" s="295"/>
      <c r="S209" s="302">
        <f t="shared" si="13"/>
        <v>0</v>
      </c>
      <c r="T209" s="302"/>
      <c r="U209" s="303"/>
      <c r="V209" s="305">
        <f t="shared" si="14"/>
        <v>0</v>
      </c>
      <c r="W209" s="305" t="str">
        <f t="shared" si="12"/>
        <v xml:space="preserve"> </v>
      </c>
      <c r="X209" s="288"/>
    </row>
    <row r="210" spans="1:24">
      <c r="A210" s="286">
        <v>29</v>
      </c>
      <c r="C210" s="286" t="s">
        <v>597</v>
      </c>
      <c r="D210" s="286"/>
      <c r="E210" s="286" t="s">
        <v>608</v>
      </c>
      <c r="F210" s="286">
        <v>26</v>
      </c>
      <c r="G210" s="425">
        <v>289.59999999999997</v>
      </c>
      <c r="H210" s="425">
        <v>10.4</v>
      </c>
      <c r="J210" s="289"/>
      <c r="K210" s="289"/>
      <c r="L210" s="291"/>
      <c r="M210" s="291"/>
      <c r="N210" s="300"/>
      <c r="O210" s="296"/>
      <c r="P210" s="294"/>
      <c r="Q210" s="294"/>
      <c r="R210" s="295"/>
      <c r="S210" s="302">
        <f t="shared" si="13"/>
        <v>0</v>
      </c>
      <c r="T210" s="302"/>
      <c r="U210" s="303"/>
      <c r="V210" s="305">
        <f t="shared" si="14"/>
        <v>0</v>
      </c>
      <c r="W210" s="305" t="str">
        <f t="shared" si="12"/>
        <v xml:space="preserve"> </v>
      </c>
      <c r="X210" s="288"/>
    </row>
    <row r="211" spans="1:24">
      <c r="A211" s="286">
        <v>29</v>
      </c>
      <c r="C211" s="286" t="s">
        <v>597</v>
      </c>
      <c r="D211" s="286"/>
      <c r="E211" s="286" t="s">
        <v>610</v>
      </c>
      <c r="F211" s="286">
        <v>26</v>
      </c>
      <c r="G211" s="425">
        <v>108.60000000000001</v>
      </c>
      <c r="H211" s="425">
        <v>3.9000000000000004</v>
      </c>
      <c r="J211" s="289"/>
      <c r="K211" s="289"/>
      <c r="L211" s="291"/>
      <c r="M211" s="291"/>
      <c r="N211" s="300"/>
      <c r="O211" s="296"/>
      <c r="P211" s="294"/>
      <c r="Q211" s="294"/>
      <c r="R211" s="295"/>
      <c r="S211" s="302">
        <f t="shared" si="13"/>
        <v>0</v>
      </c>
      <c r="T211" s="302"/>
      <c r="U211" s="303"/>
      <c r="V211" s="305">
        <f t="shared" si="14"/>
        <v>0</v>
      </c>
      <c r="W211" s="305" t="str">
        <f t="shared" si="12"/>
        <v xml:space="preserve"> </v>
      </c>
      <c r="X211" s="288"/>
    </row>
    <row r="212" spans="1:24">
      <c r="A212" s="286">
        <v>29</v>
      </c>
      <c r="C212" s="286" t="s">
        <v>597</v>
      </c>
      <c r="D212" s="286"/>
      <c r="E212" s="286" t="s">
        <v>638</v>
      </c>
      <c r="F212" s="286">
        <v>26</v>
      </c>
      <c r="G212" s="425">
        <v>36.200000000000003</v>
      </c>
      <c r="H212" s="425">
        <v>1.3</v>
      </c>
      <c r="J212" s="289"/>
      <c r="K212" s="289"/>
      <c r="L212" s="291"/>
      <c r="M212" s="291"/>
      <c r="N212" s="300"/>
      <c r="O212" s="296"/>
      <c r="P212" s="294"/>
      <c r="Q212" s="294"/>
      <c r="R212" s="295"/>
      <c r="S212" s="302">
        <f t="shared" si="13"/>
        <v>0</v>
      </c>
      <c r="T212" s="302"/>
      <c r="U212" s="303"/>
      <c r="V212" s="305">
        <f t="shared" si="14"/>
        <v>0</v>
      </c>
      <c r="W212" s="305" t="str">
        <f t="shared" si="12"/>
        <v xml:space="preserve"> </v>
      </c>
      <c r="X212" s="288"/>
    </row>
    <row r="213" spans="1:24">
      <c r="A213" s="286">
        <v>29</v>
      </c>
      <c r="C213" s="286" t="s">
        <v>597</v>
      </c>
      <c r="D213" s="286"/>
      <c r="E213" s="286" t="s">
        <v>624</v>
      </c>
      <c r="F213" s="286">
        <v>26</v>
      </c>
      <c r="G213" s="425">
        <v>65</v>
      </c>
      <c r="H213" s="425">
        <v>0</v>
      </c>
      <c r="J213" s="289"/>
      <c r="K213" s="289"/>
      <c r="L213" s="291"/>
      <c r="M213" s="291"/>
      <c r="N213" s="300"/>
      <c r="O213" s="296"/>
      <c r="P213" s="294"/>
      <c r="Q213" s="294"/>
      <c r="R213" s="295"/>
      <c r="S213" s="302">
        <f t="shared" si="13"/>
        <v>0</v>
      </c>
      <c r="T213" s="302"/>
      <c r="U213" s="303"/>
      <c r="V213" s="305">
        <f t="shared" si="14"/>
        <v>65</v>
      </c>
      <c r="W213" s="305">
        <f t="shared" si="12"/>
        <v>16.25</v>
      </c>
      <c r="X213" s="288"/>
    </row>
    <row r="214" spans="1:24">
      <c r="A214" s="286">
        <v>29</v>
      </c>
      <c r="C214" s="286" t="s">
        <v>597</v>
      </c>
      <c r="D214" s="286"/>
      <c r="E214" s="286" t="s">
        <v>636</v>
      </c>
      <c r="F214" s="286">
        <v>26</v>
      </c>
      <c r="G214" s="425">
        <v>4.88</v>
      </c>
      <c r="H214" s="425">
        <v>0</v>
      </c>
      <c r="J214" s="289"/>
      <c r="K214" s="289"/>
      <c r="L214" s="291"/>
      <c r="M214" s="291"/>
      <c r="N214" s="300"/>
      <c r="O214" s="296"/>
      <c r="P214" s="294"/>
      <c r="Q214" s="294"/>
      <c r="R214" s="295"/>
      <c r="S214" s="302">
        <f t="shared" si="13"/>
        <v>0</v>
      </c>
      <c r="T214" s="302"/>
      <c r="U214" s="303"/>
      <c r="V214" s="305">
        <f t="shared" si="14"/>
        <v>0</v>
      </c>
      <c r="W214" s="305" t="str">
        <f t="shared" si="12"/>
        <v xml:space="preserve"> </v>
      </c>
      <c r="X214" s="288"/>
    </row>
    <row r="215" spans="1:24">
      <c r="A215" s="286">
        <v>30</v>
      </c>
      <c r="C215" s="286" t="s">
        <v>639</v>
      </c>
      <c r="D215" s="286"/>
      <c r="E215" s="286" t="s">
        <v>598</v>
      </c>
      <c r="F215" s="286">
        <f>IF(VLOOKUP(A215,'WP-5 Payroll Data'!$K$11:$O$151,3,FALSE)&gt;26,26,VLOOKUP(A215,'WP-5 Payroll Data'!$K$11:$O$151,3,FALSE))</f>
        <v>26</v>
      </c>
      <c r="G215" s="425">
        <v>667.99000000000024</v>
      </c>
      <c r="H215" s="425">
        <v>88.40000000000002</v>
      </c>
      <c r="J215" s="289">
        <f>VLOOKUP(A215,'WP-5 Payroll Data'!$K$11:$O$151,4,FALSE)</f>
        <v>667.99000000000024</v>
      </c>
      <c r="K215" s="289">
        <f>VLOOKUP(A215,'WP-5 Payroll Data'!$K$11:$O$151,5,FALSE)</f>
        <v>88.40000000000002</v>
      </c>
      <c r="L215" s="289">
        <f>J215/K215</f>
        <v>7.5564479638009061</v>
      </c>
      <c r="M215" s="289"/>
      <c r="N215" s="300">
        <f>IF((K215/F215)*26&gt;1500,2080,IF((K215/F215)*26&gt;300,520,IF((K215/F215)*26&gt;100,260,K215)))</f>
        <v>88.40000000000002</v>
      </c>
      <c r="O215" s="296">
        <f>N215*L215</f>
        <v>667.99000000000024</v>
      </c>
      <c r="P215" s="294"/>
      <c r="Q215" s="294">
        <f>O215*0.03</f>
        <v>20.039700000000007</v>
      </c>
      <c r="R215" s="295"/>
      <c r="S215" s="302">
        <f t="shared" si="13"/>
        <v>0</v>
      </c>
      <c r="T215" s="302"/>
      <c r="U215" s="303"/>
      <c r="V215" s="305">
        <f t="shared" si="14"/>
        <v>0</v>
      </c>
      <c r="W215" s="305" t="str">
        <f t="shared" si="12"/>
        <v xml:space="preserve"> </v>
      </c>
      <c r="X215" s="288"/>
    </row>
    <row r="216" spans="1:24">
      <c r="A216" s="286">
        <v>31</v>
      </c>
      <c r="C216" s="286" t="s">
        <v>639</v>
      </c>
      <c r="D216" s="286"/>
      <c r="E216" s="286" t="s">
        <v>598</v>
      </c>
      <c r="F216" s="286">
        <f>IF(VLOOKUP(A216,'WP-5 Payroll Data'!$K$11:$O$151,3,FALSE)&gt;26,26,VLOOKUP(A216,'WP-5 Payroll Data'!$K$11:$O$151,3,FALSE))</f>
        <v>26</v>
      </c>
      <c r="G216" s="425">
        <v>667.99000000000024</v>
      </c>
      <c r="H216" s="425">
        <v>88.40000000000002</v>
      </c>
      <c r="J216" s="289">
        <f>VLOOKUP(A216,'WP-5 Payroll Data'!$K$11:$O$151,4,FALSE)</f>
        <v>667.99000000000024</v>
      </c>
      <c r="K216" s="289">
        <f>VLOOKUP(A216,'WP-5 Payroll Data'!$K$11:$O$151,5,FALSE)</f>
        <v>88.40000000000002</v>
      </c>
      <c r="L216" s="289">
        <f>J216/K216</f>
        <v>7.5564479638009061</v>
      </c>
      <c r="M216" s="289"/>
      <c r="N216" s="300">
        <f>IF((K216/F216)*26&gt;1500,2080,IF((K216/F216)*26&gt;300,520,IF((K216/F216)*26&gt;100,260,K216)))</f>
        <v>88.40000000000002</v>
      </c>
      <c r="O216" s="296">
        <f>N216*L216</f>
        <v>667.99000000000024</v>
      </c>
      <c r="P216" s="294"/>
      <c r="Q216" s="294">
        <f>O216*0.03</f>
        <v>20.039700000000007</v>
      </c>
      <c r="R216" s="295"/>
      <c r="S216" s="302">
        <f t="shared" si="13"/>
        <v>0</v>
      </c>
      <c r="T216" s="302"/>
      <c r="U216" s="303"/>
      <c r="V216" s="305">
        <f t="shared" si="14"/>
        <v>0</v>
      </c>
      <c r="W216" s="305" t="str">
        <f t="shared" si="12"/>
        <v xml:space="preserve"> </v>
      </c>
      <c r="X216" s="288"/>
    </row>
    <row r="217" spans="1:24">
      <c r="A217" s="286">
        <v>32</v>
      </c>
      <c r="C217" s="286" t="s">
        <v>597</v>
      </c>
      <c r="D217" s="286"/>
      <c r="E217" s="286" t="s">
        <v>598</v>
      </c>
      <c r="F217" s="286">
        <f>IF(VLOOKUP(A217,'WP-5 Payroll Data'!$K$11:$O$151,3,FALSE)&gt;26,26,VLOOKUP(A217,'WP-5 Payroll Data'!$K$11:$O$151,3,FALSE))</f>
        <v>26</v>
      </c>
      <c r="G217" s="425">
        <v>4334.8999999999996</v>
      </c>
      <c r="H217" s="425">
        <v>179.77999999999994</v>
      </c>
      <c r="J217" s="289">
        <f>VLOOKUP(A217,'WP-5 Payroll Data'!$K$11:$O$151,4,FALSE)</f>
        <v>4750.4599999999991</v>
      </c>
      <c r="K217" s="289">
        <f>VLOOKUP(A217,'WP-5 Payroll Data'!$K$11:$O$151,5,FALSE)</f>
        <v>197.03999999999994</v>
      </c>
      <c r="L217" s="289">
        <f>J217/K217</f>
        <v>24.109114900527814</v>
      </c>
      <c r="M217" s="289"/>
      <c r="N217" s="300">
        <f>IF((K217/F217)*26&gt;1500,2080,IF((K217/F217)*26&gt;300,520,IF((K217/F217)*26&gt;100,260,K217)))</f>
        <v>260</v>
      </c>
      <c r="O217" s="296">
        <f>N217*L217</f>
        <v>6268.3698741372318</v>
      </c>
      <c r="P217" s="294"/>
      <c r="Q217" s="294">
        <f>O217*0.03</f>
        <v>188.05109622411695</v>
      </c>
      <c r="R217" s="295"/>
      <c r="S217" s="302">
        <f t="shared" si="13"/>
        <v>0</v>
      </c>
      <c r="T217" s="302"/>
      <c r="U217" s="303"/>
      <c r="V217" s="305">
        <f t="shared" si="14"/>
        <v>0</v>
      </c>
      <c r="W217" s="305" t="str">
        <f t="shared" si="12"/>
        <v xml:space="preserve"> </v>
      </c>
      <c r="X217" s="288"/>
    </row>
    <row r="218" spans="1:24">
      <c r="A218" s="286">
        <v>32</v>
      </c>
      <c r="C218" s="286" t="s">
        <v>597</v>
      </c>
      <c r="D218" s="286"/>
      <c r="E218" s="286" t="s">
        <v>605</v>
      </c>
      <c r="F218" s="286">
        <v>26</v>
      </c>
      <c r="G218" s="425">
        <v>221.91000000000003</v>
      </c>
      <c r="H218" s="425">
        <v>8.8800000000000008</v>
      </c>
      <c r="J218" s="289"/>
      <c r="K218" s="289"/>
      <c r="L218" s="291"/>
      <c r="M218" s="291"/>
      <c r="N218" s="300"/>
      <c r="O218" s="296"/>
      <c r="P218" s="294"/>
      <c r="Q218" s="294"/>
      <c r="R218" s="295"/>
      <c r="S218" s="302">
        <f t="shared" si="13"/>
        <v>0</v>
      </c>
      <c r="T218" s="302"/>
      <c r="U218" s="303"/>
      <c r="V218" s="305">
        <f t="shared" si="14"/>
        <v>0</v>
      </c>
      <c r="W218" s="305" t="str">
        <f t="shared" si="12"/>
        <v xml:space="preserve"> </v>
      </c>
      <c r="X218" s="288"/>
    </row>
    <row r="219" spans="1:24">
      <c r="A219" s="286">
        <v>32</v>
      </c>
      <c r="C219" s="286" t="s">
        <v>597</v>
      </c>
      <c r="D219" s="286"/>
      <c r="E219" s="286" t="s">
        <v>608</v>
      </c>
      <c r="F219" s="286">
        <v>26</v>
      </c>
      <c r="G219" s="425">
        <v>140.57</v>
      </c>
      <c r="H219" s="425">
        <v>6.1999999999999993</v>
      </c>
      <c r="J219" s="289"/>
      <c r="K219" s="289"/>
      <c r="L219" s="291"/>
      <c r="M219" s="291"/>
      <c r="N219" s="300"/>
      <c r="O219" s="296"/>
      <c r="P219" s="294"/>
      <c r="Q219" s="294"/>
      <c r="R219" s="295"/>
      <c r="S219" s="302">
        <f t="shared" si="13"/>
        <v>0</v>
      </c>
      <c r="T219" s="302"/>
      <c r="U219" s="303"/>
      <c r="V219" s="305">
        <f t="shared" si="14"/>
        <v>0</v>
      </c>
      <c r="W219" s="305" t="str">
        <f t="shared" si="12"/>
        <v xml:space="preserve"> </v>
      </c>
      <c r="X219" s="288"/>
    </row>
    <row r="220" spans="1:24">
      <c r="A220" s="286">
        <v>32</v>
      </c>
      <c r="C220" s="286" t="s">
        <v>597</v>
      </c>
      <c r="D220" s="286"/>
      <c r="E220" s="286" t="s">
        <v>610</v>
      </c>
      <c r="F220" s="286">
        <v>26</v>
      </c>
      <c r="G220" s="425">
        <v>53.080000000000005</v>
      </c>
      <c r="H220" s="425">
        <v>2.1799999999999997</v>
      </c>
      <c r="J220" s="289"/>
      <c r="K220" s="289"/>
      <c r="L220" s="291"/>
      <c r="M220" s="291"/>
      <c r="N220" s="300"/>
      <c r="O220" s="296"/>
      <c r="P220" s="294"/>
      <c r="Q220" s="294"/>
      <c r="R220" s="295"/>
      <c r="S220" s="302">
        <f t="shared" si="13"/>
        <v>0</v>
      </c>
      <c r="T220" s="302"/>
      <c r="U220" s="303"/>
      <c r="V220" s="305">
        <f t="shared" si="14"/>
        <v>0</v>
      </c>
      <c r="W220" s="305" t="str">
        <f t="shared" si="12"/>
        <v xml:space="preserve"> </v>
      </c>
      <c r="X220" s="288"/>
    </row>
    <row r="221" spans="1:24">
      <c r="A221" s="286">
        <v>32</v>
      </c>
      <c r="C221" s="286" t="s">
        <v>597</v>
      </c>
      <c r="D221" s="286"/>
      <c r="E221" s="286" t="s">
        <v>624</v>
      </c>
      <c r="F221" s="286">
        <v>26</v>
      </c>
      <c r="G221" s="425">
        <v>87.5</v>
      </c>
      <c r="H221" s="425">
        <v>0</v>
      </c>
      <c r="J221" s="289"/>
      <c r="K221" s="289"/>
      <c r="L221" s="291"/>
      <c r="M221" s="291"/>
      <c r="N221" s="300"/>
      <c r="O221" s="296"/>
      <c r="P221" s="294"/>
      <c r="Q221" s="294"/>
      <c r="R221" s="295"/>
      <c r="S221" s="302">
        <f t="shared" si="13"/>
        <v>0</v>
      </c>
      <c r="T221" s="302"/>
      <c r="U221" s="303"/>
      <c r="V221" s="305">
        <f t="shared" si="14"/>
        <v>87.5</v>
      </c>
      <c r="W221" s="305">
        <f t="shared" si="12"/>
        <v>21.875</v>
      </c>
      <c r="X221" s="288"/>
    </row>
    <row r="222" spans="1:24">
      <c r="A222" s="286">
        <v>33</v>
      </c>
      <c r="C222" s="286" t="s">
        <v>644</v>
      </c>
      <c r="D222" s="286"/>
      <c r="E222" s="286" t="s">
        <v>598</v>
      </c>
      <c r="F222" s="286">
        <f>IF(VLOOKUP(A222,'WP-5 Payroll Data'!$K$11:$O$151,3,FALSE)&gt;26,26,VLOOKUP(A222,'WP-5 Payroll Data'!$K$11:$O$151,3,FALSE))</f>
        <v>26</v>
      </c>
      <c r="G222" s="425">
        <v>10548.52</v>
      </c>
      <c r="H222" s="425">
        <v>414.64000000000004</v>
      </c>
      <c r="J222" s="289">
        <f>VLOOKUP(A222,'WP-5 Payroll Data'!$K$11:$O$151,4,FALSE)</f>
        <v>13231.990000000002</v>
      </c>
      <c r="K222" s="289">
        <f>VLOOKUP(A222,'WP-5 Payroll Data'!$K$11:$O$151,5,FALSE)</f>
        <v>520.07000000000005</v>
      </c>
      <c r="L222" s="289">
        <f>J222/K222</f>
        <v>25.44270963524141</v>
      </c>
      <c r="M222" s="289"/>
      <c r="N222" s="300">
        <f>IF((K222/F222)*26&gt;1500,2080,IF((K222/F222)*26&gt;300,520,IF((K222/F222)*26&gt;100,260,K222)))</f>
        <v>520</v>
      </c>
      <c r="O222" s="296">
        <f>N222*L222</f>
        <v>13230.209010325534</v>
      </c>
      <c r="P222" s="294"/>
      <c r="Q222" s="294">
        <f>O222*0.03</f>
        <v>396.906270309766</v>
      </c>
      <c r="R222" s="295"/>
      <c r="S222" s="302">
        <f t="shared" si="13"/>
        <v>0</v>
      </c>
      <c r="T222" s="302"/>
      <c r="U222" s="303"/>
      <c r="V222" s="305">
        <f t="shared" si="14"/>
        <v>0</v>
      </c>
      <c r="W222" s="305" t="str">
        <f t="shared" si="12"/>
        <v xml:space="preserve"> </v>
      </c>
      <c r="X222" s="288"/>
    </row>
    <row r="223" spans="1:24">
      <c r="A223" s="286">
        <v>33</v>
      </c>
      <c r="C223" s="286" t="s">
        <v>644</v>
      </c>
      <c r="D223" s="286"/>
      <c r="E223" s="286" t="s">
        <v>599</v>
      </c>
      <c r="F223" s="286">
        <v>26</v>
      </c>
      <c r="G223" s="425">
        <v>749.4</v>
      </c>
      <c r="H223" s="425">
        <v>19.679999999999996</v>
      </c>
      <c r="J223" s="289"/>
      <c r="K223" s="289"/>
      <c r="L223" s="291"/>
      <c r="M223" s="291"/>
      <c r="N223" s="300"/>
      <c r="O223" s="296"/>
      <c r="P223" s="294"/>
      <c r="Q223" s="294"/>
      <c r="R223" s="295"/>
      <c r="S223" s="302">
        <f t="shared" si="13"/>
        <v>749.4</v>
      </c>
      <c r="T223" s="302">
        <f t="shared" ref="T223:T258" si="15">S223*0.03</f>
        <v>22.481999999999999</v>
      </c>
      <c r="U223" s="303"/>
      <c r="V223" s="305">
        <f t="shared" si="14"/>
        <v>0</v>
      </c>
      <c r="W223" s="305" t="str">
        <f t="shared" si="12"/>
        <v xml:space="preserve"> </v>
      </c>
      <c r="X223" s="288"/>
    </row>
    <row r="224" spans="1:24">
      <c r="A224" s="286">
        <v>33</v>
      </c>
      <c r="C224" s="286" t="s">
        <v>644</v>
      </c>
      <c r="D224" s="286"/>
      <c r="E224" s="286" t="s">
        <v>605</v>
      </c>
      <c r="F224" s="286">
        <v>26</v>
      </c>
      <c r="G224" s="425">
        <v>1527.8700000000003</v>
      </c>
      <c r="H224" s="425">
        <v>59.98</v>
      </c>
      <c r="J224" s="289"/>
      <c r="K224" s="289"/>
      <c r="L224" s="291"/>
      <c r="M224" s="291"/>
      <c r="N224" s="300"/>
      <c r="O224" s="296"/>
      <c r="P224" s="294"/>
      <c r="Q224" s="294"/>
      <c r="R224" s="295"/>
      <c r="S224" s="302">
        <f t="shared" si="13"/>
        <v>0</v>
      </c>
      <c r="T224" s="302"/>
      <c r="U224" s="303"/>
      <c r="V224" s="305">
        <f t="shared" si="14"/>
        <v>0</v>
      </c>
      <c r="W224" s="305" t="str">
        <f t="shared" si="12"/>
        <v xml:space="preserve"> </v>
      </c>
      <c r="X224" s="288"/>
    </row>
    <row r="225" spans="1:24">
      <c r="A225" s="286">
        <v>33</v>
      </c>
      <c r="C225" s="286" t="s">
        <v>644</v>
      </c>
      <c r="D225" s="286"/>
      <c r="E225" s="286" t="s">
        <v>608</v>
      </c>
      <c r="F225" s="286">
        <v>26</v>
      </c>
      <c r="G225" s="425">
        <v>748</v>
      </c>
      <c r="H225" s="425">
        <v>29.44</v>
      </c>
      <c r="J225" s="289"/>
      <c r="K225" s="289"/>
      <c r="L225" s="291"/>
      <c r="M225" s="291"/>
      <c r="N225" s="300"/>
      <c r="O225" s="296"/>
      <c r="P225" s="294"/>
      <c r="Q225" s="294"/>
      <c r="R225" s="295"/>
      <c r="S225" s="302">
        <f t="shared" si="13"/>
        <v>0</v>
      </c>
      <c r="T225" s="302"/>
      <c r="U225" s="303"/>
      <c r="V225" s="305">
        <f t="shared" si="14"/>
        <v>0</v>
      </c>
      <c r="W225" s="305" t="str">
        <f t="shared" si="12"/>
        <v xml:space="preserve"> </v>
      </c>
      <c r="X225" s="288"/>
    </row>
    <row r="226" spans="1:24">
      <c r="A226" s="286">
        <v>33</v>
      </c>
      <c r="C226" s="286" t="s">
        <v>644</v>
      </c>
      <c r="D226" s="286"/>
      <c r="E226" s="286" t="s">
        <v>610</v>
      </c>
      <c r="F226" s="286">
        <v>26</v>
      </c>
      <c r="G226" s="425">
        <v>152.85</v>
      </c>
      <c r="H226" s="425">
        <v>6.01</v>
      </c>
      <c r="J226" s="289"/>
      <c r="K226" s="289"/>
      <c r="L226" s="291"/>
      <c r="M226" s="291"/>
      <c r="N226" s="300"/>
      <c r="O226" s="296"/>
      <c r="P226" s="294"/>
      <c r="Q226" s="294"/>
      <c r="R226" s="295"/>
      <c r="S226" s="302">
        <f t="shared" si="13"/>
        <v>0</v>
      </c>
      <c r="T226" s="302"/>
      <c r="U226" s="303"/>
      <c r="V226" s="305">
        <f t="shared" si="14"/>
        <v>0</v>
      </c>
      <c r="W226" s="305" t="str">
        <f t="shared" si="12"/>
        <v xml:space="preserve"> </v>
      </c>
      <c r="X226" s="288"/>
    </row>
    <row r="227" spans="1:24">
      <c r="A227" s="286">
        <v>33</v>
      </c>
      <c r="C227" s="286" t="s">
        <v>644</v>
      </c>
      <c r="D227" s="286"/>
      <c r="E227" s="286" t="s">
        <v>638</v>
      </c>
      <c r="F227" s="286">
        <v>26</v>
      </c>
      <c r="G227" s="425">
        <v>254.75</v>
      </c>
      <c r="H227" s="425">
        <v>10</v>
      </c>
      <c r="J227" s="289"/>
      <c r="K227" s="289"/>
      <c r="L227" s="291"/>
      <c r="M227" s="291"/>
      <c r="N227" s="300"/>
      <c r="O227" s="296"/>
      <c r="P227" s="294"/>
      <c r="Q227" s="294"/>
      <c r="R227" s="295"/>
      <c r="S227" s="302">
        <f t="shared" si="13"/>
        <v>0</v>
      </c>
      <c r="T227" s="302"/>
      <c r="U227" s="303"/>
      <c r="V227" s="305">
        <f t="shared" si="14"/>
        <v>0</v>
      </c>
      <c r="W227" s="305" t="str">
        <f t="shared" si="12"/>
        <v xml:space="preserve"> </v>
      </c>
      <c r="X227" s="288"/>
    </row>
    <row r="228" spans="1:24">
      <c r="A228" s="286">
        <v>33</v>
      </c>
      <c r="C228" s="286" t="s">
        <v>644</v>
      </c>
      <c r="D228" s="286"/>
      <c r="E228" s="286" t="s">
        <v>612</v>
      </c>
      <c r="F228" s="286">
        <v>26</v>
      </c>
      <c r="G228" s="425">
        <v>25</v>
      </c>
      <c r="H228" s="425">
        <v>0</v>
      </c>
      <c r="J228" s="289"/>
      <c r="K228" s="289"/>
      <c r="L228" s="291"/>
      <c r="M228" s="291"/>
      <c r="N228" s="300"/>
      <c r="O228" s="296"/>
      <c r="P228" s="294"/>
      <c r="Q228" s="294"/>
      <c r="R228" s="295"/>
      <c r="S228" s="302">
        <f t="shared" si="13"/>
        <v>0</v>
      </c>
      <c r="T228" s="302"/>
      <c r="U228" s="303"/>
      <c r="V228" s="305">
        <f t="shared" si="14"/>
        <v>25</v>
      </c>
      <c r="W228" s="305" t="str">
        <f t="shared" si="12"/>
        <v xml:space="preserve"> </v>
      </c>
      <c r="X228" s="288"/>
    </row>
    <row r="229" spans="1:24">
      <c r="A229" s="286">
        <v>33</v>
      </c>
      <c r="C229" s="286" t="s">
        <v>644</v>
      </c>
      <c r="D229" s="286"/>
      <c r="E229" s="286" t="s">
        <v>613</v>
      </c>
      <c r="F229" s="286">
        <v>26</v>
      </c>
      <c r="G229" s="425">
        <v>187.5</v>
      </c>
      <c r="H229" s="425">
        <v>0</v>
      </c>
      <c r="J229" s="289"/>
      <c r="K229" s="289"/>
      <c r="L229" s="291"/>
      <c r="M229" s="291"/>
      <c r="N229" s="300"/>
      <c r="O229" s="296"/>
      <c r="P229" s="294"/>
      <c r="Q229" s="294"/>
      <c r="R229" s="295"/>
      <c r="S229" s="302">
        <f t="shared" si="13"/>
        <v>0</v>
      </c>
      <c r="T229" s="302"/>
      <c r="U229" s="303"/>
      <c r="V229" s="305">
        <f t="shared" si="14"/>
        <v>187.5</v>
      </c>
      <c r="W229" s="305" t="str">
        <f t="shared" si="12"/>
        <v xml:space="preserve"> </v>
      </c>
      <c r="X229" s="288"/>
    </row>
    <row r="230" spans="1:24">
      <c r="A230" s="286">
        <v>33</v>
      </c>
      <c r="C230" s="286" t="s">
        <v>644</v>
      </c>
      <c r="D230" s="286"/>
      <c r="E230" s="286" t="s">
        <v>614</v>
      </c>
      <c r="F230" s="286">
        <v>26</v>
      </c>
      <c r="G230" s="425">
        <v>62.5</v>
      </c>
      <c r="H230" s="425">
        <v>0</v>
      </c>
      <c r="J230" s="289"/>
      <c r="K230" s="289"/>
      <c r="L230" s="291"/>
      <c r="M230" s="291"/>
      <c r="N230" s="300"/>
      <c r="O230" s="296"/>
      <c r="P230" s="294"/>
      <c r="Q230" s="294"/>
      <c r="R230" s="295"/>
      <c r="S230" s="302">
        <f t="shared" si="13"/>
        <v>0</v>
      </c>
      <c r="T230" s="302"/>
      <c r="U230" s="303"/>
      <c r="V230" s="305">
        <f t="shared" si="14"/>
        <v>62.5</v>
      </c>
      <c r="W230" s="305" t="str">
        <f t="shared" si="12"/>
        <v xml:space="preserve"> </v>
      </c>
      <c r="X230" s="288"/>
    </row>
    <row r="231" spans="1:24">
      <c r="A231" s="286">
        <v>33</v>
      </c>
      <c r="C231" s="286" t="s">
        <v>644</v>
      </c>
      <c r="D231" s="286"/>
      <c r="E231" s="286" t="s">
        <v>616</v>
      </c>
      <c r="F231" s="286">
        <v>26</v>
      </c>
      <c r="G231" s="425">
        <v>1250</v>
      </c>
      <c r="H231" s="425">
        <v>0</v>
      </c>
      <c r="J231" s="289"/>
      <c r="K231" s="289"/>
      <c r="L231" s="291"/>
      <c r="M231" s="291"/>
      <c r="N231" s="300"/>
      <c r="O231" s="296"/>
      <c r="P231" s="294"/>
      <c r="Q231" s="294"/>
      <c r="R231" s="295"/>
      <c r="S231" s="302">
        <f t="shared" si="13"/>
        <v>0</v>
      </c>
      <c r="T231" s="302"/>
      <c r="U231" s="303"/>
      <c r="V231" s="305">
        <f t="shared" si="14"/>
        <v>1250</v>
      </c>
      <c r="W231" s="305">
        <f t="shared" si="12"/>
        <v>312.5</v>
      </c>
      <c r="X231" s="288"/>
    </row>
    <row r="232" spans="1:24">
      <c r="A232" s="286">
        <v>34</v>
      </c>
      <c r="C232" s="286" t="s">
        <v>650</v>
      </c>
      <c r="D232" s="286"/>
      <c r="E232" s="286" t="s">
        <v>598</v>
      </c>
      <c r="F232" s="286">
        <f>IF(VLOOKUP(A232,'WP-5 Payroll Data'!$K$11:$O$151,3,FALSE)&gt;26,26,VLOOKUP(A232,'WP-5 Payroll Data'!$K$11:$O$151,3,FALSE))</f>
        <v>26</v>
      </c>
      <c r="G232" s="425">
        <v>3800.1900000000023</v>
      </c>
      <c r="H232" s="425">
        <v>97.2</v>
      </c>
      <c r="J232" s="289">
        <f>VLOOKUP(A232,'WP-5 Payroll Data'!$K$11:$O$151,4,FALSE)</f>
        <v>4031.9400000000023</v>
      </c>
      <c r="K232" s="289">
        <f>VLOOKUP(A232,'WP-5 Payroll Data'!$K$11:$O$151,5,FALSE)</f>
        <v>103.2</v>
      </c>
      <c r="L232" s="289">
        <f>J232/K232</f>
        <v>39.069186046511646</v>
      </c>
      <c r="M232" s="289"/>
      <c r="N232" s="300">
        <f>IF((K232/F232)*26&gt;1500,2080,IF((K232/F232)*26&gt;300,520,IF((K232/F232)*26&gt;100,260,K232)))</f>
        <v>260</v>
      </c>
      <c r="O232" s="296">
        <f>N232*L232</f>
        <v>10157.988372093028</v>
      </c>
      <c r="P232" s="294"/>
      <c r="Q232" s="294">
        <f>O232*0.03</f>
        <v>304.73965116279084</v>
      </c>
      <c r="R232" s="295"/>
      <c r="S232" s="302">
        <f t="shared" si="13"/>
        <v>0</v>
      </c>
      <c r="T232" s="302"/>
      <c r="U232" s="303"/>
      <c r="V232" s="305">
        <f t="shared" si="14"/>
        <v>0</v>
      </c>
      <c r="W232" s="305" t="str">
        <f t="shared" si="12"/>
        <v xml:space="preserve"> </v>
      </c>
      <c r="X232" s="288"/>
    </row>
    <row r="233" spans="1:24">
      <c r="A233" s="286">
        <v>34</v>
      </c>
      <c r="C233" s="286" t="s">
        <v>650</v>
      </c>
      <c r="D233" s="286"/>
      <c r="E233" s="286" t="s">
        <v>605</v>
      </c>
      <c r="F233" s="286">
        <v>26</v>
      </c>
      <c r="G233" s="425">
        <v>137.85</v>
      </c>
      <c r="H233" s="425">
        <v>3.6</v>
      </c>
      <c r="J233" s="289"/>
      <c r="K233" s="289"/>
      <c r="L233" s="291"/>
      <c r="M233" s="291"/>
      <c r="N233" s="300"/>
      <c r="O233" s="296"/>
      <c r="P233" s="294"/>
      <c r="Q233" s="294"/>
      <c r="R233" s="295"/>
      <c r="S233" s="302">
        <f t="shared" si="13"/>
        <v>0</v>
      </c>
      <c r="T233" s="302"/>
      <c r="U233" s="303"/>
      <c r="V233" s="305">
        <f t="shared" si="14"/>
        <v>0</v>
      </c>
      <c r="W233" s="305" t="str">
        <f t="shared" si="12"/>
        <v xml:space="preserve"> </v>
      </c>
      <c r="X233" s="288"/>
    </row>
    <row r="234" spans="1:24">
      <c r="A234" s="286">
        <v>34</v>
      </c>
      <c r="C234" s="286" t="s">
        <v>650</v>
      </c>
      <c r="D234" s="286"/>
      <c r="E234" s="286" t="s">
        <v>608</v>
      </c>
      <c r="F234" s="286">
        <v>26</v>
      </c>
      <c r="G234" s="425">
        <v>15.65</v>
      </c>
      <c r="H234" s="425">
        <v>0.4</v>
      </c>
      <c r="J234" s="289"/>
      <c r="K234" s="289"/>
      <c r="L234" s="291"/>
      <c r="M234" s="291"/>
      <c r="N234" s="300"/>
      <c r="O234" s="296"/>
      <c r="P234" s="294"/>
      <c r="Q234" s="294"/>
      <c r="R234" s="295"/>
      <c r="S234" s="302">
        <f t="shared" si="13"/>
        <v>0</v>
      </c>
      <c r="T234" s="302"/>
      <c r="U234" s="303"/>
      <c r="V234" s="305">
        <f t="shared" si="14"/>
        <v>0</v>
      </c>
      <c r="W234" s="305" t="str">
        <f t="shared" si="12"/>
        <v xml:space="preserve"> </v>
      </c>
      <c r="X234" s="288"/>
    </row>
    <row r="235" spans="1:24">
      <c r="A235" s="286">
        <v>34</v>
      </c>
      <c r="C235" s="286" t="s">
        <v>650</v>
      </c>
      <c r="D235" s="286"/>
      <c r="E235" s="286" t="s">
        <v>602</v>
      </c>
      <c r="F235" s="286">
        <v>26</v>
      </c>
      <c r="G235" s="425">
        <v>31.310000000000002</v>
      </c>
      <c r="H235" s="425">
        <v>0.8</v>
      </c>
      <c r="J235" s="289"/>
      <c r="K235" s="289"/>
      <c r="L235" s="291"/>
      <c r="M235" s="291"/>
      <c r="N235" s="300"/>
      <c r="O235" s="296"/>
      <c r="P235" s="294"/>
      <c r="Q235" s="294"/>
      <c r="R235" s="295"/>
      <c r="S235" s="302">
        <f t="shared" si="13"/>
        <v>0</v>
      </c>
      <c r="T235" s="302"/>
      <c r="U235" s="303"/>
      <c r="V235" s="305">
        <f t="shared" si="14"/>
        <v>31.310000000000002</v>
      </c>
      <c r="W235" s="305" t="str">
        <f t="shared" si="12"/>
        <v xml:space="preserve"> </v>
      </c>
      <c r="X235" s="288"/>
    </row>
    <row r="236" spans="1:24">
      <c r="A236" s="286">
        <v>34</v>
      </c>
      <c r="C236" s="286" t="s">
        <v>650</v>
      </c>
      <c r="D236" s="286"/>
      <c r="E236" s="286" t="s">
        <v>610</v>
      </c>
      <c r="F236" s="286">
        <v>26</v>
      </c>
      <c r="G236" s="425">
        <v>46.95</v>
      </c>
      <c r="H236" s="425">
        <v>1.2000000000000002</v>
      </c>
      <c r="J236" s="289"/>
      <c r="K236" s="289"/>
      <c r="L236" s="291"/>
      <c r="M236" s="291"/>
      <c r="N236" s="300"/>
      <c r="O236" s="296"/>
      <c r="P236" s="294"/>
      <c r="Q236" s="294"/>
      <c r="R236" s="295"/>
      <c r="S236" s="302">
        <f t="shared" si="13"/>
        <v>0</v>
      </c>
      <c r="T236" s="302"/>
      <c r="U236" s="303"/>
      <c r="V236" s="305">
        <f t="shared" si="14"/>
        <v>0</v>
      </c>
      <c r="W236" s="305" t="str">
        <f t="shared" si="12"/>
        <v xml:space="preserve"> </v>
      </c>
      <c r="X236" s="288"/>
    </row>
    <row r="237" spans="1:24">
      <c r="A237" s="286">
        <v>34</v>
      </c>
      <c r="C237" s="286" t="s">
        <v>650</v>
      </c>
      <c r="D237" s="286"/>
      <c r="E237" s="286" t="s">
        <v>638</v>
      </c>
      <c r="F237" s="286">
        <v>26</v>
      </c>
      <c r="G237" s="425">
        <v>31.3</v>
      </c>
      <c r="H237" s="425">
        <v>0.8</v>
      </c>
      <c r="J237" s="289"/>
      <c r="K237" s="289"/>
      <c r="L237" s="291"/>
      <c r="M237" s="291"/>
      <c r="N237" s="300"/>
      <c r="O237" s="296"/>
      <c r="P237" s="294"/>
      <c r="Q237" s="294"/>
      <c r="R237" s="295"/>
      <c r="S237" s="302">
        <f t="shared" si="13"/>
        <v>0</v>
      </c>
      <c r="T237" s="302"/>
      <c r="U237" s="303"/>
      <c r="V237" s="305">
        <f t="shared" si="14"/>
        <v>0</v>
      </c>
      <c r="W237" s="305" t="str">
        <f t="shared" si="12"/>
        <v xml:space="preserve"> </v>
      </c>
      <c r="X237" s="288"/>
    </row>
    <row r="238" spans="1:24">
      <c r="A238" s="286">
        <v>34</v>
      </c>
      <c r="C238" s="286" t="s">
        <v>650</v>
      </c>
      <c r="D238" s="286"/>
      <c r="E238" s="286" t="s">
        <v>612</v>
      </c>
      <c r="F238" s="286">
        <v>26</v>
      </c>
      <c r="G238" s="425">
        <v>5</v>
      </c>
      <c r="H238" s="425">
        <v>0</v>
      </c>
      <c r="J238" s="289"/>
      <c r="K238" s="289"/>
      <c r="L238" s="291"/>
      <c r="M238" s="291"/>
      <c r="N238" s="300"/>
      <c r="O238" s="296"/>
      <c r="P238" s="294"/>
      <c r="Q238" s="294"/>
      <c r="R238" s="295"/>
      <c r="S238" s="302">
        <f t="shared" si="13"/>
        <v>0</v>
      </c>
      <c r="T238" s="302"/>
      <c r="U238" s="303"/>
      <c r="V238" s="305">
        <f t="shared" si="14"/>
        <v>5</v>
      </c>
      <c r="W238" s="305" t="str">
        <f t="shared" si="12"/>
        <v xml:space="preserve"> </v>
      </c>
      <c r="X238" s="288"/>
    </row>
    <row r="239" spans="1:24">
      <c r="A239" s="286">
        <v>34</v>
      </c>
      <c r="C239" s="286" t="s">
        <v>650</v>
      </c>
      <c r="D239" s="286"/>
      <c r="E239" s="286" t="s">
        <v>624</v>
      </c>
      <c r="F239" s="286">
        <v>26</v>
      </c>
      <c r="G239" s="425">
        <v>35</v>
      </c>
      <c r="H239" s="425">
        <v>0</v>
      </c>
      <c r="J239" s="289"/>
      <c r="K239" s="289"/>
      <c r="L239" s="291"/>
      <c r="M239" s="291"/>
      <c r="N239" s="300"/>
      <c r="O239" s="296"/>
      <c r="P239" s="294"/>
      <c r="Q239" s="294"/>
      <c r="R239" s="295"/>
      <c r="S239" s="302">
        <f t="shared" si="13"/>
        <v>0</v>
      </c>
      <c r="T239" s="302"/>
      <c r="U239" s="303"/>
      <c r="V239" s="305">
        <f t="shared" si="14"/>
        <v>35</v>
      </c>
      <c r="W239" s="305">
        <f t="shared" si="12"/>
        <v>8.75</v>
      </c>
      <c r="X239" s="288"/>
    </row>
    <row r="240" spans="1:24">
      <c r="A240" s="286">
        <v>35</v>
      </c>
      <c r="C240" s="286" t="s">
        <v>639</v>
      </c>
      <c r="D240" s="286"/>
      <c r="E240" s="286" t="s">
        <v>598</v>
      </c>
      <c r="F240" s="286">
        <f>IF(VLOOKUP(A240,'WP-5 Payroll Data'!$K$11:$O$151,3,FALSE)&gt;26,26,VLOOKUP(A240,'WP-5 Payroll Data'!$K$11:$O$151,3,FALSE))</f>
        <v>26</v>
      </c>
      <c r="G240" s="425">
        <v>667.99000000000024</v>
      </c>
      <c r="H240" s="425">
        <v>88.40000000000002</v>
      </c>
      <c r="J240" s="289">
        <f>VLOOKUP(A240,'WP-5 Payroll Data'!$K$11:$O$151,4,FALSE)</f>
        <v>667.99000000000024</v>
      </c>
      <c r="K240" s="289">
        <f>VLOOKUP(A240,'WP-5 Payroll Data'!$K$11:$O$151,5,FALSE)</f>
        <v>88.40000000000002</v>
      </c>
      <c r="L240" s="289">
        <f>J240/K240</f>
        <v>7.5564479638009061</v>
      </c>
      <c r="M240" s="289"/>
      <c r="N240" s="300">
        <f>IF((K240/F240)*26&gt;1500,2080,IF((K240/F240)*26&gt;300,520,IF((K240/F240)*26&gt;100,260,K240)))</f>
        <v>88.40000000000002</v>
      </c>
      <c r="O240" s="296">
        <f>N240*L240</f>
        <v>667.99000000000024</v>
      </c>
      <c r="P240" s="294"/>
      <c r="Q240" s="294">
        <f>O240*0.03</f>
        <v>20.039700000000007</v>
      </c>
      <c r="R240" s="295"/>
      <c r="S240" s="302">
        <f t="shared" si="13"/>
        <v>0</v>
      </c>
      <c r="T240" s="302"/>
      <c r="U240" s="303"/>
      <c r="V240" s="305">
        <f t="shared" si="14"/>
        <v>0</v>
      </c>
      <c r="W240" s="305" t="str">
        <f t="shared" si="12"/>
        <v xml:space="preserve"> </v>
      </c>
      <c r="X240" s="288"/>
    </row>
    <row r="241" spans="1:24">
      <c r="A241" s="286">
        <v>36</v>
      </c>
      <c r="C241" s="286" t="s">
        <v>656</v>
      </c>
      <c r="D241" s="286"/>
      <c r="E241" s="286" t="s">
        <v>598</v>
      </c>
      <c r="F241" s="286">
        <f>IF(VLOOKUP(A241,'WP-5 Payroll Data'!$K$11:$O$151,3,FALSE)&gt;26,26,VLOOKUP(A241,'WP-5 Payroll Data'!$K$11:$O$151,3,FALSE))</f>
        <v>26</v>
      </c>
      <c r="G241" s="425">
        <v>4843.6499999999996</v>
      </c>
      <c r="H241" s="425">
        <v>338</v>
      </c>
      <c r="J241" s="289">
        <f>VLOOKUP(A241,'WP-5 Payroll Data'!$K$11:$O$151,4,FALSE)</f>
        <v>4843.6499999999996</v>
      </c>
      <c r="K241" s="289">
        <f>VLOOKUP(A241,'WP-5 Payroll Data'!$K$11:$O$151,5,FALSE)</f>
        <v>338</v>
      </c>
      <c r="L241" s="289">
        <f>J241/K241</f>
        <v>14.330325443786981</v>
      </c>
      <c r="M241" s="289"/>
      <c r="N241" s="300">
        <f>IF((K241/F241)*26&gt;1500,2080,IF((K241/F241)*26&gt;300,520,IF((K241/F241)*26&gt;100,260,K241)))</f>
        <v>520</v>
      </c>
      <c r="O241" s="296">
        <f>N241*L241</f>
        <v>7451.7692307692296</v>
      </c>
      <c r="P241" s="294"/>
      <c r="Q241" s="294">
        <f>O241*0.03</f>
        <v>223.55307692307687</v>
      </c>
      <c r="R241" s="295"/>
      <c r="S241" s="302">
        <f t="shared" si="13"/>
        <v>0</v>
      </c>
      <c r="T241" s="302"/>
      <c r="U241" s="303"/>
      <c r="V241" s="305">
        <f t="shared" si="14"/>
        <v>0</v>
      </c>
      <c r="W241" s="305" t="str">
        <f t="shared" si="12"/>
        <v xml:space="preserve"> </v>
      </c>
      <c r="X241" s="288"/>
    </row>
    <row r="242" spans="1:24">
      <c r="A242" s="286">
        <v>37</v>
      </c>
      <c r="C242" s="286" t="s">
        <v>650</v>
      </c>
      <c r="D242" s="286"/>
      <c r="E242" s="286" t="s">
        <v>598</v>
      </c>
      <c r="F242" s="286">
        <f>IF(VLOOKUP(A242,'WP-5 Payroll Data'!$K$11:$O$151,3,FALSE)&gt;26,26,VLOOKUP(A242,'WP-5 Payroll Data'!$K$11:$O$151,3,FALSE))</f>
        <v>26</v>
      </c>
      <c r="G242" s="425">
        <v>16102.429999999993</v>
      </c>
      <c r="H242" s="425">
        <v>336.7</v>
      </c>
      <c r="J242" s="289">
        <f>VLOOKUP(A242,'WP-5 Payroll Data'!$K$11:$O$151,4,FALSE)</f>
        <v>16102.429999999993</v>
      </c>
      <c r="K242" s="289">
        <f>VLOOKUP(A242,'WP-5 Payroll Data'!$K$11:$O$151,5,FALSE)</f>
        <v>336.7</v>
      </c>
      <c r="L242" s="289">
        <f>J242/K242</f>
        <v>47.824264924264902</v>
      </c>
      <c r="M242" s="289"/>
      <c r="N242" s="300">
        <f>IF((K242/F242)*26&gt;1500,2080,IF((K242/F242)*26&gt;300,520,IF((K242/F242)*26&gt;100,260,K242)))</f>
        <v>520</v>
      </c>
      <c r="O242" s="296">
        <f>N242*L242</f>
        <v>24868.617760617748</v>
      </c>
      <c r="P242" s="294"/>
      <c r="Q242" s="294">
        <f>O242*0.03</f>
        <v>746.0585328185324</v>
      </c>
      <c r="R242" s="295"/>
      <c r="S242" s="302">
        <f t="shared" si="13"/>
        <v>0</v>
      </c>
      <c r="T242" s="302"/>
      <c r="U242" s="303"/>
      <c r="V242" s="305">
        <f t="shared" si="14"/>
        <v>0</v>
      </c>
      <c r="W242" s="305" t="str">
        <f t="shared" si="12"/>
        <v xml:space="preserve"> </v>
      </c>
      <c r="X242" s="288"/>
    </row>
    <row r="243" spans="1:24">
      <c r="A243" s="286">
        <v>37</v>
      </c>
      <c r="C243" s="286" t="s">
        <v>650</v>
      </c>
      <c r="D243" s="286"/>
      <c r="E243" s="286" t="s">
        <v>600</v>
      </c>
      <c r="F243" s="286">
        <v>26</v>
      </c>
      <c r="G243" s="425">
        <v>622.64</v>
      </c>
      <c r="H243" s="425">
        <v>13</v>
      </c>
      <c r="J243" s="289"/>
      <c r="K243" s="289"/>
      <c r="L243" s="291"/>
      <c r="M243" s="291"/>
      <c r="N243" s="300"/>
      <c r="O243" s="296"/>
      <c r="P243" s="294"/>
      <c r="Q243" s="294"/>
      <c r="R243" s="295"/>
      <c r="S243" s="302">
        <f t="shared" si="13"/>
        <v>0</v>
      </c>
      <c r="T243" s="302"/>
      <c r="U243" s="303"/>
      <c r="V243" s="305">
        <f t="shared" si="14"/>
        <v>622.64</v>
      </c>
      <c r="W243" s="305" t="str">
        <f t="shared" si="12"/>
        <v xml:space="preserve"> </v>
      </c>
      <c r="X243" s="288"/>
    </row>
    <row r="244" spans="1:24">
      <c r="A244" s="286">
        <v>37</v>
      </c>
      <c r="C244" s="286" t="s">
        <v>650</v>
      </c>
      <c r="D244" s="286"/>
      <c r="E244" s="286" t="s">
        <v>602</v>
      </c>
      <c r="F244" s="286">
        <v>26</v>
      </c>
      <c r="G244" s="425">
        <v>62.26</v>
      </c>
      <c r="H244" s="425">
        <v>1.3</v>
      </c>
      <c r="J244" s="289"/>
      <c r="K244" s="289"/>
      <c r="L244" s="291"/>
      <c r="M244" s="291"/>
      <c r="N244" s="300"/>
      <c r="O244" s="296"/>
      <c r="P244" s="294"/>
      <c r="Q244" s="294"/>
      <c r="R244" s="295"/>
      <c r="S244" s="302">
        <f t="shared" si="13"/>
        <v>0</v>
      </c>
      <c r="T244" s="302"/>
      <c r="U244" s="303"/>
      <c r="V244" s="305">
        <f t="shared" si="14"/>
        <v>62.26</v>
      </c>
      <c r="W244" s="305" t="str">
        <f t="shared" si="12"/>
        <v xml:space="preserve"> </v>
      </c>
      <c r="X244" s="288"/>
    </row>
    <row r="245" spans="1:24">
      <c r="A245" s="286">
        <v>37</v>
      </c>
      <c r="C245" s="286" t="s">
        <v>650</v>
      </c>
      <c r="D245" s="286"/>
      <c r="E245" s="286" t="s">
        <v>624</v>
      </c>
      <c r="F245" s="286">
        <v>26</v>
      </c>
      <c r="G245" s="425">
        <v>487.5</v>
      </c>
      <c r="H245" s="425">
        <v>0</v>
      </c>
      <c r="J245" s="289"/>
      <c r="K245" s="289"/>
      <c r="L245" s="291"/>
      <c r="M245" s="291"/>
      <c r="N245" s="300"/>
      <c r="O245" s="296"/>
      <c r="P245" s="294"/>
      <c r="Q245" s="294"/>
      <c r="R245" s="295"/>
      <c r="S245" s="302">
        <f t="shared" si="13"/>
        <v>0</v>
      </c>
      <c r="T245" s="302"/>
      <c r="U245" s="303"/>
      <c r="V245" s="305">
        <f t="shared" si="14"/>
        <v>487.5</v>
      </c>
      <c r="W245" s="305">
        <f t="shared" si="12"/>
        <v>121.875</v>
      </c>
      <c r="X245" s="288"/>
    </row>
    <row r="246" spans="1:24">
      <c r="A246" s="286">
        <v>38</v>
      </c>
      <c r="C246" s="286" t="s">
        <v>597</v>
      </c>
      <c r="D246" s="286"/>
      <c r="E246" s="286" t="s">
        <v>598</v>
      </c>
      <c r="F246" s="286">
        <f>IF(VLOOKUP(A246,'WP-5 Payroll Data'!$K$11:$O$151,3,FALSE)&gt;26,26,VLOOKUP(A246,'WP-5 Payroll Data'!$K$11:$O$151,3,FALSE))</f>
        <v>26</v>
      </c>
      <c r="G246" s="425">
        <v>7807.4599999999991</v>
      </c>
      <c r="H246" s="425">
        <v>477.89</v>
      </c>
      <c r="J246" s="289">
        <f>VLOOKUP(A246,'WP-5 Payroll Data'!$K$11:$O$151,4,FALSE)</f>
        <v>8470.7099999999991</v>
      </c>
      <c r="K246" s="289">
        <f>VLOOKUP(A246,'WP-5 Payroll Data'!$K$11:$O$151,5,FALSE)</f>
        <v>518.11999999999989</v>
      </c>
      <c r="L246" s="289">
        <f>J246/K246</f>
        <v>16.348934609742919</v>
      </c>
      <c r="M246" s="289"/>
      <c r="N246" s="300">
        <f>IF((K246/F246)*26&gt;1500,2080,IF((K246/F246)*26&gt;300,520,IF((K246/F246)*26&gt;100,260,K246)))</f>
        <v>520</v>
      </c>
      <c r="O246" s="296">
        <f>N246*L246</f>
        <v>8501.4459970663174</v>
      </c>
      <c r="P246" s="294"/>
      <c r="Q246" s="294">
        <f>O246*0.03</f>
        <v>255.04337991198952</v>
      </c>
      <c r="R246" s="295"/>
      <c r="S246" s="302">
        <f t="shared" si="13"/>
        <v>0</v>
      </c>
      <c r="T246" s="302"/>
      <c r="U246" s="303"/>
      <c r="V246" s="305">
        <f t="shared" si="14"/>
        <v>0</v>
      </c>
      <c r="W246" s="305" t="str">
        <f t="shared" si="12"/>
        <v xml:space="preserve"> </v>
      </c>
      <c r="X246" s="288"/>
    </row>
    <row r="247" spans="1:24">
      <c r="A247" s="286">
        <v>38</v>
      </c>
      <c r="C247" s="286" t="s">
        <v>597</v>
      </c>
      <c r="D247" s="286"/>
      <c r="E247" s="286" t="s">
        <v>599</v>
      </c>
      <c r="F247" s="286">
        <v>26</v>
      </c>
      <c r="G247" s="425">
        <v>275.78999999999996</v>
      </c>
      <c r="H247" s="425">
        <v>10.379999999999999</v>
      </c>
      <c r="J247" s="289"/>
      <c r="K247" s="289"/>
      <c r="L247" s="291"/>
      <c r="M247" s="291"/>
      <c r="N247" s="300"/>
      <c r="O247" s="296"/>
      <c r="P247" s="294"/>
      <c r="Q247" s="294"/>
      <c r="R247" s="295"/>
      <c r="S247" s="302">
        <f t="shared" si="13"/>
        <v>275.78999999999996</v>
      </c>
      <c r="T247" s="302">
        <f t="shared" si="15"/>
        <v>8.2736999999999981</v>
      </c>
      <c r="U247" s="303"/>
      <c r="V247" s="305">
        <f t="shared" si="14"/>
        <v>0</v>
      </c>
      <c r="W247" s="305" t="str">
        <f t="shared" si="12"/>
        <v xml:space="preserve"> </v>
      </c>
      <c r="X247" s="288"/>
    </row>
    <row r="248" spans="1:24">
      <c r="A248" s="286">
        <v>38</v>
      </c>
      <c r="C248" s="286" t="s">
        <v>597</v>
      </c>
      <c r="D248" s="286"/>
      <c r="E248" s="286" t="s">
        <v>605</v>
      </c>
      <c r="F248" s="286">
        <v>26</v>
      </c>
      <c r="G248" s="425">
        <v>332.97999999999996</v>
      </c>
      <c r="H248" s="425">
        <v>20</v>
      </c>
      <c r="J248" s="289"/>
      <c r="K248" s="289"/>
      <c r="L248" s="291"/>
      <c r="M248" s="291"/>
      <c r="N248" s="300"/>
      <c r="O248" s="296"/>
      <c r="P248" s="294"/>
      <c r="Q248" s="294"/>
      <c r="R248" s="295"/>
      <c r="S248" s="302">
        <f t="shared" si="13"/>
        <v>0</v>
      </c>
      <c r="T248" s="302"/>
      <c r="U248" s="303"/>
      <c r="V248" s="305">
        <f t="shared" si="14"/>
        <v>0</v>
      </c>
      <c r="W248" s="305" t="str">
        <f t="shared" si="12"/>
        <v xml:space="preserve"> </v>
      </c>
      <c r="X248" s="288"/>
    </row>
    <row r="249" spans="1:24">
      <c r="A249" s="286">
        <v>38</v>
      </c>
      <c r="C249" s="286" t="s">
        <v>597</v>
      </c>
      <c r="D249" s="286"/>
      <c r="E249" s="286" t="s">
        <v>608</v>
      </c>
      <c r="F249" s="286">
        <v>26</v>
      </c>
      <c r="G249" s="425">
        <v>268.57</v>
      </c>
      <c r="H249" s="425">
        <v>16.36</v>
      </c>
      <c r="J249" s="289"/>
      <c r="K249" s="289"/>
      <c r="L249" s="291"/>
      <c r="M249" s="291"/>
      <c r="N249" s="300"/>
      <c r="O249" s="296"/>
      <c r="P249" s="294"/>
      <c r="Q249" s="294"/>
      <c r="R249" s="295"/>
      <c r="S249" s="302">
        <f t="shared" si="13"/>
        <v>0</v>
      </c>
      <c r="T249" s="302"/>
      <c r="U249" s="303"/>
      <c r="V249" s="305">
        <f t="shared" si="14"/>
        <v>0</v>
      </c>
      <c r="W249" s="305" t="str">
        <f t="shared" si="12"/>
        <v xml:space="preserve"> </v>
      </c>
      <c r="X249" s="288"/>
    </row>
    <row r="250" spans="1:24">
      <c r="A250" s="286">
        <v>38</v>
      </c>
      <c r="C250" s="286" t="s">
        <v>597</v>
      </c>
      <c r="D250" s="286"/>
      <c r="E250" s="286" t="s">
        <v>610</v>
      </c>
      <c r="F250" s="286">
        <v>26</v>
      </c>
      <c r="G250" s="425">
        <v>91.08</v>
      </c>
      <c r="H250" s="425">
        <v>5.81</v>
      </c>
      <c r="J250" s="289"/>
      <c r="K250" s="289"/>
      <c r="L250" s="291"/>
      <c r="M250" s="291"/>
      <c r="N250" s="300"/>
      <c r="O250" s="296"/>
      <c r="P250" s="294"/>
      <c r="Q250" s="294"/>
      <c r="R250" s="295"/>
      <c r="S250" s="302">
        <f t="shared" si="13"/>
        <v>0</v>
      </c>
      <c r="T250" s="302"/>
      <c r="U250" s="303"/>
      <c r="V250" s="305">
        <f t="shared" si="14"/>
        <v>0</v>
      </c>
      <c r="W250" s="305" t="str">
        <f t="shared" si="12"/>
        <v xml:space="preserve"> </v>
      </c>
      <c r="X250" s="288"/>
    </row>
    <row r="251" spans="1:24">
      <c r="A251" s="286">
        <v>38</v>
      </c>
      <c r="C251" s="286" t="s">
        <v>597</v>
      </c>
      <c r="D251" s="286"/>
      <c r="E251" s="286" t="s">
        <v>612</v>
      </c>
      <c r="F251" s="286">
        <v>26</v>
      </c>
      <c r="G251" s="425">
        <v>25</v>
      </c>
      <c r="H251" s="425">
        <v>0</v>
      </c>
      <c r="J251" s="289"/>
      <c r="K251" s="289"/>
      <c r="L251" s="291"/>
      <c r="M251" s="291"/>
      <c r="N251" s="300"/>
      <c r="O251" s="296"/>
      <c r="P251" s="294"/>
      <c r="Q251" s="294"/>
      <c r="R251" s="295"/>
      <c r="S251" s="302">
        <f t="shared" si="13"/>
        <v>0</v>
      </c>
      <c r="T251" s="302"/>
      <c r="U251" s="303"/>
      <c r="V251" s="305">
        <f t="shared" si="14"/>
        <v>25</v>
      </c>
      <c r="W251" s="305" t="str">
        <f t="shared" si="12"/>
        <v xml:space="preserve"> </v>
      </c>
      <c r="X251" s="288"/>
    </row>
    <row r="252" spans="1:24">
      <c r="A252" s="286">
        <v>38</v>
      </c>
      <c r="C252" s="286" t="s">
        <v>597</v>
      </c>
      <c r="D252" s="286"/>
      <c r="E252" s="286" t="s">
        <v>614</v>
      </c>
      <c r="F252" s="286">
        <v>26</v>
      </c>
      <c r="G252" s="425">
        <v>62.5</v>
      </c>
      <c r="H252" s="425">
        <v>0</v>
      </c>
      <c r="J252" s="289"/>
      <c r="K252" s="289"/>
      <c r="L252" s="291"/>
      <c r="M252" s="291"/>
      <c r="N252" s="300"/>
      <c r="O252" s="296"/>
      <c r="P252" s="294"/>
      <c r="Q252" s="294"/>
      <c r="R252" s="295"/>
      <c r="S252" s="302">
        <f t="shared" si="13"/>
        <v>0</v>
      </c>
      <c r="T252" s="302"/>
      <c r="U252" s="303"/>
      <c r="V252" s="305">
        <f t="shared" si="14"/>
        <v>62.5</v>
      </c>
      <c r="W252" s="305" t="str">
        <f t="shared" si="12"/>
        <v xml:space="preserve"> </v>
      </c>
      <c r="X252" s="288"/>
    </row>
    <row r="253" spans="1:24">
      <c r="A253" s="286">
        <v>38</v>
      </c>
      <c r="C253" s="286" t="s">
        <v>597</v>
      </c>
      <c r="D253" s="286"/>
      <c r="E253" s="286" t="s">
        <v>624</v>
      </c>
      <c r="F253" s="286">
        <v>26</v>
      </c>
      <c r="G253" s="425">
        <v>75</v>
      </c>
      <c r="H253" s="425">
        <v>0</v>
      </c>
      <c r="J253" s="289"/>
      <c r="K253" s="289"/>
      <c r="L253" s="291"/>
      <c r="M253" s="291"/>
      <c r="N253" s="300"/>
      <c r="O253" s="296"/>
      <c r="P253" s="294"/>
      <c r="Q253" s="294"/>
      <c r="R253" s="295"/>
      <c r="S253" s="302">
        <f t="shared" si="13"/>
        <v>0</v>
      </c>
      <c r="T253" s="302"/>
      <c r="U253" s="303"/>
      <c r="V253" s="305">
        <f t="shared" si="14"/>
        <v>75</v>
      </c>
      <c r="W253" s="305">
        <f t="shared" si="12"/>
        <v>18.75</v>
      </c>
      <c r="X253" s="288"/>
    </row>
    <row r="254" spans="1:24">
      <c r="A254" s="286">
        <v>38</v>
      </c>
      <c r="C254" s="286" t="s">
        <v>597</v>
      </c>
      <c r="D254" s="286"/>
      <c r="E254" s="286" t="s">
        <v>643</v>
      </c>
      <c r="F254" s="286">
        <v>26</v>
      </c>
      <c r="G254" s="425">
        <v>-29.38</v>
      </c>
      <c r="H254" s="425">
        <v>-1.94</v>
      </c>
      <c r="J254" s="289"/>
      <c r="K254" s="289"/>
      <c r="L254" s="291"/>
      <c r="M254" s="291"/>
      <c r="N254" s="300"/>
      <c r="O254" s="296"/>
      <c r="P254" s="294"/>
      <c r="Q254" s="294"/>
      <c r="R254" s="295"/>
      <c r="S254" s="302">
        <f t="shared" si="13"/>
        <v>0</v>
      </c>
      <c r="T254" s="302"/>
      <c r="U254" s="303"/>
      <c r="V254" s="305">
        <f t="shared" si="14"/>
        <v>0</v>
      </c>
      <c r="W254" s="305" t="str">
        <f t="shared" si="12"/>
        <v xml:space="preserve"> </v>
      </c>
      <c r="X254" s="288"/>
    </row>
    <row r="255" spans="1:24">
      <c r="A255" s="286">
        <v>39</v>
      </c>
      <c r="C255" s="286" t="s">
        <v>619</v>
      </c>
      <c r="D255" s="286" t="s">
        <v>620</v>
      </c>
      <c r="E255" s="286" t="s">
        <v>621</v>
      </c>
      <c r="F255" s="286">
        <f>IF(VLOOKUP(A255,'WP-5 Payroll Data'!$K$11:$O$151,3,FALSE)&gt;26,26,VLOOKUP(A255,'WP-5 Payroll Data'!$K$11:$O$151,3,FALSE))</f>
        <v>26</v>
      </c>
      <c r="G255" s="425">
        <v>39695.69999999999</v>
      </c>
      <c r="H255" s="425">
        <v>1673.8</v>
      </c>
      <c r="J255" s="289">
        <f>VLOOKUP(A255,'WP-5 Payroll Data'!$K$11:$O$151,4,FALSE)</f>
        <v>49198.439999999988</v>
      </c>
      <c r="K255" s="289">
        <f>VLOOKUP(A255,'WP-5 Payroll Data'!$K$11:$O$151,5,FALSE)</f>
        <v>2075.9999999999995</v>
      </c>
      <c r="L255" s="289">
        <f>J255/K255</f>
        <v>23.698670520231214</v>
      </c>
      <c r="M255" s="289"/>
      <c r="N255" s="300">
        <f>IF((K255/F255)*26&gt;1500,2080,IF((K255/F255)*26&gt;300,520,IF((K255/F255)*26&gt;100,260,K255)))</f>
        <v>2080</v>
      </c>
      <c r="O255" s="296">
        <f>N255*L255</f>
        <v>49293.234682080925</v>
      </c>
      <c r="P255" s="294"/>
      <c r="Q255" s="294">
        <f>O255*0.03</f>
        <v>1478.7970404624277</v>
      </c>
      <c r="R255" s="295"/>
      <c r="S255" s="302">
        <f t="shared" si="13"/>
        <v>0</v>
      </c>
      <c r="T255" s="302"/>
      <c r="U255" s="303"/>
      <c r="V255" s="305">
        <f t="shared" si="14"/>
        <v>0</v>
      </c>
      <c r="W255" s="305" t="str">
        <f t="shared" si="12"/>
        <v xml:space="preserve"> </v>
      </c>
      <c r="X255" s="288"/>
    </row>
    <row r="256" spans="1:24">
      <c r="A256" s="286">
        <v>39</v>
      </c>
      <c r="C256" s="286" t="s">
        <v>619</v>
      </c>
      <c r="D256" s="286" t="s">
        <v>620</v>
      </c>
      <c r="E256" s="286" t="s">
        <v>599</v>
      </c>
      <c r="F256" s="286">
        <v>26</v>
      </c>
      <c r="G256" s="425">
        <v>1808.66</v>
      </c>
      <c r="H256" s="425">
        <v>50.699999999999996</v>
      </c>
      <c r="J256" s="289"/>
      <c r="K256" s="289"/>
      <c r="L256" s="291"/>
      <c r="M256" s="291"/>
      <c r="N256" s="300"/>
      <c r="O256" s="296"/>
      <c r="P256" s="294"/>
      <c r="Q256" s="294"/>
      <c r="R256" s="295"/>
      <c r="S256" s="302">
        <f t="shared" si="13"/>
        <v>1808.66</v>
      </c>
      <c r="T256" s="302">
        <f t="shared" si="15"/>
        <v>54.259799999999998</v>
      </c>
      <c r="U256" s="303"/>
      <c r="V256" s="305">
        <f t="shared" si="14"/>
        <v>0</v>
      </c>
      <c r="W256" s="305" t="str">
        <f t="shared" si="12"/>
        <v xml:space="preserve"> </v>
      </c>
      <c r="X256" s="288"/>
    </row>
    <row r="257" spans="1:24">
      <c r="A257" s="286">
        <v>39</v>
      </c>
      <c r="C257" s="286" t="s">
        <v>619</v>
      </c>
      <c r="D257" s="286" t="s">
        <v>620</v>
      </c>
      <c r="E257" s="286" t="s">
        <v>601</v>
      </c>
      <c r="F257" s="286">
        <v>26</v>
      </c>
      <c r="G257" s="425">
        <v>6233.6200000000008</v>
      </c>
      <c r="H257" s="425">
        <v>131.6</v>
      </c>
      <c r="J257" s="289"/>
      <c r="K257" s="289"/>
      <c r="L257" s="291"/>
      <c r="M257" s="291"/>
      <c r="N257" s="300"/>
      <c r="O257" s="296"/>
      <c r="P257" s="294"/>
      <c r="Q257" s="294"/>
      <c r="R257" s="295"/>
      <c r="S257" s="302">
        <f t="shared" si="13"/>
        <v>6233.6200000000008</v>
      </c>
      <c r="T257" s="302">
        <f t="shared" si="15"/>
        <v>187.00860000000003</v>
      </c>
      <c r="U257" s="303"/>
      <c r="V257" s="305">
        <f t="shared" si="14"/>
        <v>0</v>
      </c>
      <c r="W257" s="305" t="str">
        <f t="shared" si="12"/>
        <v xml:space="preserve"> </v>
      </c>
      <c r="X257" s="288"/>
    </row>
    <row r="258" spans="1:24">
      <c r="A258" s="286">
        <v>39</v>
      </c>
      <c r="C258" s="286" t="s">
        <v>619</v>
      </c>
      <c r="D258" s="286" t="s">
        <v>620</v>
      </c>
      <c r="E258" s="286" t="s">
        <v>603</v>
      </c>
      <c r="F258" s="286">
        <v>26</v>
      </c>
      <c r="G258" s="425">
        <v>340.38</v>
      </c>
      <c r="H258" s="425">
        <v>9</v>
      </c>
      <c r="J258" s="289"/>
      <c r="K258" s="289"/>
      <c r="L258" s="291"/>
      <c r="M258" s="291"/>
      <c r="N258" s="300"/>
      <c r="O258" s="296"/>
      <c r="P258" s="294"/>
      <c r="Q258" s="294"/>
      <c r="R258" s="295"/>
      <c r="S258" s="302">
        <f t="shared" si="13"/>
        <v>340.38</v>
      </c>
      <c r="T258" s="302">
        <f t="shared" si="15"/>
        <v>10.211399999999999</v>
      </c>
      <c r="U258" s="303"/>
      <c r="V258" s="305">
        <f t="shared" si="14"/>
        <v>0</v>
      </c>
      <c r="W258" s="305" t="str">
        <f t="shared" si="12"/>
        <v xml:space="preserve"> </v>
      </c>
      <c r="X258" s="288"/>
    </row>
    <row r="259" spans="1:24">
      <c r="A259" s="286">
        <v>39</v>
      </c>
      <c r="C259" s="286" t="s">
        <v>619</v>
      </c>
      <c r="D259" s="286" t="s">
        <v>620</v>
      </c>
      <c r="E259" s="286" t="s">
        <v>627</v>
      </c>
      <c r="F259" s="286">
        <v>26</v>
      </c>
      <c r="G259" s="425">
        <v>1855.2</v>
      </c>
      <c r="H259" s="425">
        <v>80</v>
      </c>
      <c r="J259" s="289"/>
      <c r="K259" s="289"/>
      <c r="L259" s="291"/>
      <c r="M259" s="291"/>
      <c r="N259" s="300"/>
      <c r="O259" s="296"/>
      <c r="P259" s="294"/>
      <c r="Q259" s="294"/>
      <c r="R259" s="295"/>
      <c r="S259" s="302">
        <f t="shared" si="13"/>
        <v>0</v>
      </c>
      <c r="T259" s="302"/>
      <c r="U259" s="303"/>
      <c r="V259" s="305">
        <f t="shared" si="14"/>
        <v>0</v>
      </c>
      <c r="W259" s="305" t="str">
        <f t="shared" si="12"/>
        <v xml:space="preserve"> </v>
      </c>
      <c r="X259" s="288"/>
    </row>
    <row r="260" spans="1:24">
      <c r="A260" s="286">
        <v>39</v>
      </c>
      <c r="C260" s="286" t="s">
        <v>619</v>
      </c>
      <c r="D260" s="286" t="s">
        <v>620</v>
      </c>
      <c r="E260" s="286" t="s">
        <v>630</v>
      </c>
      <c r="F260" s="286">
        <v>26</v>
      </c>
      <c r="G260" s="425">
        <v>4412.3</v>
      </c>
      <c r="H260" s="425">
        <v>185.6</v>
      </c>
      <c r="J260" s="289"/>
      <c r="K260" s="289"/>
      <c r="L260" s="291"/>
      <c r="M260" s="291"/>
      <c r="N260" s="300"/>
      <c r="O260" s="296"/>
      <c r="P260" s="294"/>
      <c r="Q260" s="294"/>
      <c r="R260" s="295"/>
      <c r="S260" s="302">
        <f t="shared" si="13"/>
        <v>0</v>
      </c>
      <c r="T260" s="302"/>
      <c r="U260" s="303"/>
      <c r="V260" s="305">
        <f t="shared" si="14"/>
        <v>0</v>
      </c>
      <c r="W260" s="305" t="str">
        <f t="shared" si="12"/>
        <v xml:space="preserve"> </v>
      </c>
      <c r="X260" s="288"/>
    </row>
    <row r="261" spans="1:24">
      <c r="A261" s="286">
        <v>39</v>
      </c>
      <c r="C261" s="286" t="s">
        <v>619</v>
      </c>
      <c r="D261" s="286" t="s">
        <v>620</v>
      </c>
      <c r="E261" s="286" t="s">
        <v>633</v>
      </c>
      <c r="F261" s="286">
        <v>26</v>
      </c>
      <c r="G261" s="425">
        <v>2663.28</v>
      </c>
      <c r="H261" s="425">
        <v>112</v>
      </c>
      <c r="J261" s="289"/>
      <c r="K261" s="289"/>
      <c r="L261" s="291"/>
      <c r="M261" s="291"/>
      <c r="N261" s="300"/>
      <c r="O261" s="296"/>
      <c r="P261" s="294"/>
      <c r="Q261" s="294"/>
      <c r="R261" s="295"/>
      <c r="S261" s="302">
        <f t="shared" si="13"/>
        <v>0</v>
      </c>
      <c r="T261" s="302"/>
      <c r="U261" s="303"/>
      <c r="V261" s="305">
        <f t="shared" si="14"/>
        <v>0</v>
      </c>
      <c r="W261" s="305" t="str">
        <f t="shared" si="12"/>
        <v xml:space="preserve"> </v>
      </c>
      <c r="X261" s="288"/>
    </row>
    <row r="262" spans="1:24">
      <c r="A262" s="286">
        <v>39</v>
      </c>
      <c r="C262" s="286" t="s">
        <v>619</v>
      </c>
      <c r="D262" s="286" t="s">
        <v>620</v>
      </c>
      <c r="E262" s="286" t="s">
        <v>634</v>
      </c>
      <c r="F262" s="286">
        <v>26</v>
      </c>
      <c r="G262" s="425">
        <v>571.95999999999992</v>
      </c>
      <c r="H262" s="425">
        <v>24.599999999999998</v>
      </c>
      <c r="J262" s="289"/>
      <c r="K262" s="289"/>
      <c r="L262" s="291"/>
      <c r="M262" s="291"/>
      <c r="N262" s="300"/>
      <c r="O262" s="296"/>
      <c r="P262" s="294"/>
      <c r="Q262" s="294"/>
      <c r="R262" s="295"/>
      <c r="S262" s="302">
        <f t="shared" si="13"/>
        <v>0</v>
      </c>
      <c r="T262" s="302"/>
      <c r="U262" s="303"/>
      <c r="V262" s="305">
        <f t="shared" si="14"/>
        <v>0</v>
      </c>
      <c r="W262" s="305" t="str">
        <f t="shared" si="12"/>
        <v xml:space="preserve"> </v>
      </c>
      <c r="X262" s="288"/>
    </row>
    <row r="263" spans="1:24">
      <c r="A263" s="286">
        <v>39</v>
      </c>
      <c r="C263" s="286" t="s">
        <v>619</v>
      </c>
      <c r="D263" s="286" t="s">
        <v>620</v>
      </c>
      <c r="E263" s="286" t="s">
        <v>623</v>
      </c>
      <c r="F263" s="286">
        <v>26</v>
      </c>
      <c r="G263" s="425">
        <v>250</v>
      </c>
      <c r="H263" s="425">
        <v>0</v>
      </c>
      <c r="J263" s="289"/>
      <c r="K263" s="289"/>
      <c r="L263" s="291"/>
      <c r="M263" s="291"/>
      <c r="N263" s="300"/>
      <c r="O263" s="296"/>
      <c r="P263" s="294"/>
      <c r="Q263" s="294"/>
      <c r="R263" s="295"/>
      <c r="S263" s="302">
        <f t="shared" si="13"/>
        <v>0</v>
      </c>
      <c r="T263" s="302"/>
      <c r="U263" s="303"/>
      <c r="V263" s="305">
        <f t="shared" si="14"/>
        <v>250</v>
      </c>
      <c r="W263" s="305" t="str">
        <f t="shared" si="12"/>
        <v xml:space="preserve"> </v>
      </c>
      <c r="X263" s="288"/>
    </row>
    <row r="264" spans="1:24">
      <c r="A264" s="286">
        <v>39</v>
      </c>
      <c r="C264" s="286" t="s">
        <v>619</v>
      </c>
      <c r="D264" s="286" t="s">
        <v>620</v>
      </c>
      <c r="E264" s="286" t="s">
        <v>625</v>
      </c>
      <c r="F264" s="286">
        <v>26</v>
      </c>
      <c r="G264" s="425">
        <v>1000</v>
      </c>
      <c r="H264" s="425">
        <v>0</v>
      </c>
      <c r="J264" s="289"/>
      <c r="K264" s="289"/>
      <c r="L264" s="291"/>
      <c r="M264" s="291"/>
      <c r="N264" s="300"/>
      <c r="O264" s="296"/>
      <c r="P264" s="294"/>
      <c r="Q264" s="294"/>
      <c r="R264" s="295"/>
      <c r="S264" s="302">
        <f t="shared" si="13"/>
        <v>0</v>
      </c>
      <c r="T264" s="302"/>
      <c r="U264" s="303"/>
      <c r="V264" s="305">
        <f t="shared" si="14"/>
        <v>1000</v>
      </c>
      <c r="W264" s="305">
        <f t="shared" si="12"/>
        <v>250</v>
      </c>
      <c r="X264" s="288"/>
    </row>
    <row r="265" spans="1:24">
      <c r="A265" s="286">
        <v>39</v>
      </c>
      <c r="C265" s="286" t="s">
        <v>619</v>
      </c>
      <c r="D265" s="286" t="s">
        <v>620</v>
      </c>
      <c r="E265" s="286" t="s">
        <v>629</v>
      </c>
      <c r="F265" s="286">
        <v>26</v>
      </c>
      <c r="G265" s="425">
        <v>6000</v>
      </c>
      <c r="H265" s="425">
        <v>0</v>
      </c>
      <c r="J265" s="289"/>
      <c r="K265" s="289"/>
      <c r="L265" s="291"/>
      <c r="M265" s="291"/>
      <c r="N265" s="300"/>
      <c r="O265" s="296"/>
      <c r="P265" s="294"/>
      <c r="Q265" s="294"/>
      <c r="R265" s="295"/>
      <c r="S265" s="302">
        <f t="shared" si="13"/>
        <v>0</v>
      </c>
      <c r="T265" s="302"/>
      <c r="U265" s="303"/>
      <c r="V265" s="305">
        <f t="shared" si="14"/>
        <v>6000</v>
      </c>
      <c r="W265" s="305" t="str">
        <f t="shared" si="12"/>
        <v xml:space="preserve"> </v>
      </c>
      <c r="X265" s="288"/>
    </row>
    <row r="266" spans="1:24">
      <c r="A266" s="286">
        <v>39</v>
      </c>
      <c r="C266" s="286" t="s">
        <v>619</v>
      </c>
      <c r="D266" s="286" t="s">
        <v>620</v>
      </c>
      <c r="E266" s="286" t="s">
        <v>632</v>
      </c>
      <c r="F266" s="286">
        <v>26</v>
      </c>
      <c r="G266" s="425">
        <v>8085.1</v>
      </c>
      <c r="H266" s="425">
        <v>0</v>
      </c>
      <c r="J266" s="289"/>
      <c r="K266" s="289"/>
      <c r="L266" s="291"/>
      <c r="M266" s="291"/>
      <c r="N266" s="300"/>
      <c r="O266" s="296"/>
      <c r="P266" s="294"/>
      <c r="Q266" s="294"/>
      <c r="R266" s="295"/>
      <c r="S266" s="302">
        <f t="shared" si="13"/>
        <v>0</v>
      </c>
      <c r="T266" s="302"/>
      <c r="U266" s="303"/>
      <c r="V266" s="305">
        <f t="shared" si="14"/>
        <v>8085.1</v>
      </c>
      <c r="W266" s="305">
        <f t="shared" ref="W266:W329" si="16">IF($E266=$AA$29,-$V266,IF(OR($E266=$AA$18,$E266=$AA$23,$E266=$AA$24,$E266=$AA$26),(($V266/200)*50)," "))</f>
        <v>-8085.1</v>
      </c>
      <c r="X266" s="288"/>
    </row>
    <row r="267" spans="1:24">
      <c r="A267" s="286">
        <v>40</v>
      </c>
      <c r="C267" s="286" t="s">
        <v>619</v>
      </c>
      <c r="D267" s="286" t="s">
        <v>659</v>
      </c>
      <c r="E267" s="286" t="s">
        <v>621</v>
      </c>
      <c r="F267" s="286">
        <f>IF(VLOOKUP(A267,'WP-5 Payroll Data'!$K$11:$O$151,3,FALSE)&gt;26,26,VLOOKUP(A267,'WP-5 Payroll Data'!$K$11:$O$151,3,FALSE))</f>
        <v>26</v>
      </c>
      <c r="G267" s="425">
        <v>49956.58</v>
      </c>
      <c r="H267" s="425">
        <v>1724.8</v>
      </c>
      <c r="J267" s="289">
        <f>VLOOKUP(A267,'WP-5 Payroll Data'!$K$11:$O$151,4,FALSE)</f>
        <v>60984.700000000004</v>
      </c>
      <c r="K267" s="289">
        <f>VLOOKUP(A267,'WP-5 Payroll Data'!$K$11:$O$151,5,FALSE)</f>
        <v>2084</v>
      </c>
      <c r="L267" s="289">
        <f>J267/K267</f>
        <v>29.263291746641077</v>
      </c>
      <c r="M267" s="289"/>
      <c r="N267" s="300">
        <f>IF((K267/F267)*26&gt;1500,2080,IF((K267/F267)*26&gt;300,520,IF((K267/F267)*26&gt;100,260,K267)))</f>
        <v>2080</v>
      </c>
      <c r="O267" s="296">
        <f>N267*L267</f>
        <v>60867.646833013438</v>
      </c>
      <c r="P267" s="294"/>
      <c r="Q267" s="294">
        <f>O267*0.03</f>
        <v>1826.029404990403</v>
      </c>
      <c r="R267" s="295"/>
      <c r="S267" s="302">
        <f t="shared" ref="S267:S330" si="17">IF(OR($E267=$Y$10,$E267=$Y$11,$E267=$Y$12,$E267=$Y$13),$G267,0)</f>
        <v>0</v>
      </c>
      <c r="T267" s="302"/>
      <c r="U267" s="303"/>
      <c r="V267" s="305">
        <f t="shared" ref="V267:V330" si="18">IF(OR($E267=$AA$10,$E267=$AA$11,$E267=$AA$12,$E267=$AA$13,$E267=$AA$14,$E267=$AA$15,$E267=$AA$16,$E267=$AA$17,$E267=$AA$18,$E267=$AA$19,$E267=$AA$20,$E267=$AA$21,$E267=$AA$22,$E267=$AA$23,$E267=$AA$24,$E267=$AA$25,$E267=$AA$26,$E267=$AA$27,$E267=$AA$28,$E267=$AA$29),G267,0)</f>
        <v>0</v>
      </c>
      <c r="W267" s="305" t="str">
        <f t="shared" si="16"/>
        <v xml:space="preserve"> </v>
      </c>
      <c r="X267" s="288"/>
    </row>
    <row r="268" spans="1:24">
      <c r="A268" s="286">
        <v>40</v>
      </c>
      <c r="C268" s="286" t="s">
        <v>619</v>
      </c>
      <c r="D268" s="286" t="s">
        <v>659</v>
      </c>
      <c r="E268" s="286" t="s">
        <v>599</v>
      </c>
      <c r="F268" s="286">
        <v>27</v>
      </c>
      <c r="G268" s="425">
        <v>7194.8700000000017</v>
      </c>
      <c r="H268" s="425">
        <v>163.80000000000001</v>
      </c>
      <c r="J268" s="289"/>
      <c r="K268" s="289"/>
      <c r="L268" s="291"/>
      <c r="M268" s="291"/>
      <c r="N268" s="300"/>
      <c r="O268" s="296"/>
      <c r="P268" s="294"/>
      <c r="Q268" s="294"/>
      <c r="R268" s="295"/>
      <c r="S268" s="302">
        <f t="shared" si="17"/>
        <v>7194.8700000000017</v>
      </c>
      <c r="T268" s="302">
        <f t="shared" ref="T268:T325" si="19">S268*0.03</f>
        <v>215.84610000000004</v>
      </c>
      <c r="U268" s="303"/>
      <c r="V268" s="305">
        <f t="shared" si="18"/>
        <v>0</v>
      </c>
      <c r="W268" s="305" t="str">
        <f t="shared" si="16"/>
        <v xml:space="preserve"> </v>
      </c>
      <c r="X268" s="288"/>
    </row>
    <row r="269" spans="1:24">
      <c r="A269" s="286">
        <v>40</v>
      </c>
      <c r="C269" s="286" t="s">
        <v>619</v>
      </c>
      <c r="D269" s="286" t="s">
        <v>659</v>
      </c>
      <c r="E269" s="286" t="s">
        <v>601</v>
      </c>
      <c r="F269" s="286">
        <v>27</v>
      </c>
      <c r="G269" s="425">
        <v>22508.399999999994</v>
      </c>
      <c r="H269" s="425">
        <v>387.09999999999997</v>
      </c>
      <c r="J269" s="289"/>
      <c r="K269" s="289"/>
      <c r="L269" s="291"/>
      <c r="M269" s="291"/>
      <c r="N269" s="300"/>
      <c r="O269" s="296"/>
      <c r="P269" s="294"/>
      <c r="Q269" s="294"/>
      <c r="R269" s="295"/>
      <c r="S269" s="302">
        <f t="shared" si="17"/>
        <v>22508.399999999994</v>
      </c>
      <c r="T269" s="302">
        <f t="shared" si="19"/>
        <v>675.25199999999984</v>
      </c>
      <c r="U269" s="303"/>
      <c r="V269" s="305">
        <f t="shared" si="18"/>
        <v>0</v>
      </c>
      <c r="W269" s="305" t="str">
        <f t="shared" si="16"/>
        <v xml:space="preserve"> </v>
      </c>
      <c r="X269" s="288"/>
    </row>
    <row r="270" spans="1:24">
      <c r="A270" s="286">
        <v>40</v>
      </c>
      <c r="C270" s="286" t="s">
        <v>619</v>
      </c>
      <c r="D270" s="286" t="s">
        <v>659</v>
      </c>
      <c r="E270" s="286" t="s">
        <v>603</v>
      </c>
      <c r="F270" s="286">
        <v>27</v>
      </c>
      <c r="G270" s="425">
        <v>2302.8399999999997</v>
      </c>
      <c r="H270" s="425">
        <v>49</v>
      </c>
      <c r="J270" s="289"/>
      <c r="K270" s="289"/>
      <c r="L270" s="291"/>
      <c r="M270" s="291"/>
      <c r="N270" s="300"/>
      <c r="O270" s="296"/>
      <c r="P270" s="294"/>
      <c r="Q270" s="294"/>
      <c r="R270" s="295"/>
      <c r="S270" s="302">
        <f t="shared" si="17"/>
        <v>2302.8399999999997</v>
      </c>
      <c r="T270" s="302">
        <f t="shared" si="19"/>
        <v>69.085199999999986</v>
      </c>
      <c r="U270" s="303"/>
      <c r="V270" s="305">
        <f t="shared" si="18"/>
        <v>0</v>
      </c>
      <c r="W270" s="305" t="str">
        <f t="shared" si="16"/>
        <v xml:space="preserve"> </v>
      </c>
      <c r="X270" s="288"/>
    </row>
    <row r="271" spans="1:24">
      <c r="A271" s="286">
        <v>40</v>
      </c>
      <c r="C271" s="286" t="s">
        <v>619</v>
      </c>
      <c r="D271" s="286" t="s">
        <v>659</v>
      </c>
      <c r="E271" s="286" t="s">
        <v>627</v>
      </c>
      <c r="F271" s="286">
        <v>27</v>
      </c>
      <c r="G271" s="425">
        <v>3151.44</v>
      </c>
      <c r="H271" s="425">
        <v>108</v>
      </c>
      <c r="J271" s="289"/>
      <c r="K271" s="289"/>
      <c r="L271" s="291"/>
      <c r="M271" s="291"/>
      <c r="N271" s="300"/>
      <c r="O271" s="296"/>
      <c r="P271" s="294"/>
      <c r="Q271" s="294"/>
      <c r="R271" s="295"/>
      <c r="S271" s="302">
        <f t="shared" si="17"/>
        <v>0</v>
      </c>
      <c r="T271" s="302"/>
      <c r="U271" s="303"/>
      <c r="V271" s="305">
        <f t="shared" si="18"/>
        <v>0</v>
      </c>
      <c r="W271" s="305" t="str">
        <f t="shared" si="16"/>
        <v xml:space="preserve"> </v>
      </c>
      <c r="X271" s="288"/>
    </row>
    <row r="272" spans="1:24">
      <c r="A272" s="286">
        <v>40</v>
      </c>
      <c r="C272" s="286" t="s">
        <v>619</v>
      </c>
      <c r="D272" s="286" t="s">
        <v>659</v>
      </c>
      <c r="E272" s="286" t="s">
        <v>606</v>
      </c>
      <c r="F272" s="286">
        <v>27</v>
      </c>
      <c r="G272" s="425">
        <v>15013.440000000002</v>
      </c>
      <c r="H272" s="425">
        <v>240</v>
      </c>
      <c r="J272" s="289"/>
      <c r="K272" s="289"/>
      <c r="L272" s="291"/>
      <c r="M272" s="291"/>
      <c r="N272" s="300"/>
      <c r="O272" s="296"/>
      <c r="P272" s="294"/>
      <c r="Q272" s="294"/>
      <c r="R272" s="295"/>
      <c r="S272" s="302">
        <f t="shared" si="17"/>
        <v>15013.440000000002</v>
      </c>
      <c r="T272" s="302">
        <f t="shared" si="19"/>
        <v>450.40320000000003</v>
      </c>
      <c r="U272" s="303"/>
      <c r="V272" s="305">
        <f t="shared" si="18"/>
        <v>0</v>
      </c>
      <c r="W272" s="305" t="str">
        <f t="shared" si="16"/>
        <v xml:space="preserve"> </v>
      </c>
      <c r="X272" s="288"/>
    </row>
    <row r="273" spans="1:24">
      <c r="A273" s="286">
        <v>40</v>
      </c>
      <c r="C273" s="286" t="s">
        <v>619</v>
      </c>
      <c r="D273" s="286" t="s">
        <v>659</v>
      </c>
      <c r="E273" s="286" t="s">
        <v>630</v>
      </c>
      <c r="F273" s="286">
        <v>27</v>
      </c>
      <c r="G273" s="425">
        <v>2929.06</v>
      </c>
      <c r="H273" s="425">
        <v>91.2</v>
      </c>
      <c r="J273" s="289"/>
      <c r="K273" s="289"/>
      <c r="L273" s="291"/>
      <c r="M273" s="291"/>
      <c r="N273" s="300"/>
      <c r="O273" s="296"/>
      <c r="P273" s="294"/>
      <c r="Q273" s="294"/>
      <c r="R273" s="295"/>
      <c r="S273" s="302">
        <f t="shared" si="17"/>
        <v>0</v>
      </c>
      <c r="T273" s="302"/>
      <c r="U273" s="303"/>
      <c r="V273" s="305">
        <f t="shared" si="18"/>
        <v>0</v>
      </c>
      <c r="W273" s="305" t="str">
        <f t="shared" si="16"/>
        <v xml:space="preserve"> </v>
      </c>
      <c r="X273" s="288"/>
    </row>
    <row r="274" spans="1:24">
      <c r="A274" s="286">
        <v>40</v>
      </c>
      <c r="C274" s="286" t="s">
        <v>619</v>
      </c>
      <c r="D274" s="286" t="s">
        <v>659</v>
      </c>
      <c r="E274" s="286" t="s">
        <v>633</v>
      </c>
      <c r="F274" s="286">
        <v>27</v>
      </c>
      <c r="G274" s="425">
        <v>3296.64</v>
      </c>
      <c r="H274" s="425">
        <v>112</v>
      </c>
      <c r="J274" s="289"/>
      <c r="K274" s="289"/>
      <c r="L274" s="291"/>
      <c r="M274" s="291"/>
      <c r="N274" s="300"/>
      <c r="O274" s="296"/>
      <c r="P274" s="294"/>
      <c r="Q274" s="294"/>
      <c r="R274" s="295"/>
      <c r="S274" s="302">
        <f t="shared" si="17"/>
        <v>0</v>
      </c>
      <c r="T274" s="302"/>
      <c r="U274" s="303"/>
      <c r="V274" s="305">
        <f t="shared" si="18"/>
        <v>0</v>
      </c>
      <c r="W274" s="305" t="str">
        <f t="shared" si="16"/>
        <v xml:space="preserve"> </v>
      </c>
      <c r="X274" s="288"/>
    </row>
    <row r="275" spans="1:24">
      <c r="A275" s="286">
        <v>40</v>
      </c>
      <c r="C275" s="286" t="s">
        <v>619</v>
      </c>
      <c r="D275" s="286" t="s">
        <v>659</v>
      </c>
      <c r="E275" s="286" t="s">
        <v>634</v>
      </c>
      <c r="F275" s="286">
        <v>27</v>
      </c>
      <c r="G275" s="425">
        <v>667.68000000000006</v>
      </c>
      <c r="H275" s="425">
        <v>24</v>
      </c>
      <c r="J275" s="289"/>
      <c r="K275" s="289"/>
      <c r="L275" s="291"/>
      <c r="M275" s="291"/>
      <c r="N275" s="300"/>
      <c r="O275" s="296"/>
      <c r="P275" s="294"/>
      <c r="Q275" s="294"/>
      <c r="R275" s="295"/>
      <c r="S275" s="302">
        <f t="shared" si="17"/>
        <v>0</v>
      </c>
      <c r="T275" s="302"/>
      <c r="U275" s="303"/>
      <c r="V275" s="305">
        <f t="shared" si="18"/>
        <v>0</v>
      </c>
      <c r="W275" s="305" t="str">
        <f t="shared" si="16"/>
        <v xml:space="preserve"> </v>
      </c>
      <c r="X275" s="288"/>
    </row>
    <row r="276" spans="1:24">
      <c r="A276" s="286">
        <v>40</v>
      </c>
      <c r="C276" s="286" t="s">
        <v>619</v>
      </c>
      <c r="D276" s="286" t="s">
        <v>659</v>
      </c>
      <c r="E276" s="286" t="s">
        <v>623</v>
      </c>
      <c r="F276" s="286">
        <v>27</v>
      </c>
      <c r="G276" s="425">
        <v>250</v>
      </c>
      <c r="H276" s="425">
        <v>0</v>
      </c>
      <c r="J276" s="289"/>
      <c r="K276" s="289"/>
      <c r="L276" s="291"/>
      <c r="M276" s="291"/>
      <c r="N276" s="300"/>
      <c r="O276" s="296"/>
      <c r="P276" s="294"/>
      <c r="Q276" s="294"/>
      <c r="R276" s="295"/>
      <c r="S276" s="302">
        <f t="shared" si="17"/>
        <v>0</v>
      </c>
      <c r="T276" s="302"/>
      <c r="U276" s="303"/>
      <c r="V276" s="305">
        <f t="shared" si="18"/>
        <v>250</v>
      </c>
      <c r="W276" s="305" t="str">
        <f t="shared" si="16"/>
        <v xml:space="preserve"> </v>
      </c>
      <c r="X276" s="288"/>
    </row>
    <row r="277" spans="1:24">
      <c r="A277" s="286">
        <v>40</v>
      </c>
      <c r="C277" s="286" t="s">
        <v>619</v>
      </c>
      <c r="D277" s="286" t="s">
        <v>659</v>
      </c>
      <c r="E277" s="286" t="s">
        <v>625</v>
      </c>
      <c r="F277" s="286">
        <v>27</v>
      </c>
      <c r="G277" s="425">
        <v>1800</v>
      </c>
      <c r="H277" s="425">
        <v>0</v>
      </c>
      <c r="J277" s="289"/>
      <c r="K277" s="289"/>
      <c r="L277" s="291"/>
      <c r="M277" s="291"/>
      <c r="N277" s="300"/>
      <c r="O277" s="296"/>
      <c r="P277" s="294"/>
      <c r="Q277" s="294"/>
      <c r="R277" s="295"/>
      <c r="S277" s="302">
        <f t="shared" si="17"/>
        <v>0</v>
      </c>
      <c r="T277" s="302"/>
      <c r="U277" s="303"/>
      <c r="V277" s="305">
        <f t="shared" si="18"/>
        <v>1800</v>
      </c>
      <c r="W277" s="305">
        <f t="shared" si="16"/>
        <v>450</v>
      </c>
      <c r="X277" s="288"/>
    </row>
    <row r="278" spans="1:24">
      <c r="A278" s="286">
        <v>40</v>
      </c>
      <c r="C278" s="286" t="s">
        <v>619</v>
      </c>
      <c r="D278" s="286" t="s">
        <v>659</v>
      </c>
      <c r="E278" s="286" t="s">
        <v>660</v>
      </c>
      <c r="F278" s="286">
        <v>27</v>
      </c>
      <c r="G278" s="425">
        <v>520.48</v>
      </c>
      <c r="H278" s="425">
        <v>16</v>
      </c>
      <c r="J278" s="289"/>
      <c r="K278" s="289"/>
      <c r="L278" s="291"/>
      <c r="M278" s="291"/>
      <c r="N278" s="300"/>
      <c r="O278" s="296"/>
      <c r="P278" s="294"/>
      <c r="Q278" s="294"/>
      <c r="R278" s="295"/>
      <c r="S278" s="302">
        <f t="shared" si="17"/>
        <v>0</v>
      </c>
      <c r="T278" s="302"/>
      <c r="U278" s="303"/>
      <c r="V278" s="305">
        <f t="shared" si="18"/>
        <v>0</v>
      </c>
      <c r="W278" s="305" t="str">
        <f t="shared" si="16"/>
        <v xml:space="preserve"> </v>
      </c>
      <c r="X278" s="288"/>
    </row>
    <row r="279" spans="1:24">
      <c r="A279" s="286">
        <v>40</v>
      </c>
      <c r="C279" s="286" t="s">
        <v>619</v>
      </c>
      <c r="D279" s="286" t="s">
        <v>659</v>
      </c>
      <c r="E279" s="286" t="s">
        <v>661</v>
      </c>
      <c r="F279" s="286">
        <v>27</v>
      </c>
      <c r="G279" s="425">
        <v>260.24</v>
      </c>
      <c r="H279" s="425">
        <v>8</v>
      </c>
      <c r="J279" s="289"/>
      <c r="K279" s="289"/>
      <c r="L279" s="291"/>
      <c r="M279" s="291"/>
      <c r="N279" s="300"/>
      <c r="O279" s="296"/>
      <c r="P279" s="294"/>
      <c r="Q279" s="294"/>
      <c r="R279" s="295"/>
      <c r="S279" s="302">
        <f t="shared" si="17"/>
        <v>0</v>
      </c>
      <c r="T279" s="302"/>
      <c r="U279" s="303"/>
      <c r="V279" s="305">
        <f t="shared" si="18"/>
        <v>0</v>
      </c>
      <c r="W279" s="305" t="str">
        <f t="shared" si="16"/>
        <v xml:space="preserve"> </v>
      </c>
      <c r="X279" s="288"/>
    </row>
    <row r="280" spans="1:24">
      <c r="A280" s="286">
        <v>40</v>
      </c>
      <c r="C280" s="286" t="s">
        <v>619</v>
      </c>
      <c r="D280" s="286" t="s">
        <v>659</v>
      </c>
      <c r="E280" s="286" t="s">
        <v>629</v>
      </c>
      <c r="F280" s="286">
        <v>27</v>
      </c>
      <c r="G280" s="425">
        <v>8000</v>
      </c>
      <c r="H280" s="425">
        <v>0</v>
      </c>
      <c r="J280" s="289"/>
      <c r="K280" s="289"/>
      <c r="L280" s="291"/>
      <c r="M280" s="291"/>
      <c r="N280" s="300"/>
      <c r="O280" s="296"/>
      <c r="P280" s="294"/>
      <c r="Q280" s="294"/>
      <c r="R280" s="295"/>
      <c r="S280" s="302">
        <f t="shared" si="17"/>
        <v>0</v>
      </c>
      <c r="T280" s="302"/>
      <c r="U280" s="303"/>
      <c r="V280" s="305">
        <f t="shared" si="18"/>
        <v>8000</v>
      </c>
      <c r="W280" s="305" t="str">
        <f t="shared" si="16"/>
        <v xml:space="preserve"> </v>
      </c>
      <c r="X280" s="288"/>
    </row>
    <row r="281" spans="1:24">
      <c r="A281" s="286">
        <v>40</v>
      </c>
      <c r="C281" s="286" t="s">
        <v>619</v>
      </c>
      <c r="D281" s="286" t="s">
        <v>659</v>
      </c>
      <c r="E281" s="286" t="s">
        <v>636</v>
      </c>
      <c r="F281" s="286">
        <v>27</v>
      </c>
      <c r="G281" s="425">
        <v>202.57999999999998</v>
      </c>
      <c r="H281" s="425">
        <v>0</v>
      </c>
      <c r="J281" s="289"/>
      <c r="K281" s="289"/>
      <c r="L281" s="291"/>
      <c r="M281" s="291"/>
      <c r="N281" s="300"/>
      <c r="O281" s="296"/>
      <c r="P281" s="294"/>
      <c r="Q281" s="294"/>
      <c r="R281" s="295"/>
      <c r="S281" s="302">
        <f t="shared" si="17"/>
        <v>0</v>
      </c>
      <c r="T281" s="302"/>
      <c r="U281" s="303"/>
      <c r="V281" s="305">
        <f t="shared" si="18"/>
        <v>0</v>
      </c>
      <c r="W281" s="305" t="str">
        <f t="shared" si="16"/>
        <v xml:space="preserve"> </v>
      </c>
      <c r="X281" s="288"/>
    </row>
    <row r="282" spans="1:24">
      <c r="A282" s="286">
        <v>40</v>
      </c>
      <c r="C282" s="286" t="s">
        <v>619</v>
      </c>
      <c r="D282" s="286" t="s">
        <v>659</v>
      </c>
      <c r="E282" s="286" t="s">
        <v>632</v>
      </c>
      <c r="F282" s="286">
        <v>27</v>
      </c>
      <c r="G282" s="425">
        <v>12291.98</v>
      </c>
      <c r="H282" s="425">
        <v>0</v>
      </c>
      <c r="J282" s="289"/>
      <c r="K282" s="289"/>
      <c r="L282" s="291"/>
      <c r="M282" s="291"/>
      <c r="N282" s="300"/>
      <c r="O282" s="296"/>
      <c r="P282" s="294"/>
      <c r="Q282" s="294"/>
      <c r="R282" s="295"/>
      <c r="S282" s="302">
        <f t="shared" si="17"/>
        <v>0</v>
      </c>
      <c r="T282" s="302"/>
      <c r="U282" s="303"/>
      <c r="V282" s="305">
        <f t="shared" si="18"/>
        <v>12291.98</v>
      </c>
      <c r="W282" s="305">
        <f t="shared" si="16"/>
        <v>-12291.98</v>
      </c>
      <c r="X282" s="288"/>
    </row>
    <row r="283" spans="1:24">
      <c r="A283" s="286">
        <v>41</v>
      </c>
      <c r="C283" s="286" t="s">
        <v>597</v>
      </c>
      <c r="D283" s="286" t="s">
        <v>662</v>
      </c>
      <c r="E283" s="286" t="s">
        <v>598</v>
      </c>
      <c r="F283" s="286">
        <f>IF(VLOOKUP(A283,'WP-5 Payroll Data'!$K$11:$O$151,3,FALSE)&gt;26,26,VLOOKUP(A283,'WP-5 Payroll Data'!$K$11:$O$151,3,FALSE))</f>
        <v>26</v>
      </c>
      <c r="G283" s="425">
        <v>51241.63</v>
      </c>
      <c r="H283" s="425">
        <v>1778.75</v>
      </c>
      <c r="J283" s="289">
        <f>VLOOKUP(A283,'WP-5 Payroll Data'!$K$11:$O$151,4,FALSE)</f>
        <v>59534.21</v>
      </c>
      <c r="K283" s="289">
        <f>VLOOKUP(A283,'WP-5 Payroll Data'!$K$11:$O$151,5,FALSE)</f>
        <v>2068</v>
      </c>
      <c r="L283" s="289">
        <f>J283/K283</f>
        <v>28.788302707930367</v>
      </c>
      <c r="M283" s="289"/>
      <c r="N283" s="300">
        <f>IF((K283/F283)*26&gt;1500,2080,IF((K283/F283)*26&gt;300,520,IF((K283/F283)*26&gt;100,260,K283)))</f>
        <v>2080</v>
      </c>
      <c r="O283" s="296">
        <f>N283*L283</f>
        <v>59879.669632495163</v>
      </c>
      <c r="P283" s="294"/>
      <c r="Q283" s="294">
        <f>O283*0.03</f>
        <v>1796.3900889748547</v>
      </c>
      <c r="R283" s="295"/>
      <c r="S283" s="302">
        <f t="shared" si="17"/>
        <v>0</v>
      </c>
      <c r="T283" s="302"/>
      <c r="U283" s="303"/>
      <c r="V283" s="305">
        <f t="shared" si="18"/>
        <v>0</v>
      </c>
      <c r="W283" s="305" t="str">
        <f t="shared" si="16"/>
        <v xml:space="preserve"> </v>
      </c>
      <c r="X283" s="288"/>
    </row>
    <row r="284" spans="1:24">
      <c r="A284" s="286">
        <v>41</v>
      </c>
      <c r="C284" s="286" t="s">
        <v>597</v>
      </c>
      <c r="D284" s="286" t="s">
        <v>662</v>
      </c>
      <c r="E284" s="286" t="s">
        <v>599</v>
      </c>
      <c r="F284" s="286">
        <v>26</v>
      </c>
      <c r="G284" s="425">
        <v>3748.37</v>
      </c>
      <c r="H284" s="425">
        <v>78.650000000000006</v>
      </c>
      <c r="J284" s="289"/>
      <c r="K284" s="289"/>
      <c r="L284" s="291"/>
      <c r="M284" s="291"/>
      <c r="N284" s="300"/>
      <c r="O284" s="296"/>
      <c r="P284" s="294"/>
      <c r="Q284" s="294"/>
      <c r="R284" s="295"/>
      <c r="S284" s="302">
        <f t="shared" si="17"/>
        <v>3748.37</v>
      </c>
      <c r="T284" s="302">
        <f t="shared" si="19"/>
        <v>112.4511</v>
      </c>
      <c r="U284" s="303"/>
      <c r="V284" s="305">
        <f t="shared" si="18"/>
        <v>0</v>
      </c>
      <c r="W284" s="305" t="str">
        <f t="shared" si="16"/>
        <v xml:space="preserve"> </v>
      </c>
      <c r="X284" s="288"/>
    </row>
    <row r="285" spans="1:24">
      <c r="A285" s="286">
        <v>41</v>
      </c>
      <c r="C285" s="286" t="s">
        <v>597</v>
      </c>
      <c r="D285" s="286" t="s">
        <v>662</v>
      </c>
      <c r="E285" s="286" t="s">
        <v>601</v>
      </c>
      <c r="F285" s="286">
        <v>26</v>
      </c>
      <c r="G285" s="425">
        <v>7612.7399999999989</v>
      </c>
      <c r="H285" s="425">
        <v>119.8</v>
      </c>
      <c r="J285" s="289"/>
      <c r="K285" s="289"/>
      <c r="L285" s="291"/>
      <c r="M285" s="291"/>
      <c r="N285" s="300"/>
      <c r="O285" s="296"/>
      <c r="P285" s="294"/>
      <c r="Q285" s="294"/>
      <c r="R285" s="295"/>
      <c r="S285" s="302">
        <f t="shared" si="17"/>
        <v>7612.7399999999989</v>
      </c>
      <c r="T285" s="302">
        <f t="shared" si="19"/>
        <v>228.38219999999995</v>
      </c>
      <c r="U285" s="303"/>
      <c r="V285" s="305">
        <f t="shared" si="18"/>
        <v>0</v>
      </c>
      <c r="W285" s="305" t="str">
        <f t="shared" si="16"/>
        <v xml:space="preserve"> </v>
      </c>
      <c r="X285" s="288"/>
    </row>
    <row r="286" spans="1:24">
      <c r="A286" s="286">
        <v>41</v>
      </c>
      <c r="C286" s="286" t="s">
        <v>597</v>
      </c>
      <c r="D286" s="286" t="s">
        <v>662</v>
      </c>
      <c r="E286" s="286" t="s">
        <v>605</v>
      </c>
      <c r="F286" s="286">
        <v>26</v>
      </c>
      <c r="G286" s="425">
        <v>5995.6399999999994</v>
      </c>
      <c r="H286" s="425">
        <v>209.25</v>
      </c>
      <c r="J286" s="289"/>
      <c r="K286" s="289"/>
      <c r="L286" s="291"/>
      <c r="M286" s="291"/>
      <c r="N286" s="300"/>
      <c r="O286" s="296"/>
      <c r="P286" s="294"/>
      <c r="Q286" s="294"/>
      <c r="R286" s="295"/>
      <c r="S286" s="302">
        <f t="shared" si="17"/>
        <v>0</v>
      </c>
      <c r="T286" s="302"/>
      <c r="U286" s="303"/>
      <c r="V286" s="305">
        <f t="shared" si="18"/>
        <v>0</v>
      </c>
      <c r="W286" s="305" t="str">
        <f t="shared" si="16"/>
        <v xml:space="preserve"> </v>
      </c>
      <c r="X286" s="288"/>
    </row>
    <row r="287" spans="1:24">
      <c r="A287" s="286">
        <v>41</v>
      </c>
      <c r="C287" s="286" t="s">
        <v>597</v>
      </c>
      <c r="D287" s="286" t="s">
        <v>662</v>
      </c>
      <c r="E287" s="286" t="s">
        <v>627</v>
      </c>
      <c r="F287" s="286">
        <v>26</v>
      </c>
      <c r="G287" s="425">
        <v>115.29</v>
      </c>
      <c r="H287" s="425">
        <v>4</v>
      </c>
      <c r="J287" s="289"/>
      <c r="K287" s="289"/>
      <c r="L287" s="291"/>
      <c r="M287" s="291"/>
      <c r="N287" s="300"/>
      <c r="O287" s="296"/>
      <c r="P287" s="294"/>
      <c r="Q287" s="294"/>
      <c r="R287" s="295"/>
      <c r="S287" s="302">
        <f t="shared" si="17"/>
        <v>0</v>
      </c>
      <c r="T287" s="302"/>
      <c r="U287" s="303"/>
      <c r="V287" s="305">
        <f t="shared" si="18"/>
        <v>0</v>
      </c>
      <c r="W287" s="305" t="str">
        <f t="shared" si="16"/>
        <v xml:space="preserve"> </v>
      </c>
      <c r="X287" s="288"/>
    </row>
    <row r="288" spans="1:24">
      <c r="A288" s="286">
        <v>41</v>
      </c>
      <c r="C288" s="286" t="s">
        <v>597</v>
      </c>
      <c r="D288" s="286" t="s">
        <v>662</v>
      </c>
      <c r="E288" s="286" t="s">
        <v>608</v>
      </c>
      <c r="F288" s="286">
        <v>26</v>
      </c>
      <c r="G288" s="425">
        <v>1951.07</v>
      </c>
      <c r="H288" s="425">
        <v>68</v>
      </c>
      <c r="J288" s="289"/>
      <c r="K288" s="289"/>
      <c r="L288" s="291"/>
      <c r="M288" s="291"/>
      <c r="N288" s="300"/>
      <c r="O288" s="296"/>
      <c r="P288" s="294"/>
      <c r="Q288" s="294"/>
      <c r="R288" s="295"/>
      <c r="S288" s="302">
        <f t="shared" si="17"/>
        <v>0</v>
      </c>
      <c r="T288" s="302"/>
      <c r="U288" s="303"/>
      <c r="V288" s="305">
        <f t="shared" si="18"/>
        <v>0</v>
      </c>
      <c r="W288" s="305" t="str">
        <f t="shared" si="16"/>
        <v xml:space="preserve"> </v>
      </c>
      <c r="X288" s="288"/>
    </row>
    <row r="289" spans="1:24">
      <c r="A289" s="286">
        <v>41</v>
      </c>
      <c r="C289" s="286" t="s">
        <v>597</v>
      </c>
      <c r="D289" s="286" t="s">
        <v>662</v>
      </c>
      <c r="E289" s="286" t="s">
        <v>602</v>
      </c>
      <c r="F289" s="286">
        <v>26</v>
      </c>
      <c r="G289" s="425">
        <v>443.42</v>
      </c>
      <c r="H289" s="425">
        <v>16</v>
      </c>
      <c r="J289" s="289"/>
      <c r="K289" s="289"/>
      <c r="L289" s="291"/>
      <c r="M289" s="291"/>
      <c r="N289" s="300"/>
      <c r="O289" s="296"/>
      <c r="P289" s="294"/>
      <c r="Q289" s="294"/>
      <c r="R289" s="295"/>
      <c r="S289" s="302">
        <f t="shared" si="17"/>
        <v>0</v>
      </c>
      <c r="T289" s="302"/>
      <c r="U289" s="303"/>
      <c r="V289" s="305">
        <f t="shared" si="18"/>
        <v>443.42</v>
      </c>
      <c r="W289" s="305" t="str">
        <f t="shared" si="16"/>
        <v xml:space="preserve"> </v>
      </c>
      <c r="X289" s="288"/>
    </row>
    <row r="290" spans="1:24">
      <c r="A290" s="286">
        <v>41</v>
      </c>
      <c r="C290" s="286" t="s">
        <v>597</v>
      </c>
      <c r="D290" s="286" t="s">
        <v>662</v>
      </c>
      <c r="E290" s="286" t="s">
        <v>610</v>
      </c>
      <c r="F290" s="286">
        <v>26</v>
      </c>
      <c r="G290" s="425">
        <v>230.58</v>
      </c>
      <c r="H290" s="425">
        <v>8</v>
      </c>
      <c r="J290" s="289"/>
      <c r="K290" s="289"/>
      <c r="L290" s="291"/>
      <c r="M290" s="291"/>
      <c r="N290" s="300"/>
      <c r="O290" s="296"/>
      <c r="P290" s="294"/>
      <c r="Q290" s="294"/>
      <c r="R290" s="295"/>
      <c r="S290" s="302">
        <f t="shared" si="17"/>
        <v>0</v>
      </c>
      <c r="T290" s="302"/>
      <c r="U290" s="303"/>
      <c r="V290" s="305">
        <f t="shared" si="18"/>
        <v>0</v>
      </c>
      <c r="W290" s="305" t="str">
        <f t="shared" si="16"/>
        <v xml:space="preserve"> </v>
      </c>
      <c r="X290" s="288"/>
    </row>
    <row r="291" spans="1:24">
      <c r="A291" s="286">
        <v>41</v>
      </c>
      <c r="C291" s="286" t="s">
        <v>597</v>
      </c>
      <c r="D291" s="286" t="s">
        <v>662</v>
      </c>
      <c r="E291" s="286" t="s">
        <v>607</v>
      </c>
      <c r="F291" s="286">
        <v>26</v>
      </c>
      <c r="G291" s="425">
        <v>4160</v>
      </c>
      <c r="H291" s="425">
        <v>0</v>
      </c>
      <c r="J291" s="289"/>
      <c r="K291" s="289"/>
      <c r="L291" s="291"/>
      <c r="M291" s="291"/>
      <c r="N291" s="300"/>
      <c r="O291" s="296"/>
      <c r="P291" s="294"/>
      <c r="Q291" s="294"/>
      <c r="R291" s="295"/>
      <c r="S291" s="302">
        <f t="shared" si="17"/>
        <v>0</v>
      </c>
      <c r="T291" s="302"/>
      <c r="U291" s="303"/>
      <c r="V291" s="305">
        <f t="shared" si="18"/>
        <v>4160</v>
      </c>
      <c r="W291" s="305" t="str">
        <f t="shared" si="16"/>
        <v xml:space="preserve"> </v>
      </c>
      <c r="X291" s="288"/>
    </row>
    <row r="292" spans="1:24">
      <c r="A292" s="286">
        <v>41</v>
      </c>
      <c r="C292" s="286" t="s">
        <v>597</v>
      </c>
      <c r="D292" s="286" t="s">
        <v>662</v>
      </c>
      <c r="E292" s="286" t="s">
        <v>611</v>
      </c>
      <c r="F292" s="286">
        <v>26</v>
      </c>
      <c r="G292" s="425">
        <v>1976</v>
      </c>
      <c r="H292" s="425">
        <v>0</v>
      </c>
      <c r="J292" s="289"/>
      <c r="K292" s="289"/>
      <c r="L292" s="291"/>
      <c r="M292" s="291"/>
      <c r="N292" s="300"/>
      <c r="O292" s="296"/>
      <c r="P292" s="294"/>
      <c r="Q292" s="294"/>
      <c r="R292" s="295"/>
      <c r="S292" s="302">
        <f t="shared" si="17"/>
        <v>0</v>
      </c>
      <c r="T292" s="302"/>
      <c r="U292" s="303"/>
      <c r="V292" s="305">
        <f t="shared" si="18"/>
        <v>1976</v>
      </c>
      <c r="W292" s="305" t="str">
        <f t="shared" si="16"/>
        <v xml:space="preserve"> </v>
      </c>
      <c r="X292" s="288"/>
    </row>
    <row r="293" spans="1:24">
      <c r="A293" s="286">
        <v>41</v>
      </c>
      <c r="C293" s="286" t="s">
        <v>597</v>
      </c>
      <c r="D293" s="286" t="s">
        <v>662</v>
      </c>
      <c r="E293" s="286" t="s">
        <v>624</v>
      </c>
      <c r="F293" s="286">
        <v>26</v>
      </c>
      <c r="G293" s="425">
        <v>2700</v>
      </c>
      <c r="H293" s="425">
        <v>0</v>
      </c>
      <c r="J293" s="289"/>
      <c r="K293" s="289"/>
      <c r="L293" s="291"/>
      <c r="M293" s="291"/>
      <c r="N293" s="300"/>
      <c r="O293" s="296"/>
      <c r="P293" s="294"/>
      <c r="Q293" s="294"/>
      <c r="R293" s="295"/>
      <c r="S293" s="302">
        <f t="shared" si="17"/>
        <v>0</v>
      </c>
      <c r="T293" s="302"/>
      <c r="U293" s="303"/>
      <c r="V293" s="305">
        <f t="shared" si="18"/>
        <v>2700</v>
      </c>
      <c r="W293" s="305">
        <f t="shared" si="16"/>
        <v>675</v>
      </c>
      <c r="X293" s="288"/>
    </row>
    <row r="294" spans="1:24">
      <c r="A294" s="286">
        <v>41</v>
      </c>
      <c r="C294" s="286" t="s">
        <v>597</v>
      </c>
      <c r="D294" s="286" t="s">
        <v>662</v>
      </c>
      <c r="E294" s="286" t="s">
        <v>629</v>
      </c>
      <c r="F294" s="286">
        <v>26</v>
      </c>
      <c r="G294" s="425">
        <v>3250</v>
      </c>
      <c r="H294" s="425">
        <v>0</v>
      </c>
      <c r="J294" s="289"/>
      <c r="K294" s="289"/>
      <c r="L294" s="291"/>
      <c r="M294" s="291"/>
      <c r="N294" s="300"/>
      <c r="O294" s="296"/>
      <c r="P294" s="294"/>
      <c r="Q294" s="294"/>
      <c r="R294" s="295"/>
      <c r="S294" s="302">
        <f t="shared" si="17"/>
        <v>0</v>
      </c>
      <c r="T294" s="302"/>
      <c r="U294" s="303"/>
      <c r="V294" s="305">
        <f t="shared" si="18"/>
        <v>3250</v>
      </c>
      <c r="W294" s="305" t="str">
        <f t="shared" si="16"/>
        <v xml:space="preserve"> </v>
      </c>
      <c r="X294" s="288"/>
    </row>
    <row r="295" spans="1:24">
      <c r="A295" s="286">
        <v>42</v>
      </c>
      <c r="C295" s="286" t="s">
        <v>644</v>
      </c>
      <c r="D295" s="286"/>
      <c r="E295" s="286" t="s">
        <v>598</v>
      </c>
      <c r="F295" s="286">
        <f>IF(VLOOKUP(A295,'WP-5 Payroll Data'!$K$11:$O$151,3,FALSE)&gt;26,26,VLOOKUP(A295,'WP-5 Payroll Data'!$K$11:$O$151,3,FALSE))</f>
        <v>26</v>
      </c>
      <c r="G295" s="425">
        <v>2605.19</v>
      </c>
      <c r="H295" s="425">
        <v>109.25</v>
      </c>
      <c r="J295" s="289">
        <f>VLOOKUP(A295,'WP-5 Payroll Data'!$K$11:$O$151,4,FALSE)</f>
        <v>3081.1</v>
      </c>
      <c r="K295" s="289">
        <f>VLOOKUP(A295,'WP-5 Payroll Data'!$K$11:$O$151,5,FALSE)</f>
        <v>128.5</v>
      </c>
      <c r="L295" s="289">
        <f>J295/K295</f>
        <v>23.977431906614786</v>
      </c>
      <c r="M295" s="289"/>
      <c r="N295" s="300">
        <f>IF((K295/F295)*26&gt;1500,2080,IF((K295/F295)*26&gt;300,520,IF((K295/F295)*26&gt;100,260,K295)))</f>
        <v>260</v>
      </c>
      <c r="O295" s="296">
        <f>N295*L295</f>
        <v>6234.1322957198445</v>
      </c>
      <c r="P295" s="294"/>
      <c r="Q295" s="294">
        <f>O295*0.03</f>
        <v>187.02396887159532</v>
      </c>
      <c r="R295" s="295"/>
      <c r="S295" s="302">
        <f t="shared" si="17"/>
        <v>0</v>
      </c>
      <c r="T295" s="302"/>
      <c r="U295" s="303"/>
      <c r="V295" s="305">
        <f t="shared" si="18"/>
        <v>0</v>
      </c>
      <c r="W295" s="305" t="str">
        <f t="shared" si="16"/>
        <v xml:space="preserve"> </v>
      </c>
      <c r="X295" s="288"/>
    </row>
    <row r="296" spans="1:24">
      <c r="A296" s="286">
        <v>42</v>
      </c>
      <c r="C296" s="286" t="s">
        <v>644</v>
      </c>
      <c r="D296" s="286"/>
      <c r="E296" s="286" t="s">
        <v>599</v>
      </c>
      <c r="F296" s="286">
        <v>26</v>
      </c>
      <c r="G296" s="425">
        <v>357.78</v>
      </c>
      <c r="H296" s="425">
        <v>9.9999999999999982</v>
      </c>
      <c r="J296" s="289"/>
      <c r="K296" s="289"/>
      <c r="L296" s="291"/>
      <c r="M296" s="291"/>
      <c r="N296" s="300"/>
      <c r="O296" s="296"/>
      <c r="P296" s="294"/>
      <c r="Q296" s="294"/>
      <c r="R296" s="295"/>
      <c r="S296" s="302">
        <f t="shared" si="17"/>
        <v>357.78</v>
      </c>
      <c r="T296" s="302">
        <f t="shared" si="19"/>
        <v>10.7334</v>
      </c>
      <c r="U296" s="303"/>
      <c r="V296" s="305">
        <f t="shared" si="18"/>
        <v>0</v>
      </c>
      <c r="W296" s="305" t="str">
        <f t="shared" si="16"/>
        <v xml:space="preserve"> </v>
      </c>
      <c r="X296" s="288"/>
    </row>
    <row r="297" spans="1:24">
      <c r="A297" s="286">
        <v>42</v>
      </c>
      <c r="C297" s="286" t="s">
        <v>644</v>
      </c>
      <c r="D297" s="286"/>
      <c r="E297" s="286" t="s">
        <v>605</v>
      </c>
      <c r="F297" s="286">
        <v>26</v>
      </c>
      <c r="G297" s="425">
        <v>261.14000000000004</v>
      </c>
      <c r="H297" s="425">
        <v>11</v>
      </c>
      <c r="J297" s="289"/>
      <c r="K297" s="289"/>
      <c r="L297" s="291"/>
      <c r="M297" s="291"/>
      <c r="N297" s="300"/>
      <c r="O297" s="296"/>
      <c r="P297" s="294"/>
      <c r="Q297" s="294"/>
      <c r="R297" s="295"/>
      <c r="S297" s="302">
        <f t="shared" si="17"/>
        <v>0</v>
      </c>
      <c r="T297" s="302"/>
      <c r="U297" s="303"/>
      <c r="V297" s="305">
        <f t="shared" si="18"/>
        <v>0</v>
      </c>
      <c r="W297" s="305" t="str">
        <f t="shared" si="16"/>
        <v xml:space="preserve"> </v>
      </c>
      <c r="X297" s="288"/>
    </row>
    <row r="298" spans="1:24">
      <c r="A298" s="286">
        <v>42</v>
      </c>
      <c r="C298" s="286" t="s">
        <v>644</v>
      </c>
      <c r="D298" s="286"/>
      <c r="E298" s="286" t="s">
        <v>608</v>
      </c>
      <c r="F298" s="286">
        <v>26</v>
      </c>
      <c r="G298" s="425">
        <v>161.08000000000004</v>
      </c>
      <c r="H298" s="425">
        <v>6.75</v>
      </c>
      <c r="J298" s="289"/>
      <c r="K298" s="289"/>
      <c r="L298" s="291"/>
      <c r="M298" s="291"/>
      <c r="N298" s="300"/>
      <c r="O298" s="296"/>
      <c r="P298" s="294"/>
      <c r="Q298" s="294"/>
      <c r="R298" s="295"/>
      <c r="S298" s="302">
        <f t="shared" si="17"/>
        <v>0</v>
      </c>
      <c r="T298" s="302"/>
      <c r="U298" s="303"/>
      <c r="V298" s="305">
        <f t="shared" si="18"/>
        <v>0</v>
      </c>
      <c r="W298" s="305" t="str">
        <f t="shared" si="16"/>
        <v xml:space="preserve"> </v>
      </c>
      <c r="X298" s="288"/>
    </row>
    <row r="299" spans="1:24">
      <c r="A299" s="286">
        <v>42</v>
      </c>
      <c r="C299" s="286" t="s">
        <v>644</v>
      </c>
      <c r="D299" s="286"/>
      <c r="E299" s="286" t="s">
        <v>602</v>
      </c>
      <c r="F299" s="286">
        <v>26</v>
      </c>
      <c r="G299" s="425">
        <v>35.79</v>
      </c>
      <c r="H299" s="425">
        <v>1.5</v>
      </c>
      <c r="J299" s="289"/>
      <c r="K299" s="289"/>
      <c r="L299" s="291"/>
      <c r="M299" s="291"/>
      <c r="N299" s="300"/>
      <c r="O299" s="296"/>
      <c r="P299" s="294"/>
      <c r="Q299" s="294"/>
      <c r="R299" s="295"/>
      <c r="S299" s="302">
        <f t="shared" si="17"/>
        <v>0</v>
      </c>
      <c r="T299" s="302"/>
      <c r="U299" s="303"/>
      <c r="V299" s="305">
        <f t="shared" si="18"/>
        <v>35.79</v>
      </c>
      <c r="W299" s="305" t="str">
        <f t="shared" si="16"/>
        <v xml:space="preserve"> </v>
      </c>
      <c r="X299" s="288"/>
    </row>
    <row r="300" spans="1:24">
      <c r="A300" s="286">
        <v>42</v>
      </c>
      <c r="C300" s="286" t="s">
        <v>644</v>
      </c>
      <c r="D300" s="286"/>
      <c r="E300" s="286" t="s">
        <v>610</v>
      </c>
      <c r="F300" s="286">
        <v>26</v>
      </c>
      <c r="G300" s="425">
        <v>35.79</v>
      </c>
      <c r="H300" s="425">
        <v>1.5</v>
      </c>
      <c r="J300" s="289"/>
      <c r="K300" s="289"/>
      <c r="L300" s="291"/>
      <c r="M300" s="291"/>
      <c r="N300" s="300"/>
      <c r="O300" s="296"/>
      <c r="P300" s="294"/>
      <c r="Q300" s="294"/>
      <c r="R300" s="295"/>
      <c r="S300" s="302">
        <f t="shared" si="17"/>
        <v>0</v>
      </c>
      <c r="T300" s="302"/>
      <c r="U300" s="303"/>
      <c r="V300" s="305">
        <f t="shared" si="18"/>
        <v>0</v>
      </c>
      <c r="W300" s="305" t="str">
        <f t="shared" si="16"/>
        <v xml:space="preserve"> </v>
      </c>
      <c r="X300" s="288"/>
    </row>
    <row r="301" spans="1:24">
      <c r="A301" s="286">
        <v>42</v>
      </c>
      <c r="C301" s="286" t="s">
        <v>644</v>
      </c>
      <c r="D301" s="286"/>
      <c r="E301" s="286" t="s">
        <v>614</v>
      </c>
      <c r="F301" s="286">
        <v>26</v>
      </c>
      <c r="G301" s="425">
        <v>15.63</v>
      </c>
      <c r="H301" s="425">
        <v>0</v>
      </c>
      <c r="J301" s="289"/>
      <c r="K301" s="289"/>
      <c r="L301" s="291"/>
      <c r="M301" s="291"/>
      <c r="N301" s="300"/>
      <c r="O301" s="296"/>
      <c r="P301" s="294"/>
      <c r="Q301" s="294"/>
      <c r="R301" s="295"/>
      <c r="S301" s="302">
        <f t="shared" si="17"/>
        <v>0</v>
      </c>
      <c r="T301" s="302"/>
      <c r="U301" s="303"/>
      <c r="V301" s="305">
        <f t="shared" si="18"/>
        <v>15.63</v>
      </c>
      <c r="W301" s="305" t="str">
        <f t="shared" si="16"/>
        <v xml:space="preserve"> </v>
      </c>
      <c r="X301" s="288"/>
    </row>
    <row r="302" spans="1:24">
      <c r="A302" s="286">
        <v>42</v>
      </c>
      <c r="C302" s="286" t="s">
        <v>644</v>
      </c>
      <c r="D302" s="286"/>
      <c r="E302" s="286" t="s">
        <v>616</v>
      </c>
      <c r="F302" s="286">
        <v>26</v>
      </c>
      <c r="G302" s="425">
        <v>312.5</v>
      </c>
      <c r="H302" s="425">
        <v>0</v>
      </c>
      <c r="J302" s="289"/>
      <c r="K302" s="289"/>
      <c r="L302" s="291"/>
      <c r="M302" s="291"/>
      <c r="N302" s="300"/>
      <c r="O302" s="296"/>
      <c r="P302" s="294"/>
      <c r="Q302" s="294"/>
      <c r="R302" s="295"/>
      <c r="S302" s="302">
        <f t="shared" si="17"/>
        <v>0</v>
      </c>
      <c r="T302" s="302"/>
      <c r="U302" s="303"/>
      <c r="V302" s="305">
        <f t="shared" si="18"/>
        <v>312.5</v>
      </c>
      <c r="W302" s="305">
        <f t="shared" si="16"/>
        <v>78.125</v>
      </c>
      <c r="X302" s="288"/>
    </row>
    <row r="303" spans="1:24">
      <c r="A303" s="286">
        <v>42</v>
      </c>
      <c r="C303" s="286" t="s">
        <v>644</v>
      </c>
      <c r="D303" s="286"/>
      <c r="E303" s="286" t="s">
        <v>618</v>
      </c>
      <c r="F303" s="286">
        <v>26</v>
      </c>
      <c r="G303" s="425">
        <v>478.13</v>
      </c>
      <c r="H303" s="425">
        <v>0</v>
      </c>
      <c r="J303" s="289"/>
      <c r="K303" s="289"/>
      <c r="L303" s="291"/>
      <c r="M303" s="291"/>
      <c r="N303" s="300"/>
      <c r="O303" s="296"/>
      <c r="P303" s="294"/>
      <c r="Q303" s="294"/>
      <c r="R303" s="295"/>
      <c r="S303" s="302">
        <f t="shared" si="17"/>
        <v>0</v>
      </c>
      <c r="T303" s="302"/>
      <c r="U303" s="303"/>
      <c r="V303" s="305">
        <f t="shared" si="18"/>
        <v>478.13</v>
      </c>
      <c r="W303" s="305" t="str">
        <f t="shared" si="16"/>
        <v xml:space="preserve"> </v>
      </c>
      <c r="X303" s="288"/>
    </row>
    <row r="304" spans="1:24">
      <c r="A304" s="286">
        <v>42</v>
      </c>
      <c r="C304" s="286" t="s">
        <v>644</v>
      </c>
      <c r="D304" s="286"/>
      <c r="E304" s="286" t="s">
        <v>636</v>
      </c>
      <c r="F304" s="286">
        <v>26</v>
      </c>
      <c r="G304" s="425">
        <v>17.899999999999999</v>
      </c>
      <c r="H304" s="425">
        <v>0</v>
      </c>
      <c r="J304" s="289"/>
      <c r="K304" s="289"/>
      <c r="L304" s="291"/>
      <c r="M304" s="291"/>
      <c r="N304" s="300"/>
      <c r="O304" s="296"/>
      <c r="P304" s="294"/>
      <c r="Q304" s="294"/>
      <c r="R304" s="295"/>
      <c r="S304" s="302">
        <f t="shared" si="17"/>
        <v>0</v>
      </c>
      <c r="T304" s="302"/>
      <c r="U304" s="303"/>
      <c r="V304" s="305">
        <f t="shared" si="18"/>
        <v>0</v>
      </c>
      <c r="W304" s="305" t="str">
        <f t="shared" si="16"/>
        <v xml:space="preserve"> </v>
      </c>
      <c r="X304" s="288"/>
    </row>
    <row r="305" spans="1:24">
      <c r="A305" s="286">
        <v>43</v>
      </c>
      <c r="C305" s="286" t="s">
        <v>650</v>
      </c>
      <c r="D305" s="286"/>
      <c r="E305" s="286" t="s">
        <v>598</v>
      </c>
      <c r="F305" s="286">
        <f>IF(VLOOKUP(A305,'WP-5 Payroll Data'!$K$11:$O$151,3,FALSE)&gt;26,26,VLOOKUP(A305,'WP-5 Payroll Data'!$K$11:$O$151,3,FALSE))</f>
        <v>26</v>
      </c>
      <c r="G305" s="425">
        <v>8667.94</v>
      </c>
      <c r="H305" s="425">
        <v>235</v>
      </c>
      <c r="J305" s="289">
        <f>VLOOKUP(A305,'WP-5 Payroll Data'!$K$11:$O$151,4,FALSE)</f>
        <v>9511.4200000000019</v>
      </c>
      <c r="K305" s="289">
        <f>VLOOKUP(A305,'WP-5 Payroll Data'!$K$11:$O$151,5,FALSE)</f>
        <v>258</v>
      </c>
      <c r="L305" s="289">
        <f>J305/K305</f>
        <v>36.865968992248071</v>
      </c>
      <c r="M305" s="289"/>
      <c r="N305" s="300">
        <f>IF((K305/F305)*26&gt;1500,2080,IF((K305/F305)*26&gt;300,520,IF((K305/F305)*26&gt;100,260,K305)))</f>
        <v>260</v>
      </c>
      <c r="O305" s="296">
        <f>N305*L305</f>
        <v>9585.1519379844976</v>
      </c>
      <c r="P305" s="294"/>
      <c r="Q305" s="294">
        <f>O305*0.03</f>
        <v>287.55455813953489</v>
      </c>
      <c r="R305" s="295"/>
      <c r="S305" s="302">
        <f t="shared" si="17"/>
        <v>0</v>
      </c>
      <c r="T305" s="302"/>
      <c r="U305" s="303"/>
      <c r="V305" s="305">
        <f t="shared" si="18"/>
        <v>0</v>
      </c>
      <c r="W305" s="305" t="str">
        <f t="shared" si="16"/>
        <v xml:space="preserve"> </v>
      </c>
      <c r="X305" s="288"/>
    </row>
    <row r="306" spans="1:24">
      <c r="A306" s="286">
        <v>43</v>
      </c>
      <c r="C306" s="286" t="s">
        <v>650</v>
      </c>
      <c r="D306" s="286"/>
      <c r="E306" s="286" t="s">
        <v>605</v>
      </c>
      <c r="F306" s="286">
        <v>26</v>
      </c>
      <c r="G306" s="425">
        <v>548.12000000000012</v>
      </c>
      <c r="H306" s="425">
        <v>15</v>
      </c>
      <c r="J306" s="289"/>
      <c r="K306" s="289"/>
      <c r="L306" s="291"/>
      <c r="M306" s="291"/>
      <c r="N306" s="300"/>
      <c r="O306" s="296"/>
      <c r="P306" s="294"/>
      <c r="Q306" s="294"/>
      <c r="R306" s="295"/>
      <c r="S306" s="302">
        <f t="shared" si="17"/>
        <v>0</v>
      </c>
      <c r="T306" s="302"/>
      <c r="U306" s="303"/>
      <c r="V306" s="305">
        <f t="shared" si="18"/>
        <v>0</v>
      </c>
      <c r="W306" s="305" t="str">
        <f t="shared" si="16"/>
        <v xml:space="preserve"> </v>
      </c>
      <c r="X306" s="288"/>
    </row>
    <row r="307" spans="1:24">
      <c r="A307" s="286">
        <v>43</v>
      </c>
      <c r="C307" s="286" t="s">
        <v>650</v>
      </c>
      <c r="D307" s="286"/>
      <c r="E307" s="286" t="s">
        <v>608</v>
      </c>
      <c r="F307" s="286">
        <v>26</v>
      </c>
      <c r="G307" s="425">
        <v>110.76</v>
      </c>
      <c r="H307" s="425">
        <v>3</v>
      </c>
      <c r="J307" s="289"/>
      <c r="K307" s="289"/>
      <c r="L307" s="291"/>
      <c r="M307" s="291"/>
      <c r="N307" s="300"/>
      <c r="O307" s="296"/>
      <c r="P307" s="294"/>
      <c r="Q307" s="294"/>
      <c r="R307" s="295"/>
      <c r="S307" s="302">
        <f t="shared" si="17"/>
        <v>0</v>
      </c>
      <c r="T307" s="302"/>
      <c r="U307" s="303"/>
      <c r="V307" s="305">
        <f t="shared" si="18"/>
        <v>0</v>
      </c>
      <c r="W307" s="305" t="str">
        <f t="shared" si="16"/>
        <v xml:space="preserve"> </v>
      </c>
      <c r="X307" s="288"/>
    </row>
    <row r="308" spans="1:24">
      <c r="A308" s="286">
        <v>43</v>
      </c>
      <c r="C308" s="286" t="s">
        <v>650</v>
      </c>
      <c r="D308" s="286"/>
      <c r="E308" s="286" t="s">
        <v>602</v>
      </c>
      <c r="F308" s="286">
        <v>26</v>
      </c>
      <c r="G308" s="425">
        <v>73.84</v>
      </c>
      <c r="H308" s="425">
        <v>2</v>
      </c>
      <c r="J308" s="289"/>
      <c r="K308" s="289"/>
      <c r="L308" s="291"/>
      <c r="M308" s="291"/>
      <c r="N308" s="300"/>
      <c r="O308" s="296"/>
      <c r="P308" s="294"/>
      <c r="Q308" s="294"/>
      <c r="R308" s="295"/>
      <c r="S308" s="302">
        <f t="shared" si="17"/>
        <v>0</v>
      </c>
      <c r="T308" s="302"/>
      <c r="U308" s="303"/>
      <c r="V308" s="305">
        <f t="shared" si="18"/>
        <v>73.84</v>
      </c>
      <c r="W308" s="305" t="str">
        <f t="shared" si="16"/>
        <v xml:space="preserve"> </v>
      </c>
      <c r="X308" s="288"/>
    </row>
    <row r="309" spans="1:24">
      <c r="A309" s="286">
        <v>43</v>
      </c>
      <c r="C309" s="286" t="s">
        <v>650</v>
      </c>
      <c r="D309" s="286"/>
      <c r="E309" s="286" t="s">
        <v>610</v>
      </c>
      <c r="F309" s="286">
        <v>26</v>
      </c>
      <c r="G309" s="425">
        <v>73.84</v>
      </c>
      <c r="H309" s="425">
        <v>2</v>
      </c>
      <c r="J309" s="289"/>
      <c r="K309" s="289"/>
      <c r="L309" s="291"/>
      <c r="M309" s="291"/>
      <c r="N309" s="300"/>
      <c r="O309" s="296"/>
      <c r="P309" s="294"/>
      <c r="Q309" s="294"/>
      <c r="R309" s="295"/>
      <c r="S309" s="302">
        <f t="shared" si="17"/>
        <v>0</v>
      </c>
      <c r="T309" s="302"/>
      <c r="U309" s="303"/>
      <c r="V309" s="305">
        <f t="shared" si="18"/>
        <v>0</v>
      </c>
      <c r="W309" s="305" t="str">
        <f t="shared" si="16"/>
        <v xml:space="preserve"> </v>
      </c>
      <c r="X309" s="288"/>
    </row>
    <row r="310" spans="1:24">
      <c r="A310" s="286">
        <v>43</v>
      </c>
      <c r="C310" s="286" t="s">
        <v>650</v>
      </c>
      <c r="D310" s="286"/>
      <c r="E310" s="286" t="s">
        <v>638</v>
      </c>
      <c r="F310" s="286">
        <v>26</v>
      </c>
      <c r="G310" s="425">
        <v>110.76</v>
      </c>
      <c r="H310" s="425">
        <v>3</v>
      </c>
      <c r="J310" s="289"/>
      <c r="K310" s="289"/>
      <c r="L310" s="291"/>
      <c r="M310" s="291"/>
      <c r="N310" s="300"/>
      <c r="O310" s="296"/>
      <c r="P310" s="294"/>
      <c r="Q310" s="294"/>
      <c r="R310" s="295"/>
      <c r="S310" s="302">
        <f t="shared" si="17"/>
        <v>0</v>
      </c>
      <c r="T310" s="302"/>
      <c r="U310" s="303"/>
      <c r="V310" s="305">
        <f t="shared" si="18"/>
        <v>0</v>
      </c>
      <c r="W310" s="305" t="str">
        <f t="shared" si="16"/>
        <v xml:space="preserve"> </v>
      </c>
      <c r="X310" s="288"/>
    </row>
    <row r="311" spans="1:24">
      <c r="A311" s="286">
        <v>43</v>
      </c>
      <c r="C311" s="286" t="s">
        <v>650</v>
      </c>
      <c r="D311" s="286"/>
      <c r="E311" s="286" t="s">
        <v>624</v>
      </c>
      <c r="F311" s="286">
        <v>26</v>
      </c>
      <c r="G311" s="425">
        <v>287.5</v>
      </c>
      <c r="H311" s="425">
        <v>0</v>
      </c>
      <c r="J311" s="289"/>
      <c r="K311" s="289"/>
      <c r="L311" s="291"/>
      <c r="M311" s="291"/>
      <c r="N311" s="300"/>
      <c r="O311" s="296"/>
      <c r="P311" s="294"/>
      <c r="Q311" s="294"/>
      <c r="R311" s="295"/>
      <c r="S311" s="302">
        <f t="shared" si="17"/>
        <v>0</v>
      </c>
      <c r="T311" s="302"/>
      <c r="U311" s="303"/>
      <c r="V311" s="305">
        <f t="shared" si="18"/>
        <v>287.5</v>
      </c>
      <c r="W311" s="305">
        <f t="shared" si="16"/>
        <v>71.875</v>
      </c>
      <c r="X311" s="288"/>
    </row>
    <row r="312" spans="1:24">
      <c r="A312" s="286">
        <v>44</v>
      </c>
      <c r="C312" s="286" t="s">
        <v>644</v>
      </c>
      <c r="D312" s="286"/>
      <c r="E312" s="286" t="s">
        <v>598</v>
      </c>
      <c r="F312" s="286">
        <f>IF(VLOOKUP(A312,'WP-5 Payroll Data'!$K$11:$O$151,3,FALSE)&gt;26,26,VLOOKUP(A312,'WP-5 Payroll Data'!$K$11:$O$151,3,FALSE))</f>
        <v>3</v>
      </c>
      <c r="G312" s="425">
        <v>661.92000000000007</v>
      </c>
      <c r="H312" s="425">
        <v>44.010000000000005</v>
      </c>
      <c r="J312" s="289">
        <f>VLOOKUP(A312,'WP-5 Payroll Data'!$K$11:$O$151,4,FALSE)</f>
        <v>810.03</v>
      </c>
      <c r="K312" s="289">
        <f>VLOOKUP(A312,'WP-5 Payroll Data'!$K$11:$O$151,5,FALSE)</f>
        <v>54.02</v>
      </c>
      <c r="L312" s="289">
        <f>J312/K312</f>
        <v>14.995001851166233</v>
      </c>
      <c r="M312" s="289"/>
      <c r="N312" s="300">
        <f>IF((K312/F312)*26&gt;1500,2080,IF((K312/F312)*26&gt;300,520,IF((K312/F312)*26&gt;100,260,K312)))</f>
        <v>520</v>
      </c>
      <c r="O312" s="296">
        <f>N312*L312</f>
        <v>7797.4009626064408</v>
      </c>
      <c r="P312" s="294"/>
      <c r="Q312" s="294">
        <f>O312*0.03</f>
        <v>233.9220288781932</v>
      </c>
      <c r="R312" s="295"/>
      <c r="S312" s="302">
        <f t="shared" si="17"/>
        <v>0</v>
      </c>
      <c r="T312" s="302"/>
      <c r="U312" s="303"/>
      <c r="V312" s="305">
        <f t="shared" si="18"/>
        <v>0</v>
      </c>
      <c r="W312" s="305" t="str">
        <f t="shared" si="16"/>
        <v xml:space="preserve"> </v>
      </c>
      <c r="X312" s="288"/>
    </row>
    <row r="313" spans="1:24">
      <c r="A313" s="286">
        <v>44</v>
      </c>
      <c r="C313" s="286" t="s">
        <v>644</v>
      </c>
      <c r="D313" s="286"/>
      <c r="E313" s="286" t="s">
        <v>599</v>
      </c>
      <c r="F313" s="286">
        <v>3</v>
      </c>
      <c r="G313" s="425">
        <v>21.62</v>
      </c>
      <c r="H313" s="425">
        <v>0.98</v>
      </c>
      <c r="J313" s="289"/>
      <c r="K313" s="289"/>
      <c r="L313" s="291"/>
      <c r="M313" s="291"/>
      <c r="N313" s="300"/>
      <c r="O313" s="296"/>
      <c r="P313" s="294"/>
      <c r="Q313" s="294"/>
      <c r="R313" s="295"/>
      <c r="S313" s="302">
        <f t="shared" si="17"/>
        <v>21.62</v>
      </c>
      <c r="T313" s="302">
        <f t="shared" si="19"/>
        <v>0.64859999999999995</v>
      </c>
      <c r="U313" s="303"/>
      <c r="V313" s="305">
        <f t="shared" si="18"/>
        <v>0</v>
      </c>
      <c r="W313" s="305" t="str">
        <f t="shared" si="16"/>
        <v xml:space="preserve"> </v>
      </c>
      <c r="X313" s="288"/>
    </row>
    <row r="314" spans="1:24">
      <c r="A314" s="286">
        <v>44</v>
      </c>
      <c r="C314" s="286" t="s">
        <v>644</v>
      </c>
      <c r="D314" s="286"/>
      <c r="E314" s="286" t="s">
        <v>608</v>
      </c>
      <c r="F314" s="286">
        <v>3</v>
      </c>
      <c r="G314" s="425">
        <v>59.78</v>
      </c>
      <c r="H314" s="425">
        <v>4</v>
      </c>
      <c r="J314" s="289"/>
      <c r="K314" s="289"/>
      <c r="L314" s="291"/>
      <c r="M314" s="291"/>
      <c r="N314" s="300"/>
      <c r="O314" s="296"/>
      <c r="P314" s="294"/>
      <c r="Q314" s="294"/>
      <c r="R314" s="295"/>
      <c r="S314" s="302">
        <f t="shared" si="17"/>
        <v>0</v>
      </c>
      <c r="T314" s="302"/>
      <c r="U314" s="303"/>
      <c r="V314" s="305">
        <f t="shared" si="18"/>
        <v>0</v>
      </c>
      <c r="W314" s="305" t="str">
        <f t="shared" si="16"/>
        <v xml:space="preserve"> </v>
      </c>
      <c r="X314" s="288"/>
    </row>
    <row r="315" spans="1:24">
      <c r="A315" s="286">
        <v>44</v>
      </c>
      <c r="C315" s="286" t="s">
        <v>644</v>
      </c>
      <c r="D315" s="286"/>
      <c r="E315" s="286" t="s">
        <v>610</v>
      </c>
      <c r="F315" s="286">
        <v>3</v>
      </c>
      <c r="G315" s="425">
        <v>179.32</v>
      </c>
      <c r="H315" s="425">
        <v>12.009999999999998</v>
      </c>
      <c r="J315" s="289"/>
      <c r="K315" s="289"/>
      <c r="L315" s="291"/>
      <c r="M315" s="291"/>
      <c r="N315" s="300"/>
      <c r="O315" s="296"/>
      <c r="P315" s="294"/>
      <c r="Q315" s="294"/>
      <c r="R315" s="295"/>
      <c r="S315" s="302">
        <f t="shared" si="17"/>
        <v>0</v>
      </c>
      <c r="T315" s="302"/>
      <c r="U315" s="303"/>
      <c r="V315" s="305">
        <f t="shared" si="18"/>
        <v>0</v>
      </c>
      <c r="W315" s="305" t="str">
        <f t="shared" si="16"/>
        <v xml:space="preserve"> </v>
      </c>
      <c r="X315" s="288"/>
    </row>
    <row r="316" spans="1:24">
      <c r="A316" s="286">
        <v>44</v>
      </c>
      <c r="C316" s="286" t="s">
        <v>644</v>
      </c>
      <c r="D316" s="286"/>
      <c r="E316" s="286" t="s">
        <v>649</v>
      </c>
      <c r="F316" s="286">
        <v>3</v>
      </c>
      <c r="G316" s="425">
        <v>-90.99</v>
      </c>
      <c r="H316" s="425">
        <v>-6</v>
      </c>
      <c r="J316" s="289"/>
      <c r="K316" s="289"/>
      <c r="L316" s="291"/>
      <c r="M316" s="291"/>
      <c r="N316" s="300"/>
      <c r="O316" s="296"/>
      <c r="P316" s="294"/>
      <c r="Q316" s="294"/>
      <c r="R316" s="295"/>
      <c r="S316" s="302">
        <f t="shared" si="17"/>
        <v>0</v>
      </c>
      <c r="T316" s="302"/>
      <c r="U316" s="303"/>
      <c r="V316" s="305">
        <f t="shared" si="18"/>
        <v>0</v>
      </c>
      <c r="W316" s="305" t="str">
        <f t="shared" si="16"/>
        <v xml:space="preserve"> </v>
      </c>
      <c r="X316" s="288"/>
    </row>
    <row r="317" spans="1:24">
      <c r="A317" s="286">
        <v>45</v>
      </c>
      <c r="C317" s="286" t="s">
        <v>644</v>
      </c>
      <c r="D317" s="286"/>
      <c r="E317" s="286" t="s">
        <v>598</v>
      </c>
      <c r="F317" s="286">
        <f>IF(VLOOKUP(A317,'WP-5 Payroll Data'!$K$11:$O$151,3,FALSE)&gt;26,26,VLOOKUP(A317,'WP-5 Payroll Data'!$K$11:$O$151,3,FALSE))</f>
        <v>7</v>
      </c>
      <c r="G317" s="425">
        <v>1721.77</v>
      </c>
      <c r="H317" s="425">
        <v>118.75999999999999</v>
      </c>
      <c r="J317" s="289">
        <f>VLOOKUP(A317,'WP-5 Payroll Data'!$K$11:$O$151,4,FALSE)</f>
        <v>1826.9099999999999</v>
      </c>
      <c r="K317" s="289">
        <f>VLOOKUP(A317,'WP-5 Payroll Data'!$K$11:$O$151,5,FALSE)</f>
        <v>126.00999999999999</v>
      </c>
      <c r="L317" s="289">
        <f>J317/K317</f>
        <v>14.498135068645345</v>
      </c>
      <c r="M317" s="289"/>
      <c r="N317" s="300">
        <f>IF((K317/F317)*26&gt;1500,2080,IF((K317/F317)*26&gt;300,520,IF((K317/F317)*26&gt;100,260,K317)))</f>
        <v>520</v>
      </c>
      <c r="O317" s="296">
        <f>N317*L317</f>
        <v>7539.030235695579</v>
      </c>
      <c r="P317" s="294"/>
      <c r="Q317" s="294">
        <f>O317*0.03</f>
        <v>226.17090707086737</v>
      </c>
      <c r="R317" s="295"/>
      <c r="S317" s="302">
        <f t="shared" si="17"/>
        <v>0</v>
      </c>
      <c r="T317" s="302"/>
      <c r="U317" s="303"/>
      <c r="V317" s="305">
        <f t="shared" si="18"/>
        <v>0</v>
      </c>
      <c r="W317" s="305" t="str">
        <f t="shared" si="16"/>
        <v xml:space="preserve"> </v>
      </c>
      <c r="X317" s="288"/>
    </row>
    <row r="318" spans="1:24">
      <c r="A318" s="286">
        <v>45</v>
      </c>
      <c r="C318" s="286" t="s">
        <v>644</v>
      </c>
      <c r="D318" s="286"/>
      <c r="E318" s="286" t="s">
        <v>599</v>
      </c>
      <c r="F318" s="286">
        <v>7</v>
      </c>
      <c r="G318" s="425">
        <v>71.239999999999995</v>
      </c>
      <c r="H318" s="425">
        <v>3.3</v>
      </c>
      <c r="J318" s="289"/>
      <c r="K318" s="289"/>
      <c r="L318" s="291"/>
      <c r="M318" s="291"/>
      <c r="N318" s="300"/>
      <c r="O318" s="296"/>
      <c r="P318" s="294"/>
      <c r="Q318" s="294"/>
      <c r="R318" s="295"/>
      <c r="S318" s="302">
        <f t="shared" si="17"/>
        <v>71.239999999999995</v>
      </c>
      <c r="T318" s="302">
        <f t="shared" si="19"/>
        <v>2.1372</v>
      </c>
      <c r="U318" s="303"/>
      <c r="V318" s="305">
        <f t="shared" si="18"/>
        <v>0</v>
      </c>
      <c r="W318" s="305" t="str">
        <f t="shared" si="16"/>
        <v xml:space="preserve"> </v>
      </c>
      <c r="X318" s="288"/>
    </row>
    <row r="319" spans="1:24">
      <c r="A319" s="286">
        <v>45</v>
      </c>
      <c r="C319" s="286" t="s">
        <v>644</v>
      </c>
      <c r="D319" s="286"/>
      <c r="E319" s="286" t="s">
        <v>608</v>
      </c>
      <c r="F319" s="286">
        <v>7</v>
      </c>
      <c r="G319" s="425">
        <v>21.76</v>
      </c>
      <c r="H319" s="425">
        <v>1.5</v>
      </c>
      <c r="J319" s="289"/>
      <c r="K319" s="289"/>
      <c r="L319" s="291"/>
      <c r="M319" s="291"/>
      <c r="N319" s="300"/>
      <c r="O319" s="296"/>
      <c r="P319" s="294"/>
      <c r="Q319" s="294"/>
      <c r="R319" s="295"/>
      <c r="S319" s="302">
        <f t="shared" si="17"/>
        <v>0</v>
      </c>
      <c r="T319" s="302"/>
      <c r="U319" s="303"/>
      <c r="V319" s="305">
        <f t="shared" si="18"/>
        <v>0</v>
      </c>
      <c r="W319" s="305" t="str">
        <f t="shared" si="16"/>
        <v xml:space="preserve"> </v>
      </c>
      <c r="X319" s="288"/>
    </row>
    <row r="320" spans="1:24">
      <c r="A320" s="286">
        <v>45</v>
      </c>
      <c r="C320" s="286" t="s">
        <v>644</v>
      </c>
      <c r="D320" s="286"/>
      <c r="E320" s="286" t="s">
        <v>610</v>
      </c>
      <c r="F320" s="286">
        <v>7</v>
      </c>
      <c r="G320" s="425">
        <v>83.38</v>
      </c>
      <c r="H320" s="425">
        <v>5.75</v>
      </c>
      <c r="J320" s="289"/>
      <c r="K320" s="289"/>
      <c r="L320" s="291"/>
      <c r="M320" s="291"/>
      <c r="N320" s="300"/>
      <c r="O320" s="296"/>
      <c r="P320" s="294"/>
      <c r="Q320" s="294"/>
      <c r="R320" s="295"/>
      <c r="S320" s="302">
        <f t="shared" si="17"/>
        <v>0</v>
      </c>
      <c r="T320" s="302"/>
      <c r="U320" s="303"/>
      <c r="V320" s="305">
        <f t="shared" si="18"/>
        <v>0</v>
      </c>
      <c r="W320" s="305" t="str">
        <f t="shared" si="16"/>
        <v xml:space="preserve"> </v>
      </c>
      <c r="X320" s="288"/>
    </row>
    <row r="321" spans="1:24">
      <c r="A321" s="286">
        <v>46</v>
      </c>
      <c r="C321" s="286" t="s">
        <v>639</v>
      </c>
      <c r="D321" s="286"/>
      <c r="E321" s="286" t="s">
        <v>598</v>
      </c>
      <c r="F321" s="286">
        <f>IF(VLOOKUP(A321,'WP-5 Payroll Data'!$K$11:$O$151,3,FALSE)&gt;26,26,VLOOKUP(A321,'WP-5 Payroll Data'!$K$11:$O$151,3,FALSE))</f>
        <v>26</v>
      </c>
      <c r="G321" s="425">
        <v>667.99000000000024</v>
      </c>
      <c r="H321" s="425">
        <v>88.40000000000002</v>
      </c>
      <c r="J321" s="289">
        <f>VLOOKUP(A321,'WP-5 Payroll Data'!$K$11:$O$151,4,FALSE)</f>
        <v>667.99000000000024</v>
      </c>
      <c r="K321" s="289">
        <f>VLOOKUP(A321,'WP-5 Payroll Data'!$K$11:$O$151,5,FALSE)</f>
        <v>88.40000000000002</v>
      </c>
      <c r="L321" s="289">
        <f>J321/K321</f>
        <v>7.5564479638009061</v>
      </c>
      <c r="M321" s="289"/>
      <c r="N321" s="300">
        <f>IF((K321/F321)*26&gt;1500,2080,IF((K321/F321)*26&gt;300,520,IF((K321/F321)*26&gt;100,260,K321)))</f>
        <v>88.40000000000002</v>
      </c>
      <c r="O321" s="296">
        <f>N321*L321</f>
        <v>667.99000000000024</v>
      </c>
      <c r="P321" s="294"/>
      <c r="Q321" s="294">
        <f>O321*0.03</f>
        <v>20.039700000000007</v>
      </c>
      <c r="R321" s="295"/>
      <c r="S321" s="302">
        <f t="shared" si="17"/>
        <v>0</v>
      </c>
      <c r="T321" s="302"/>
      <c r="U321" s="303"/>
      <c r="V321" s="305">
        <f t="shared" si="18"/>
        <v>0</v>
      </c>
      <c r="W321" s="305" t="str">
        <f t="shared" si="16"/>
        <v xml:space="preserve"> </v>
      </c>
      <c r="X321" s="288"/>
    </row>
    <row r="322" spans="1:24">
      <c r="A322" s="286">
        <v>47</v>
      </c>
      <c r="C322" s="286" t="s">
        <v>663</v>
      </c>
      <c r="D322" s="286"/>
      <c r="E322" s="286" t="s">
        <v>598</v>
      </c>
      <c r="F322" s="286">
        <f>IF(VLOOKUP(A322,'WP-5 Payroll Data'!$K$11:$O$151,3,FALSE)&gt;26,26,VLOOKUP(A322,'WP-5 Payroll Data'!$K$11:$O$151,3,FALSE))</f>
        <v>26</v>
      </c>
      <c r="G322" s="424">
        <v>7824.0599999999995</v>
      </c>
      <c r="H322" s="425">
        <v>241.14</v>
      </c>
      <c r="J322" s="289">
        <f>VLOOKUP(A322,'WP-5 Payroll Data'!$K$11:$O$151,4,FALSE)</f>
        <v>8437.5</v>
      </c>
      <c r="K322" s="289">
        <f>VLOOKUP(A322,'WP-5 Payroll Data'!$K$11:$O$151,5,FALSE)</f>
        <v>260.02999999999997</v>
      </c>
      <c r="L322" s="289">
        <f>J322/K322</f>
        <v>32.448179056262745</v>
      </c>
      <c r="M322" s="289"/>
      <c r="N322" s="300">
        <f>IF((K322/F322)*26&gt;1500,2080,IF((K322/F322)*26&gt;300,520,IF((K322/F322)*26&gt;100,260,K322)))</f>
        <v>260</v>
      </c>
      <c r="O322" s="296">
        <f>N322*L322</f>
        <v>8436.5265546283135</v>
      </c>
      <c r="P322" s="294"/>
      <c r="Q322" s="294">
        <f>O322*0.03</f>
        <v>253.09579663884941</v>
      </c>
      <c r="R322" s="295"/>
      <c r="S322" s="302">
        <f t="shared" si="17"/>
        <v>0</v>
      </c>
      <c r="T322" s="302"/>
      <c r="U322" s="303"/>
      <c r="V322" s="305">
        <f t="shared" si="18"/>
        <v>0</v>
      </c>
      <c r="W322" s="305" t="str">
        <f t="shared" si="16"/>
        <v xml:space="preserve"> </v>
      </c>
      <c r="X322" s="288"/>
    </row>
    <row r="323" spans="1:24">
      <c r="A323" s="286">
        <v>47</v>
      </c>
      <c r="C323" s="286" t="s">
        <v>663</v>
      </c>
      <c r="D323" s="286"/>
      <c r="E323" s="286" t="s">
        <v>605</v>
      </c>
      <c r="F323" s="286">
        <v>26</v>
      </c>
      <c r="G323" s="424">
        <v>613.44000000000005</v>
      </c>
      <c r="H323" s="425">
        <v>18.89</v>
      </c>
      <c r="J323" s="289"/>
      <c r="K323" s="289"/>
      <c r="L323" s="291"/>
      <c r="M323" s="291"/>
      <c r="N323" s="300"/>
      <c r="O323" s="296"/>
      <c r="P323" s="294"/>
      <c r="Q323" s="294"/>
      <c r="R323" s="295"/>
      <c r="S323" s="302">
        <f t="shared" si="17"/>
        <v>0</v>
      </c>
      <c r="T323" s="302"/>
      <c r="U323" s="303"/>
      <c r="V323" s="305">
        <f t="shared" si="18"/>
        <v>0</v>
      </c>
      <c r="W323" s="305" t="str">
        <f t="shared" si="16"/>
        <v xml:space="preserve"> </v>
      </c>
      <c r="X323" s="288"/>
    </row>
    <row r="324" spans="1:24">
      <c r="A324" s="286">
        <v>48</v>
      </c>
      <c r="C324" s="286" t="s">
        <v>597</v>
      </c>
      <c r="D324" s="286"/>
      <c r="E324" s="286" t="s">
        <v>598</v>
      </c>
      <c r="F324" s="286">
        <f>IF(VLOOKUP(A324,'WP-5 Payroll Data'!$K$11:$O$151,3,FALSE)&gt;26,26,VLOOKUP(A324,'WP-5 Payroll Data'!$K$11:$O$151,3,FALSE))</f>
        <v>7</v>
      </c>
      <c r="G324" s="425">
        <v>2106.02</v>
      </c>
      <c r="H324" s="425">
        <v>122.5</v>
      </c>
      <c r="J324" s="289">
        <f>VLOOKUP(A324,'WP-5 Payroll Data'!$K$11:$O$151,4,FALSE)</f>
        <v>2569.42</v>
      </c>
      <c r="K324" s="289">
        <f>VLOOKUP(A324,'WP-5 Payroll Data'!$K$11:$O$151,5,FALSE)</f>
        <v>150</v>
      </c>
      <c r="L324" s="289">
        <f>J324/K324</f>
        <v>17.129466666666666</v>
      </c>
      <c r="M324" s="289"/>
      <c r="N324" s="300">
        <f>IF((K324/F324)*26&gt;1500,2080,IF((K324/F324)*26&gt;300,520,IF((K324/F324)*26&gt;100,260,K324)))</f>
        <v>520</v>
      </c>
      <c r="O324" s="296">
        <f>N324*L324</f>
        <v>8907.3226666666669</v>
      </c>
      <c r="P324" s="294"/>
      <c r="Q324" s="294">
        <f>O324*0.03</f>
        <v>267.21967999999998</v>
      </c>
      <c r="R324" s="295"/>
      <c r="S324" s="302">
        <f t="shared" si="17"/>
        <v>0</v>
      </c>
      <c r="T324" s="302"/>
      <c r="U324" s="303"/>
      <c r="V324" s="305">
        <f t="shared" si="18"/>
        <v>0</v>
      </c>
      <c r="W324" s="305" t="str">
        <f t="shared" si="16"/>
        <v xml:space="preserve"> </v>
      </c>
      <c r="X324" s="288"/>
    </row>
    <row r="325" spans="1:24">
      <c r="A325" s="286">
        <v>48</v>
      </c>
      <c r="C325" s="286" t="s">
        <v>597</v>
      </c>
      <c r="D325" s="286"/>
      <c r="E325" s="286" t="s">
        <v>599</v>
      </c>
      <c r="F325" s="286">
        <v>7</v>
      </c>
      <c r="G325" s="425">
        <v>39.430000000000007</v>
      </c>
      <c r="H325" s="425">
        <v>1.59</v>
      </c>
      <c r="J325" s="289"/>
      <c r="K325" s="289"/>
      <c r="L325" s="291"/>
      <c r="M325" s="291"/>
      <c r="N325" s="300"/>
      <c r="O325" s="296"/>
      <c r="P325" s="294"/>
      <c r="Q325" s="294"/>
      <c r="R325" s="295"/>
      <c r="S325" s="302">
        <f t="shared" si="17"/>
        <v>39.430000000000007</v>
      </c>
      <c r="T325" s="302">
        <f t="shared" si="19"/>
        <v>1.1829000000000001</v>
      </c>
      <c r="U325" s="303"/>
      <c r="V325" s="305">
        <f t="shared" si="18"/>
        <v>0</v>
      </c>
      <c r="W325" s="305" t="str">
        <f t="shared" si="16"/>
        <v xml:space="preserve"> </v>
      </c>
      <c r="X325" s="288"/>
    </row>
    <row r="326" spans="1:24">
      <c r="A326" s="286">
        <v>48</v>
      </c>
      <c r="C326" s="286" t="s">
        <v>597</v>
      </c>
      <c r="D326" s="286"/>
      <c r="E326" s="286" t="s">
        <v>664</v>
      </c>
      <c r="F326" s="286">
        <v>7</v>
      </c>
      <c r="G326" s="425">
        <v>172.73</v>
      </c>
      <c r="H326" s="425">
        <v>10</v>
      </c>
      <c r="J326" s="289"/>
      <c r="K326" s="289"/>
      <c r="L326" s="291"/>
      <c r="M326" s="291"/>
      <c r="N326" s="300"/>
      <c r="O326" s="296"/>
      <c r="P326" s="294"/>
      <c r="Q326" s="294"/>
      <c r="R326" s="295"/>
      <c r="S326" s="302">
        <f t="shared" si="17"/>
        <v>0</v>
      </c>
      <c r="T326" s="302"/>
      <c r="U326" s="303"/>
      <c r="V326" s="305">
        <f t="shared" si="18"/>
        <v>0</v>
      </c>
      <c r="W326" s="305" t="str">
        <f t="shared" si="16"/>
        <v xml:space="preserve"> </v>
      </c>
      <c r="X326" s="288"/>
    </row>
    <row r="327" spans="1:24">
      <c r="A327" s="286">
        <v>48</v>
      </c>
      <c r="C327" s="286" t="s">
        <v>597</v>
      </c>
      <c r="D327" s="286"/>
      <c r="E327" s="286" t="s">
        <v>608</v>
      </c>
      <c r="F327" s="286">
        <v>7</v>
      </c>
      <c r="G327" s="425">
        <v>199.31</v>
      </c>
      <c r="H327" s="425">
        <v>12</v>
      </c>
      <c r="J327" s="289"/>
      <c r="K327" s="289"/>
      <c r="L327" s="291"/>
      <c r="M327" s="291"/>
      <c r="N327" s="300"/>
      <c r="O327" s="296"/>
      <c r="P327" s="294"/>
      <c r="Q327" s="294"/>
      <c r="R327" s="295"/>
      <c r="S327" s="302">
        <f t="shared" si="17"/>
        <v>0</v>
      </c>
      <c r="T327" s="302"/>
      <c r="U327" s="303"/>
      <c r="V327" s="305">
        <f t="shared" si="18"/>
        <v>0</v>
      </c>
      <c r="W327" s="305" t="str">
        <f t="shared" si="16"/>
        <v xml:space="preserve"> </v>
      </c>
      <c r="X327" s="288"/>
    </row>
    <row r="328" spans="1:24">
      <c r="A328" s="286">
        <v>48</v>
      </c>
      <c r="C328" s="286" t="s">
        <v>597</v>
      </c>
      <c r="D328" s="286"/>
      <c r="E328" s="286" t="s">
        <v>610</v>
      </c>
      <c r="F328" s="286">
        <v>7</v>
      </c>
      <c r="G328" s="425">
        <v>91.36</v>
      </c>
      <c r="H328" s="425">
        <v>5.5</v>
      </c>
      <c r="J328" s="289"/>
      <c r="K328" s="289"/>
      <c r="L328" s="291"/>
      <c r="M328" s="291"/>
      <c r="N328" s="300"/>
      <c r="O328" s="296"/>
      <c r="P328" s="294"/>
      <c r="Q328" s="294"/>
      <c r="R328" s="295"/>
      <c r="S328" s="302">
        <f t="shared" si="17"/>
        <v>0</v>
      </c>
      <c r="T328" s="302"/>
      <c r="U328" s="303"/>
      <c r="V328" s="305">
        <f t="shared" si="18"/>
        <v>0</v>
      </c>
      <c r="W328" s="305" t="str">
        <f t="shared" si="16"/>
        <v xml:space="preserve"> </v>
      </c>
      <c r="X328" s="288"/>
    </row>
    <row r="329" spans="1:24">
      <c r="A329" s="286">
        <v>49</v>
      </c>
      <c r="C329" s="286" t="s">
        <v>597</v>
      </c>
      <c r="D329" s="286"/>
      <c r="E329" s="286" t="s">
        <v>598</v>
      </c>
      <c r="F329" s="286">
        <f>IF(VLOOKUP(A329,'WP-5 Payroll Data'!$K$11:$O$151,3,FALSE)&gt;26,26,VLOOKUP(A329,'WP-5 Payroll Data'!$K$11:$O$151,3,FALSE))</f>
        <v>17</v>
      </c>
      <c r="G329" s="425">
        <v>5339.43</v>
      </c>
      <c r="H329" s="425">
        <v>226.6</v>
      </c>
      <c r="J329" s="289">
        <f>VLOOKUP(A329,'WP-5 Payroll Data'!$K$11:$O$151,4,FALSE)</f>
        <v>8594.74</v>
      </c>
      <c r="K329" s="289">
        <f>VLOOKUP(A329,'WP-5 Payroll Data'!$K$11:$O$151,5,FALSE)</f>
        <v>364.59</v>
      </c>
      <c r="L329" s="289">
        <f>J329/K329</f>
        <v>23.573712937820567</v>
      </c>
      <c r="M329" s="289"/>
      <c r="N329" s="300">
        <f>IF((K329/F329)*26&gt;1500,2080,IF((K329/F329)*26&gt;300,520,IF((K329/F329)*26&gt;100,260,K329)))</f>
        <v>520</v>
      </c>
      <c r="O329" s="296">
        <f>N329*L329</f>
        <v>12258.330727666695</v>
      </c>
      <c r="P329" s="294"/>
      <c r="Q329" s="294">
        <f>O329*0.03</f>
        <v>367.7499218300008</v>
      </c>
      <c r="R329" s="295"/>
      <c r="S329" s="302">
        <f t="shared" si="17"/>
        <v>0</v>
      </c>
      <c r="T329" s="302"/>
      <c r="U329" s="303"/>
      <c r="V329" s="305">
        <f t="shared" si="18"/>
        <v>0</v>
      </c>
      <c r="W329" s="305" t="str">
        <f t="shared" si="16"/>
        <v xml:space="preserve"> </v>
      </c>
      <c r="X329" s="288"/>
    </row>
    <row r="330" spans="1:24">
      <c r="A330" s="286">
        <v>49</v>
      </c>
      <c r="C330" s="286" t="s">
        <v>597</v>
      </c>
      <c r="D330" s="286"/>
      <c r="E330" s="286" t="s">
        <v>605</v>
      </c>
      <c r="F330" s="286">
        <v>17</v>
      </c>
      <c r="G330" s="425">
        <v>431.15</v>
      </c>
      <c r="H330" s="425">
        <v>18.380000000000003</v>
      </c>
      <c r="J330" s="289"/>
      <c r="K330" s="289"/>
      <c r="L330" s="291"/>
      <c r="M330" s="291"/>
      <c r="N330" s="300"/>
      <c r="O330" s="296"/>
      <c r="P330" s="294"/>
      <c r="Q330" s="294"/>
      <c r="R330" s="295"/>
      <c r="S330" s="302">
        <f t="shared" si="17"/>
        <v>0</v>
      </c>
      <c r="T330" s="302"/>
      <c r="U330" s="303"/>
      <c r="V330" s="305">
        <f t="shared" si="18"/>
        <v>0</v>
      </c>
      <c r="W330" s="305" t="str">
        <f t="shared" ref="W330:W393" si="20">IF($E330=$AA$29,-$V330,IF(OR($E330=$AA$18,$E330=$AA$23,$E330=$AA$24,$E330=$AA$26),(($V330/200)*50)," "))</f>
        <v xml:space="preserve"> </v>
      </c>
      <c r="X330" s="288"/>
    </row>
    <row r="331" spans="1:24">
      <c r="A331" s="286">
        <v>49</v>
      </c>
      <c r="C331" s="286" t="s">
        <v>597</v>
      </c>
      <c r="D331" s="286"/>
      <c r="E331" s="286" t="s">
        <v>664</v>
      </c>
      <c r="F331" s="286">
        <v>17</v>
      </c>
      <c r="G331" s="425">
        <v>522.41999999999996</v>
      </c>
      <c r="H331" s="425">
        <v>22.13</v>
      </c>
      <c r="J331" s="289"/>
      <c r="K331" s="289"/>
      <c r="L331" s="291"/>
      <c r="M331" s="291"/>
      <c r="N331" s="300"/>
      <c r="O331" s="296"/>
      <c r="P331" s="294"/>
      <c r="Q331" s="294"/>
      <c r="R331" s="295"/>
      <c r="S331" s="302">
        <f t="shared" ref="S331:S394" si="21">IF(OR($E331=$Y$10,$E331=$Y$11,$E331=$Y$12,$E331=$Y$13),$G331,0)</f>
        <v>0</v>
      </c>
      <c r="T331" s="302"/>
      <c r="U331" s="303"/>
      <c r="V331" s="305">
        <f t="shared" ref="V331:V394" si="22">IF(OR($E331=$AA$10,$E331=$AA$11,$E331=$AA$12,$E331=$AA$13,$E331=$AA$14,$E331=$AA$15,$E331=$AA$16,$E331=$AA$17,$E331=$AA$18,$E331=$AA$19,$E331=$AA$20,$E331=$AA$21,$E331=$AA$22,$E331=$AA$23,$E331=$AA$24,$E331=$AA$25,$E331=$AA$26,$E331=$AA$27,$E331=$AA$28,$E331=$AA$29),G331,0)</f>
        <v>0</v>
      </c>
      <c r="W331" s="305" t="str">
        <f t="shared" si="20"/>
        <v xml:space="preserve"> </v>
      </c>
      <c r="X331" s="288"/>
    </row>
    <row r="332" spans="1:24">
      <c r="A332" s="286">
        <v>49</v>
      </c>
      <c r="C332" s="286" t="s">
        <v>597</v>
      </c>
      <c r="D332" s="286"/>
      <c r="E332" s="286" t="s">
        <v>608</v>
      </c>
      <c r="F332" s="286">
        <v>17</v>
      </c>
      <c r="G332" s="425">
        <v>59.77</v>
      </c>
      <c r="H332" s="425">
        <v>2.5300000000000002</v>
      </c>
      <c r="J332" s="289"/>
      <c r="K332" s="289"/>
      <c r="L332" s="291"/>
      <c r="M332" s="291"/>
      <c r="N332" s="300"/>
      <c r="O332" s="296"/>
      <c r="P332" s="294"/>
      <c r="Q332" s="294"/>
      <c r="R332" s="295"/>
      <c r="S332" s="302">
        <f t="shared" si="21"/>
        <v>0</v>
      </c>
      <c r="T332" s="302"/>
      <c r="U332" s="303"/>
      <c r="V332" s="305">
        <f t="shared" si="22"/>
        <v>0</v>
      </c>
      <c r="W332" s="305" t="str">
        <f t="shared" si="20"/>
        <v xml:space="preserve"> </v>
      </c>
      <c r="X332" s="288"/>
    </row>
    <row r="333" spans="1:24">
      <c r="A333" s="286">
        <v>49</v>
      </c>
      <c r="C333" s="286" t="s">
        <v>597</v>
      </c>
      <c r="D333" s="286"/>
      <c r="E333" s="286" t="s">
        <v>665</v>
      </c>
      <c r="F333" s="286">
        <v>17</v>
      </c>
      <c r="G333" s="425">
        <v>2135.71</v>
      </c>
      <c r="H333" s="425">
        <v>90.45</v>
      </c>
      <c r="J333" s="289"/>
      <c r="K333" s="289"/>
      <c r="L333" s="291"/>
      <c r="M333" s="291"/>
      <c r="N333" s="300"/>
      <c r="O333" s="296"/>
      <c r="P333" s="294"/>
      <c r="Q333" s="294"/>
      <c r="R333" s="295"/>
      <c r="S333" s="302">
        <f t="shared" si="21"/>
        <v>0</v>
      </c>
      <c r="T333" s="302"/>
      <c r="U333" s="303"/>
      <c r="V333" s="305">
        <f t="shared" si="22"/>
        <v>0</v>
      </c>
      <c r="W333" s="305" t="str">
        <f t="shared" si="20"/>
        <v xml:space="preserve"> </v>
      </c>
      <c r="X333" s="288"/>
    </row>
    <row r="334" spans="1:24">
      <c r="A334" s="286">
        <v>49</v>
      </c>
      <c r="C334" s="286" t="s">
        <v>597</v>
      </c>
      <c r="D334" s="286"/>
      <c r="E334" s="286" t="s">
        <v>602</v>
      </c>
      <c r="F334" s="286">
        <v>17</v>
      </c>
      <c r="G334" s="425">
        <v>70.83</v>
      </c>
      <c r="H334" s="425">
        <v>3.01</v>
      </c>
      <c r="J334" s="289"/>
      <c r="K334" s="289"/>
      <c r="L334" s="291"/>
      <c r="M334" s="291"/>
      <c r="N334" s="300"/>
      <c r="O334" s="296"/>
      <c r="P334" s="294"/>
      <c r="Q334" s="294"/>
      <c r="R334" s="295"/>
      <c r="S334" s="302">
        <f t="shared" si="21"/>
        <v>0</v>
      </c>
      <c r="T334" s="302"/>
      <c r="U334" s="303"/>
      <c r="V334" s="305">
        <f t="shared" si="22"/>
        <v>70.83</v>
      </c>
      <c r="W334" s="305" t="str">
        <f t="shared" si="20"/>
        <v xml:space="preserve"> </v>
      </c>
      <c r="X334" s="288"/>
    </row>
    <row r="335" spans="1:24">
      <c r="A335" s="286">
        <v>49</v>
      </c>
      <c r="C335" s="286" t="s">
        <v>597</v>
      </c>
      <c r="D335" s="286"/>
      <c r="E335" s="286" t="s">
        <v>610</v>
      </c>
      <c r="F335" s="286">
        <v>17</v>
      </c>
      <c r="G335" s="425">
        <v>106.26</v>
      </c>
      <c r="H335" s="425">
        <v>4.5</v>
      </c>
      <c r="J335" s="289"/>
      <c r="K335" s="289"/>
      <c r="L335" s="291"/>
      <c r="M335" s="291"/>
      <c r="N335" s="300"/>
      <c r="O335" s="296"/>
      <c r="P335" s="294"/>
      <c r="Q335" s="294"/>
      <c r="R335" s="295"/>
      <c r="S335" s="302">
        <f t="shared" si="21"/>
        <v>0</v>
      </c>
      <c r="T335" s="302"/>
      <c r="U335" s="303"/>
      <c r="V335" s="305">
        <f t="shared" si="22"/>
        <v>0</v>
      </c>
      <c r="W335" s="305" t="str">
        <f t="shared" si="20"/>
        <v xml:space="preserve"> </v>
      </c>
      <c r="X335" s="288"/>
    </row>
    <row r="336" spans="1:24">
      <c r="A336" s="286">
        <v>49</v>
      </c>
      <c r="C336" s="286" t="s">
        <v>597</v>
      </c>
      <c r="D336" s="286"/>
      <c r="E336" s="286" t="s">
        <v>612</v>
      </c>
      <c r="F336" s="286">
        <v>17</v>
      </c>
      <c r="G336" s="425">
        <v>18.75</v>
      </c>
      <c r="H336" s="425">
        <v>0</v>
      </c>
      <c r="J336" s="289"/>
      <c r="K336" s="289"/>
      <c r="L336" s="291"/>
      <c r="M336" s="291"/>
      <c r="N336" s="300"/>
      <c r="O336" s="296"/>
      <c r="P336" s="294"/>
      <c r="Q336" s="294"/>
      <c r="R336" s="295"/>
      <c r="S336" s="302">
        <f t="shared" si="21"/>
        <v>0</v>
      </c>
      <c r="T336" s="302"/>
      <c r="U336" s="303"/>
      <c r="V336" s="305">
        <f t="shared" si="22"/>
        <v>18.75</v>
      </c>
      <c r="W336" s="305" t="str">
        <f t="shared" si="20"/>
        <v xml:space="preserve"> </v>
      </c>
      <c r="X336" s="288"/>
    </row>
    <row r="337" spans="1:24">
      <c r="A337" s="286">
        <v>49</v>
      </c>
      <c r="C337" s="286" t="s">
        <v>597</v>
      </c>
      <c r="D337" s="286"/>
      <c r="E337" s="286" t="s">
        <v>624</v>
      </c>
      <c r="F337" s="286">
        <v>17</v>
      </c>
      <c r="G337" s="425">
        <v>281.25</v>
      </c>
      <c r="H337" s="425">
        <v>0</v>
      </c>
      <c r="J337" s="289"/>
      <c r="K337" s="289"/>
      <c r="L337" s="291"/>
      <c r="M337" s="291"/>
      <c r="N337" s="300"/>
      <c r="O337" s="296"/>
      <c r="P337" s="294"/>
      <c r="Q337" s="294"/>
      <c r="R337" s="295"/>
      <c r="S337" s="302">
        <f t="shared" si="21"/>
        <v>0</v>
      </c>
      <c r="T337" s="302"/>
      <c r="U337" s="303"/>
      <c r="V337" s="305">
        <f t="shared" si="22"/>
        <v>281.25</v>
      </c>
      <c r="W337" s="305">
        <f t="shared" si="20"/>
        <v>70.3125</v>
      </c>
      <c r="X337" s="288"/>
    </row>
    <row r="338" spans="1:24">
      <c r="A338" s="286">
        <v>50</v>
      </c>
      <c r="C338" s="286" t="s">
        <v>597</v>
      </c>
      <c r="D338" s="286"/>
      <c r="E338" s="286" t="s">
        <v>598</v>
      </c>
      <c r="F338" s="286">
        <f>IF(VLOOKUP(A338,'WP-5 Payroll Data'!$K$11:$O$151,3,FALSE)&gt;26,26,VLOOKUP(A338,'WP-5 Payroll Data'!$K$11:$O$151,3,FALSE))</f>
        <v>26</v>
      </c>
      <c r="G338" s="425">
        <v>11807.799999999997</v>
      </c>
      <c r="H338" s="425">
        <v>482.61999999999995</v>
      </c>
      <c r="J338" s="289">
        <f>VLOOKUP(A338,'WP-5 Payroll Data'!$K$11:$O$151,4,FALSE)</f>
        <v>12712.899999999998</v>
      </c>
      <c r="K338" s="289">
        <f>VLOOKUP(A338,'WP-5 Payroll Data'!$K$11:$O$151,5,FALSE)</f>
        <v>520.00999999999988</v>
      </c>
      <c r="L338" s="289">
        <f>J338/K338</f>
        <v>24.447414472798602</v>
      </c>
      <c r="M338" s="289"/>
      <c r="N338" s="300">
        <f>IF((K338/F338)*26&gt;1500,2080,IF((K338/F338)*26&gt;300,520,IF((K338/F338)*26&gt;100,260,K338)))</f>
        <v>520</v>
      </c>
      <c r="O338" s="296">
        <f>N338*L338</f>
        <v>12712.655525855273</v>
      </c>
      <c r="P338" s="294"/>
      <c r="Q338" s="294">
        <f>O338*0.03</f>
        <v>381.37966577565817</v>
      </c>
      <c r="R338" s="295"/>
      <c r="S338" s="302">
        <f t="shared" si="21"/>
        <v>0</v>
      </c>
      <c r="T338" s="302"/>
      <c r="U338" s="303"/>
      <c r="V338" s="305">
        <f t="shared" si="22"/>
        <v>0</v>
      </c>
      <c r="W338" s="305" t="str">
        <f t="shared" si="20"/>
        <v xml:space="preserve"> </v>
      </c>
      <c r="X338" s="288"/>
    </row>
    <row r="339" spans="1:24">
      <c r="A339" s="286">
        <v>50</v>
      </c>
      <c r="C339" s="286" t="s">
        <v>597</v>
      </c>
      <c r="D339" s="286"/>
      <c r="E339" s="286" t="s">
        <v>599</v>
      </c>
      <c r="F339" s="286">
        <v>26</v>
      </c>
      <c r="G339" s="425">
        <v>966.55999999999972</v>
      </c>
      <c r="H339" s="425">
        <v>26.44</v>
      </c>
      <c r="J339" s="289"/>
      <c r="K339" s="289"/>
      <c r="L339" s="291"/>
      <c r="M339" s="291"/>
      <c r="N339" s="300"/>
      <c r="O339" s="296"/>
      <c r="P339" s="294"/>
      <c r="Q339" s="294"/>
      <c r="R339" s="295"/>
      <c r="S339" s="302">
        <f t="shared" si="21"/>
        <v>966.55999999999972</v>
      </c>
      <c r="T339" s="302">
        <f t="shared" ref="T339:T389" si="23">S339*0.03</f>
        <v>28.99679999999999</v>
      </c>
      <c r="U339" s="303"/>
      <c r="V339" s="305">
        <f t="shared" si="22"/>
        <v>0</v>
      </c>
      <c r="W339" s="305" t="str">
        <f t="shared" si="20"/>
        <v xml:space="preserve"> </v>
      </c>
      <c r="X339" s="288"/>
    </row>
    <row r="340" spans="1:24">
      <c r="A340" s="286">
        <v>50</v>
      </c>
      <c r="C340" s="286" t="s">
        <v>597</v>
      </c>
      <c r="D340" s="286"/>
      <c r="E340" s="286" t="s">
        <v>605</v>
      </c>
      <c r="F340" s="286">
        <v>26</v>
      </c>
      <c r="G340" s="425">
        <v>479.16</v>
      </c>
      <c r="H340" s="425">
        <v>20</v>
      </c>
      <c r="J340" s="289"/>
      <c r="K340" s="289"/>
      <c r="L340" s="291"/>
      <c r="M340" s="291"/>
      <c r="N340" s="300"/>
      <c r="O340" s="296"/>
      <c r="P340" s="294"/>
      <c r="Q340" s="294"/>
      <c r="R340" s="295"/>
      <c r="S340" s="302">
        <f t="shared" si="21"/>
        <v>0</v>
      </c>
      <c r="T340" s="302"/>
      <c r="U340" s="303"/>
      <c r="V340" s="305">
        <f t="shared" si="22"/>
        <v>0</v>
      </c>
      <c r="W340" s="305" t="str">
        <f t="shared" si="20"/>
        <v xml:space="preserve"> </v>
      </c>
      <c r="X340" s="288"/>
    </row>
    <row r="341" spans="1:24">
      <c r="A341" s="286">
        <v>50</v>
      </c>
      <c r="C341" s="286" t="s">
        <v>597</v>
      </c>
      <c r="D341" s="286"/>
      <c r="E341" s="286" t="s">
        <v>608</v>
      </c>
      <c r="F341" s="286">
        <v>26</v>
      </c>
      <c r="G341" s="425">
        <v>295.69000000000005</v>
      </c>
      <c r="H341" s="425">
        <v>12</v>
      </c>
      <c r="J341" s="289"/>
      <c r="K341" s="289"/>
      <c r="L341" s="291"/>
      <c r="M341" s="291"/>
      <c r="N341" s="300"/>
      <c r="O341" s="296"/>
      <c r="P341" s="294"/>
      <c r="Q341" s="294"/>
      <c r="R341" s="295"/>
      <c r="S341" s="302">
        <f t="shared" si="21"/>
        <v>0</v>
      </c>
      <c r="T341" s="302"/>
      <c r="U341" s="303"/>
      <c r="V341" s="305">
        <f t="shared" si="22"/>
        <v>0</v>
      </c>
      <c r="W341" s="305" t="str">
        <f t="shared" si="20"/>
        <v xml:space="preserve"> </v>
      </c>
      <c r="X341" s="288"/>
    </row>
    <row r="342" spans="1:24">
      <c r="A342" s="286">
        <v>50</v>
      </c>
      <c r="C342" s="286" t="s">
        <v>597</v>
      </c>
      <c r="D342" s="286"/>
      <c r="E342" s="286" t="s">
        <v>610</v>
      </c>
      <c r="F342" s="286">
        <v>26</v>
      </c>
      <c r="G342" s="425">
        <v>130.25</v>
      </c>
      <c r="H342" s="425">
        <v>5.3900000000000006</v>
      </c>
      <c r="J342" s="289"/>
      <c r="K342" s="289"/>
      <c r="L342" s="291"/>
      <c r="M342" s="291"/>
      <c r="N342" s="300"/>
      <c r="O342" s="296"/>
      <c r="P342" s="294"/>
      <c r="Q342" s="294"/>
      <c r="R342" s="295"/>
      <c r="S342" s="302">
        <f t="shared" si="21"/>
        <v>0</v>
      </c>
      <c r="T342" s="302"/>
      <c r="U342" s="303"/>
      <c r="V342" s="305">
        <f t="shared" si="22"/>
        <v>0</v>
      </c>
      <c r="W342" s="305" t="str">
        <f t="shared" si="20"/>
        <v xml:space="preserve"> </v>
      </c>
      <c r="X342" s="288"/>
    </row>
    <row r="343" spans="1:24">
      <c r="A343" s="286">
        <v>50</v>
      </c>
      <c r="C343" s="286" t="s">
        <v>597</v>
      </c>
      <c r="D343" s="286"/>
      <c r="E343" s="286" t="s">
        <v>624</v>
      </c>
      <c r="F343" s="286">
        <v>26</v>
      </c>
      <c r="G343" s="425">
        <v>125</v>
      </c>
      <c r="H343" s="425">
        <v>0</v>
      </c>
      <c r="J343" s="289"/>
      <c r="K343" s="289"/>
      <c r="L343" s="291"/>
      <c r="M343" s="291"/>
      <c r="N343" s="300"/>
      <c r="O343" s="296"/>
      <c r="P343" s="294"/>
      <c r="Q343" s="294"/>
      <c r="R343" s="295"/>
      <c r="S343" s="302">
        <f t="shared" si="21"/>
        <v>0</v>
      </c>
      <c r="T343" s="302"/>
      <c r="U343" s="303"/>
      <c r="V343" s="305">
        <f t="shared" si="22"/>
        <v>125</v>
      </c>
      <c r="W343" s="305">
        <f t="shared" si="20"/>
        <v>31.25</v>
      </c>
      <c r="X343" s="288"/>
    </row>
    <row r="344" spans="1:24">
      <c r="A344" s="286">
        <v>51</v>
      </c>
      <c r="C344" s="286" t="s">
        <v>619</v>
      </c>
      <c r="D344" s="286" t="s">
        <v>654</v>
      </c>
      <c r="E344" s="286" t="s">
        <v>621</v>
      </c>
      <c r="F344" s="286">
        <f>IF(VLOOKUP(A344,'WP-5 Payroll Data'!$K$11:$O$151,3,FALSE)&gt;26,26,VLOOKUP(A344,'WP-5 Payroll Data'!$K$11:$O$151,3,FALSE))</f>
        <v>26</v>
      </c>
      <c r="G344" s="425">
        <v>41704.909999999996</v>
      </c>
      <c r="H344" s="425">
        <v>1678.47</v>
      </c>
      <c r="J344" s="289">
        <f>VLOOKUP(A344,'WP-5 Payroll Data'!$K$11:$O$151,4,FALSE)</f>
        <v>52072.02</v>
      </c>
      <c r="K344" s="289">
        <f>VLOOKUP(A344,'WP-5 Payroll Data'!$K$11:$O$151,5,FALSE)</f>
        <v>2086.4700000000003</v>
      </c>
      <c r="L344" s="289">
        <f>J344/K344</f>
        <v>24.956994349307678</v>
      </c>
      <c r="M344" s="289"/>
      <c r="N344" s="300">
        <f>IF((K344/F344)*26&gt;1500,2080,IF((K344/F344)*26&gt;300,520,IF((K344/F344)*26&gt;100,260,K344)))</f>
        <v>2080</v>
      </c>
      <c r="O344" s="296">
        <f>N344*L344</f>
        <v>51910.548246559971</v>
      </c>
      <c r="P344" s="294"/>
      <c r="Q344" s="294">
        <f>O344*0.03</f>
        <v>1557.316447396799</v>
      </c>
      <c r="R344" s="295"/>
      <c r="S344" s="302">
        <f t="shared" si="21"/>
        <v>0</v>
      </c>
      <c r="T344" s="302"/>
      <c r="U344" s="303"/>
      <c r="V344" s="305">
        <f t="shared" si="22"/>
        <v>0</v>
      </c>
      <c r="W344" s="305" t="str">
        <f t="shared" si="20"/>
        <v xml:space="preserve"> </v>
      </c>
      <c r="X344" s="288"/>
    </row>
    <row r="345" spans="1:24">
      <c r="A345" s="286">
        <v>51</v>
      </c>
      <c r="C345" s="286" t="s">
        <v>619</v>
      </c>
      <c r="D345" s="286" t="s">
        <v>654</v>
      </c>
      <c r="E345" s="286" t="s">
        <v>599</v>
      </c>
      <c r="F345" s="286">
        <v>27</v>
      </c>
      <c r="G345" s="425">
        <v>997.45</v>
      </c>
      <c r="H345" s="425">
        <v>26.7</v>
      </c>
      <c r="J345" s="289"/>
      <c r="K345" s="289"/>
      <c r="L345" s="291"/>
      <c r="M345" s="291"/>
      <c r="N345" s="300"/>
      <c r="O345" s="296"/>
      <c r="P345" s="294"/>
      <c r="Q345" s="294"/>
      <c r="R345" s="295"/>
      <c r="S345" s="302">
        <f t="shared" si="21"/>
        <v>997.45</v>
      </c>
      <c r="T345" s="302">
        <f t="shared" si="23"/>
        <v>29.923500000000001</v>
      </c>
      <c r="U345" s="303"/>
      <c r="V345" s="305">
        <f t="shared" si="22"/>
        <v>0</v>
      </c>
      <c r="W345" s="305" t="str">
        <f t="shared" si="20"/>
        <v xml:space="preserve"> </v>
      </c>
      <c r="X345" s="288"/>
    </row>
    <row r="346" spans="1:24">
      <c r="A346" s="286">
        <v>51</v>
      </c>
      <c r="C346" s="286" t="s">
        <v>619</v>
      </c>
      <c r="D346" s="286" t="s">
        <v>654</v>
      </c>
      <c r="E346" s="286" t="s">
        <v>601</v>
      </c>
      <c r="F346" s="286">
        <v>27</v>
      </c>
      <c r="G346" s="425">
        <v>6040.97</v>
      </c>
      <c r="H346" s="425">
        <v>120.3</v>
      </c>
      <c r="J346" s="289"/>
      <c r="K346" s="289"/>
      <c r="L346" s="291"/>
      <c r="M346" s="291"/>
      <c r="N346" s="300"/>
      <c r="O346" s="296"/>
      <c r="P346" s="294"/>
      <c r="Q346" s="294"/>
      <c r="R346" s="295"/>
      <c r="S346" s="302">
        <f t="shared" si="21"/>
        <v>6040.97</v>
      </c>
      <c r="T346" s="302">
        <f t="shared" si="23"/>
        <v>181.22909999999999</v>
      </c>
      <c r="U346" s="303"/>
      <c r="V346" s="305">
        <f t="shared" si="22"/>
        <v>0</v>
      </c>
      <c r="W346" s="305" t="str">
        <f t="shared" si="20"/>
        <v xml:space="preserve"> </v>
      </c>
      <c r="X346" s="288"/>
    </row>
    <row r="347" spans="1:24">
      <c r="A347" s="286">
        <v>51</v>
      </c>
      <c r="C347" s="286" t="s">
        <v>619</v>
      </c>
      <c r="D347" s="286" t="s">
        <v>654</v>
      </c>
      <c r="E347" s="286" t="s">
        <v>627</v>
      </c>
      <c r="F347" s="286">
        <v>27</v>
      </c>
      <c r="G347" s="425">
        <v>3210.4</v>
      </c>
      <c r="H347" s="425">
        <v>128</v>
      </c>
      <c r="J347" s="289"/>
      <c r="K347" s="289"/>
      <c r="L347" s="291"/>
      <c r="M347" s="291"/>
      <c r="N347" s="300"/>
      <c r="O347" s="296"/>
      <c r="P347" s="294"/>
      <c r="Q347" s="294"/>
      <c r="R347" s="295"/>
      <c r="S347" s="302">
        <f t="shared" si="21"/>
        <v>0</v>
      </c>
      <c r="T347" s="302"/>
      <c r="U347" s="303"/>
      <c r="V347" s="305">
        <f t="shared" si="22"/>
        <v>0</v>
      </c>
      <c r="W347" s="305" t="str">
        <f t="shared" si="20"/>
        <v xml:space="preserve"> </v>
      </c>
      <c r="X347" s="288"/>
    </row>
    <row r="348" spans="1:24">
      <c r="A348" s="286">
        <v>51</v>
      </c>
      <c r="C348" s="286" t="s">
        <v>619</v>
      </c>
      <c r="D348" s="286" t="s">
        <v>654</v>
      </c>
      <c r="E348" s="286" t="s">
        <v>630</v>
      </c>
      <c r="F348" s="286">
        <v>27</v>
      </c>
      <c r="G348" s="425">
        <v>4040.6400000000012</v>
      </c>
      <c r="H348" s="425">
        <v>160</v>
      </c>
      <c r="J348" s="289"/>
      <c r="K348" s="289"/>
      <c r="L348" s="291"/>
      <c r="M348" s="291"/>
      <c r="N348" s="300"/>
      <c r="O348" s="296"/>
      <c r="P348" s="294"/>
      <c r="Q348" s="294"/>
      <c r="R348" s="295"/>
      <c r="S348" s="302">
        <f t="shared" si="21"/>
        <v>0</v>
      </c>
      <c r="T348" s="302"/>
      <c r="U348" s="303"/>
      <c r="V348" s="305">
        <f t="shared" si="22"/>
        <v>0</v>
      </c>
      <c r="W348" s="305" t="str">
        <f t="shared" si="20"/>
        <v xml:space="preserve"> </v>
      </c>
      <c r="X348" s="288"/>
    </row>
    <row r="349" spans="1:24">
      <c r="A349" s="286">
        <v>51</v>
      </c>
      <c r="C349" s="286" t="s">
        <v>619</v>
      </c>
      <c r="D349" s="286" t="s">
        <v>654</v>
      </c>
      <c r="E349" s="286" t="s">
        <v>633</v>
      </c>
      <c r="F349" s="286">
        <v>27</v>
      </c>
      <c r="G349" s="425">
        <v>2598.7200000000007</v>
      </c>
      <c r="H349" s="425">
        <v>104</v>
      </c>
      <c r="J349" s="289"/>
      <c r="K349" s="289"/>
      <c r="L349" s="291"/>
      <c r="M349" s="291"/>
      <c r="N349" s="300"/>
      <c r="O349" s="296"/>
      <c r="P349" s="294"/>
      <c r="Q349" s="294"/>
      <c r="R349" s="295"/>
      <c r="S349" s="302">
        <f t="shared" si="21"/>
        <v>0</v>
      </c>
      <c r="T349" s="302"/>
      <c r="U349" s="303"/>
      <c r="V349" s="305">
        <f t="shared" si="22"/>
        <v>0</v>
      </c>
      <c r="W349" s="305" t="str">
        <f t="shared" si="20"/>
        <v xml:space="preserve"> </v>
      </c>
      <c r="X349" s="288"/>
    </row>
    <row r="350" spans="1:24">
      <c r="A350" s="286">
        <v>51</v>
      </c>
      <c r="C350" s="286" t="s">
        <v>619</v>
      </c>
      <c r="D350" s="286" t="s">
        <v>654</v>
      </c>
      <c r="E350" s="286" t="s">
        <v>634</v>
      </c>
      <c r="F350" s="286">
        <v>27</v>
      </c>
      <c r="G350" s="425">
        <v>383.68</v>
      </c>
      <c r="H350" s="425">
        <v>16</v>
      </c>
      <c r="J350" s="289"/>
      <c r="K350" s="289"/>
      <c r="L350" s="291"/>
      <c r="M350" s="291"/>
      <c r="N350" s="300"/>
      <c r="O350" s="296"/>
      <c r="P350" s="294"/>
      <c r="Q350" s="294"/>
      <c r="R350" s="295"/>
      <c r="S350" s="302">
        <f t="shared" si="21"/>
        <v>0</v>
      </c>
      <c r="T350" s="302"/>
      <c r="U350" s="303"/>
      <c r="V350" s="305">
        <f t="shared" si="22"/>
        <v>0</v>
      </c>
      <c r="W350" s="305" t="str">
        <f t="shared" si="20"/>
        <v xml:space="preserve"> </v>
      </c>
      <c r="X350" s="288"/>
    </row>
    <row r="351" spans="1:24">
      <c r="A351" s="286">
        <v>51</v>
      </c>
      <c r="C351" s="286" t="s">
        <v>619</v>
      </c>
      <c r="D351" s="286" t="s">
        <v>654</v>
      </c>
      <c r="E351" s="286" t="s">
        <v>611</v>
      </c>
      <c r="F351" s="286">
        <v>27</v>
      </c>
      <c r="G351" s="425">
        <v>532</v>
      </c>
      <c r="H351" s="425">
        <v>0</v>
      </c>
      <c r="J351" s="289"/>
      <c r="K351" s="289"/>
      <c r="L351" s="291"/>
      <c r="M351" s="291"/>
      <c r="N351" s="300"/>
      <c r="O351" s="296"/>
      <c r="P351" s="294"/>
      <c r="Q351" s="294"/>
      <c r="R351" s="295"/>
      <c r="S351" s="302">
        <f t="shared" si="21"/>
        <v>0</v>
      </c>
      <c r="T351" s="302"/>
      <c r="U351" s="303"/>
      <c r="V351" s="305">
        <f t="shared" si="22"/>
        <v>532</v>
      </c>
      <c r="W351" s="305" t="str">
        <f t="shared" si="20"/>
        <v xml:space="preserve"> </v>
      </c>
      <c r="X351" s="288"/>
    </row>
    <row r="352" spans="1:24">
      <c r="A352" s="286">
        <v>51</v>
      </c>
      <c r="C352" s="286" t="s">
        <v>619</v>
      </c>
      <c r="D352" s="286" t="s">
        <v>654</v>
      </c>
      <c r="E352" s="286" t="s">
        <v>623</v>
      </c>
      <c r="F352" s="286">
        <v>27</v>
      </c>
      <c r="G352" s="425">
        <v>250</v>
      </c>
      <c r="H352" s="425">
        <v>0</v>
      </c>
      <c r="J352" s="289"/>
      <c r="K352" s="289"/>
      <c r="L352" s="291"/>
      <c r="M352" s="291"/>
      <c r="N352" s="300"/>
      <c r="O352" s="296"/>
      <c r="P352" s="294"/>
      <c r="Q352" s="294"/>
      <c r="R352" s="295"/>
      <c r="S352" s="302">
        <f t="shared" si="21"/>
        <v>0</v>
      </c>
      <c r="T352" s="302"/>
      <c r="U352" s="303"/>
      <c r="V352" s="305">
        <f t="shared" si="22"/>
        <v>250</v>
      </c>
      <c r="W352" s="305" t="str">
        <f t="shared" si="20"/>
        <v xml:space="preserve"> </v>
      </c>
      <c r="X352" s="288"/>
    </row>
    <row r="353" spans="1:24">
      <c r="A353" s="286">
        <v>51</v>
      </c>
      <c r="C353" s="286" t="s">
        <v>619</v>
      </c>
      <c r="D353" s="286" t="s">
        <v>654</v>
      </c>
      <c r="E353" s="286" t="s">
        <v>625</v>
      </c>
      <c r="F353" s="286">
        <v>27</v>
      </c>
      <c r="G353" s="425">
        <v>1200</v>
      </c>
      <c r="H353" s="425">
        <v>0</v>
      </c>
      <c r="J353" s="289"/>
      <c r="K353" s="289"/>
      <c r="L353" s="291"/>
      <c r="M353" s="291"/>
      <c r="N353" s="300"/>
      <c r="O353" s="296"/>
      <c r="P353" s="294"/>
      <c r="Q353" s="294"/>
      <c r="R353" s="295"/>
      <c r="S353" s="302">
        <f t="shared" si="21"/>
        <v>0</v>
      </c>
      <c r="T353" s="302"/>
      <c r="U353" s="303"/>
      <c r="V353" s="305">
        <f t="shared" si="22"/>
        <v>1200</v>
      </c>
      <c r="W353" s="305">
        <f t="shared" si="20"/>
        <v>300</v>
      </c>
      <c r="X353" s="288"/>
    </row>
    <row r="354" spans="1:24">
      <c r="A354" s="286">
        <v>51</v>
      </c>
      <c r="C354" s="286" t="s">
        <v>619</v>
      </c>
      <c r="D354" s="286" t="s">
        <v>654</v>
      </c>
      <c r="E354" s="286" t="s">
        <v>629</v>
      </c>
      <c r="F354" s="286">
        <v>27</v>
      </c>
      <c r="G354" s="425">
        <v>3500</v>
      </c>
      <c r="H354" s="425">
        <v>0</v>
      </c>
      <c r="J354" s="289"/>
      <c r="K354" s="289"/>
      <c r="L354" s="291"/>
      <c r="M354" s="291"/>
      <c r="N354" s="300"/>
      <c r="O354" s="296"/>
      <c r="P354" s="294"/>
      <c r="Q354" s="294"/>
      <c r="R354" s="295"/>
      <c r="S354" s="302">
        <f t="shared" si="21"/>
        <v>0</v>
      </c>
      <c r="T354" s="302"/>
      <c r="U354" s="303"/>
      <c r="V354" s="305">
        <f t="shared" si="22"/>
        <v>3500</v>
      </c>
      <c r="W354" s="305" t="str">
        <f t="shared" si="20"/>
        <v xml:space="preserve"> </v>
      </c>
      <c r="X354" s="288"/>
    </row>
    <row r="355" spans="1:24">
      <c r="A355" s="286">
        <v>51</v>
      </c>
      <c r="C355" s="286" t="s">
        <v>619</v>
      </c>
      <c r="D355" s="286" t="s">
        <v>654</v>
      </c>
      <c r="E355" s="286" t="s">
        <v>636</v>
      </c>
      <c r="F355" s="286">
        <v>27</v>
      </c>
      <c r="G355" s="425">
        <v>133.66999999999999</v>
      </c>
      <c r="H355" s="425">
        <v>0</v>
      </c>
      <c r="J355" s="289"/>
      <c r="K355" s="289"/>
      <c r="L355" s="291"/>
      <c r="M355" s="291"/>
      <c r="N355" s="300"/>
      <c r="O355" s="296"/>
      <c r="P355" s="294"/>
      <c r="Q355" s="294"/>
      <c r="R355" s="295"/>
      <c r="S355" s="302">
        <f t="shared" si="21"/>
        <v>0</v>
      </c>
      <c r="T355" s="302"/>
      <c r="U355" s="303"/>
      <c r="V355" s="305">
        <f t="shared" si="22"/>
        <v>0</v>
      </c>
      <c r="W355" s="305" t="str">
        <f t="shared" si="20"/>
        <v xml:space="preserve"> </v>
      </c>
      <c r="X355" s="288"/>
    </row>
    <row r="356" spans="1:24">
      <c r="A356" s="286">
        <v>51</v>
      </c>
      <c r="C356" s="286" t="s">
        <v>619</v>
      </c>
      <c r="D356" s="286" t="s">
        <v>654</v>
      </c>
      <c r="E356" s="286" t="s">
        <v>632</v>
      </c>
      <c r="F356" s="286">
        <v>27</v>
      </c>
      <c r="G356" s="425">
        <v>8289.6299999999992</v>
      </c>
      <c r="H356" s="425">
        <v>0</v>
      </c>
      <c r="J356" s="289"/>
      <c r="K356" s="289"/>
      <c r="L356" s="291"/>
      <c r="M356" s="291"/>
      <c r="N356" s="300"/>
      <c r="O356" s="296"/>
      <c r="P356" s="294"/>
      <c r="Q356" s="294"/>
      <c r="R356" s="295"/>
      <c r="S356" s="302">
        <f t="shared" si="21"/>
        <v>0</v>
      </c>
      <c r="T356" s="302"/>
      <c r="U356" s="303"/>
      <c r="V356" s="305">
        <f t="shared" si="22"/>
        <v>8289.6299999999992</v>
      </c>
      <c r="W356" s="305">
        <f t="shared" si="20"/>
        <v>-8289.6299999999992</v>
      </c>
      <c r="X356" s="288"/>
    </row>
    <row r="357" spans="1:24">
      <c r="A357" s="286">
        <v>52</v>
      </c>
      <c r="C357" s="286" t="s">
        <v>644</v>
      </c>
      <c r="D357" s="286"/>
      <c r="E357" s="286" t="s">
        <v>598</v>
      </c>
      <c r="F357" s="286">
        <f>IF(VLOOKUP(A357,'WP-5 Payroll Data'!$K$11:$O$151,3,FALSE)&gt;26,26,VLOOKUP(A357,'WP-5 Payroll Data'!$K$11:$O$151,3,FALSE))</f>
        <v>26</v>
      </c>
      <c r="G357" s="425">
        <v>8058.5900000000011</v>
      </c>
      <c r="H357" s="425">
        <v>439.57</v>
      </c>
      <c r="J357" s="289">
        <f>VLOOKUP(A357,'WP-5 Payroll Data'!$K$11:$O$151,4,FALSE)</f>
        <v>9417.67</v>
      </c>
      <c r="K357" s="289">
        <f>VLOOKUP(A357,'WP-5 Payroll Data'!$K$11:$O$151,5,FALSE)</f>
        <v>514.01</v>
      </c>
      <c r="L357" s="289">
        <f>J357/K357</f>
        <v>18.321958716756484</v>
      </c>
      <c r="M357" s="289"/>
      <c r="N357" s="300">
        <f>IF((K357/F357)*26&gt;1500,2080,IF((K357/F357)*26&gt;300,520,IF((K357/F357)*26&gt;100,260,K357)))</f>
        <v>520</v>
      </c>
      <c r="O357" s="296">
        <f>N357*L357</f>
        <v>9527.418532713371</v>
      </c>
      <c r="P357" s="294"/>
      <c r="Q357" s="294">
        <f>O357*0.03</f>
        <v>285.82255598140114</v>
      </c>
      <c r="R357" s="295"/>
      <c r="S357" s="302">
        <f t="shared" si="21"/>
        <v>0</v>
      </c>
      <c r="T357" s="302"/>
      <c r="U357" s="303"/>
      <c r="V357" s="305">
        <f t="shared" si="22"/>
        <v>0</v>
      </c>
      <c r="W357" s="305" t="str">
        <f t="shared" si="20"/>
        <v xml:space="preserve"> </v>
      </c>
      <c r="X357" s="288"/>
    </row>
    <row r="358" spans="1:24">
      <c r="A358" s="286">
        <v>52</v>
      </c>
      <c r="C358" s="286" t="s">
        <v>644</v>
      </c>
      <c r="D358" s="286"/>
      <c r="E358" s="286" t="s">
        <v>599</v>
      </c>
      <c r="F358" s="286">
        <v>26</v>
      </c>
      <c r="G358" s="425">
        <v>461.39999999999986</v>
      </c>
      <c r="H358" s="425">
        <v>16.86</v>
      </c>
      <c r="J358" s="289"/>
      <c r="K358" s="289"/>
      <c r="L358" s="291"/>
      <c r="M358" s="291"/>
      <c r="N358" s="300"/>
      <c r="O358" s="296"/>
      <c r="P358" s="294"/>
      <c r="Q358" s="294"/>
      <c r="R358" s="295"/>
      <c r="S358" s="302">
        <f t="shared" si="21"/>
        <v>461.39999999999986</v>
      </c>
      <c r="T358" s="302">
        <f t="shared" si="23"/>
        <v>13.841999999999995</v>
      </c>
      <c r="U358" s="303"/>
      <c r="V358" s="305">
        <f t="shared" si="22"/>
        <v>0</v>
      </c>
      <c r="W358" s="305" t="str">
        <f t="shared" si="20"/>
        <v xml:space="preserve"> </v>
      </c>
      <c r="X358" s="288"/>
    </row>
    <row r="359" spans="1:24">
      <c r="A359" s="286">
        <v>52</v>
      </c>
      <c r="C359" s="286" t="s">
        <v>644</v>
      </c>
      <c r="D359" s="286"/>
      <c r="E359" s="286" t="s">
        <v>605</v>
      </c>
      <c r="F359" s="286">
        <v>26</v>
      </c>
      <c r="G359" s="425">
        <v>864.94</v>
      </c>
      <c r="H359" s="425">
        <v>47.5</v>
      </c>
      <c r="J359" s="289"/>
      <c r="K359" s="289"/>
      <c r="L359" s="291"/>
      <c r="M359" s="291"/>
      <c r="N359" s="300"/>
      <c r="O359" s="296"/>
      <c r="P359" s="294"/>
      <c r="Q359" s="294"/>
      <c r="R359" s="295"/>
      <c r="S359" s="302">
        <f t="shared" si="21"/>
        <v>0</v>
      </c>
      <c r="T359" s="302"/>
      <c r="U359" s="303"/>
      <c r="V359" s="305">
        <f t="shared" si="22"/>
        <v>0</v>
      </c>
      <c r="W359" s="305" t="str">
        <f t="shared" si="20"/>
        <v xml:space="preserve"> </v>
      </c>
      <c r="X359" s="288"/>
    </row>
    <row r="360" spans="1:24">
      <c r="A360" s="286">
        <v>52</v>
      </c>
      <c r="C360" s="286" t="s">
        <v>644</v>
      </c>
      <c r="D360" s="286"/>
      <c r="E360" s="286" t="s">
        <v>608</v>
      </c>
      <c r="F360" s="286">
        <v>26</v>
      </c>
      <c r="G360" s="425">
        <v>200.64000000000001</v>
      </c>
      <c r="H360" s="425">
        <v>10.94</v>
      </c>
      <c r="J360" s="289"/>
      <c r="K360" s="289"/>
      <c r="L360" s="291"/>
      <c r="M360" s="291"/>
      <c r="N360" s="300"/>
      <c r="O360" s="296"/>
      <c r="P360" s="294"/>
      <c r="Q360" s="294"/>
      <c r="R360" s="295"/>
      <c r="S360" s="302">
        <f t="shared" si="21"/>
        <v>0</v>
      </c>
      <c r="T360" s="302"/>
      <c r="U360" s="303"/>
      <c r="V360" s="305">
        <f t="shared" si="22"/>
        <v>0</v>
      </c>
      <c r="W360" s="305" t="str">
        <f t="shared" si="20"/>
        <v xml:space="preserve"> </v>
      </c>
      <c r="X360" s="288"/>
    </row>
    <row r="361" spans="1:24">
      <c r="A361" s="286">
        <v>52</v>
      </c>
      <c r="C361" s="286" t="s">
        <v>644</v>
      </c>
      <c r="D361" s="286"/>
      <c r="E361" s="286" t="s">
        <v>602</v>
      </c>
      <c r="F361" s="286">
        <v>26</v>
      </c>
      <c r="G361" s="425">
        <v>110.06</v>
      </c>
      <c r="H361" s="425">
        <v>6</v>
      </c>
      <c r="J361" s="289"/>
      <c r="K361" s="289"/>
      <c r="L361" s="291"/>
      <c r="M361" s="291"/>
      <c r="N361" s="300"/>
      <c r="O361" s="296"/>
      <c r="P361" s="294"/>
      <c r="Q361" s="294"/>
      <c r="R361" s="295"/>
      <c r="S361" s="302">
        <f t="shared" si="21"/>
        <v>0</v>
      </c>
      <c r="T361" s="302"/>
      <c r="U361" s="303"/>
      <c r="V361" s="305">
        <f t="shared" si="22"/>
        <v>110.06</v>
      </c>
      <c r="W361" s="305" t="str">
        <f t="shared" si="20"/>
        <v xml:space="preserve"> </v>
      </c>
      <c r="X361" s="288"/>
    </row>
    <row r="362" spans="1:24">
      <c r="A362" s="286">
        <v>52</v>
      </c>
      <c r="C362" s="286" t="s">
        <v>644</v>
      </c>
      <c r="D362" s="286"/>
      <c r="E362" s="286" t="s">
        <v>610</v>
      </c>
      <c r="F362" s="286">
        <v>26</v>
      </c>
      <c r="G362" s="425">
        <v>110.07</v>
      </c>
      <c r="H362" s="425">
        <v>6</v>
      </c>
      <c r="J362" s="289"/>
      <c r="K362" s="289"/>
      <c r="L362" s="291"/>
      <c r="M362" s="291"/>
      <c r="N362" s="300"/>
      <c r="O362" s="296"/>
      <c r="P362" s="294"/>
      <c r="Q362" s="294"/>
      <c r="R362" s="295"/>
      <c r="S362" s="302">
        <f t="shared" si="21"/>
        <v>0</v>
      </c>
      <c r="T362" s="302"/>
      <c r="U362" s="303"/>
      <c r="V362" s="305">
        <f t="shared" si="22"/>
        <v>0</v>
      </c>
      <c r="W362" s="305" t="str">
        <f t="shared" si="20"/>
        <v xml:space="preserve"> </v>
      </c>
      <c r="X362" s="288"/>
    </row>
    <row r="363" spans="1:24">
      <c r="A363" s="286">
        <v>52</v>
      </c>
      <c r="C363" s="286" t="s">
        <v>644</v>
      </c>
      <c r="D363" s="286"/>
      <c r="E363" s="286" t="s">
        <v>638</v>
      </c>
      <c r="F363" s="286">
        <v>26</v>
      </c>
      <c r="G363" s="425">
        <v>183.43</v>
      </c>
      <c r="H363" s="425">
        <v>10</v>
      </c>
      <c r="J363" s="289"/>
      <c r="K363" s="289"/>
      <c r="L363" s="291"/>
      <c r="M363" s="291"/>
      <c r="N363" s="300"/>
      <c r="O363" s="296"/>
      <c r="P363" s="294"/>
      <c r="Q363" s="294"/>
      <c r="R363" s="295"/>
      <c r="S363" s="302">
        <f t="shared" si="21"/>
        <v>0</v>
      </c>
      <c r="T363" s="302"/>
      <c r="U363" s="303"/>
      <c r="V363" s="305">
        <f t="shared" si="22"/>
        <v>0</v>
      </c>
      <c r="W363" s="305" t="str">
        <f t="shared" si="20"/>
        <v xml:space="preserve"> </v>
      </c>
      <c r="X363" s="288"/>
    </row>
    <row r="364" spans="1:24">
      <c r="A364" s="286">
        <v>52</v>
      </c>
      <c r="C364" s="286" t="s">
        <v>644</v>
      </c>
      <c r="D364" s="286"/>
      <c r="E364" s="286" t="s">
        <v>614</v>
      </c>
      <c r="F364" s="286">
        <v>26</v>
      </c>
      <c r="G364" s="425">
        <v>62.5</v>
      </c>
      <c r="H364" s="425">
        <v>0</v>
      </c>
      <c r="J364" s="289"/>
      <c r="K364" s="289"/>
      <c r="L364" s="291"/>
      <c r="M364" s="291"/>
      <c r="N364" s="300"/>
      <c r="O364" s="296"/>
      <c r="P364" s="294"/>
      <c r="Q364" s="294"/>
      <c r="R364" s="295"/>
      <c r="S364" s="302">
        <f t="shared" si="21"/>
        <v>0</v>
      </c>
      <c r="T364" s="302"/>
      <c r="U364" s="303"/>
      <c r="V364" s="305">
        <f t="shared" si="22"/>
        <v>62.5</v>
      </c>
      <c r="W364" s="305" t="str">
        <f t="shared" si="20"/>
        <v xml:space="preserve"> </v>
      </c>
      <c r="X364" s="288"/>
    </row>
    <row r="365" spans="1:24">
      <c r="A365" s="286">
        <v>52</v>
      </c>
      <c r="C365" s="286" t="s">
        <v>644</v>
      </c>
      <c r="D365" s="286"/>
      <c r="E365" s="286" t="s">
        <v>616</v>
      </c>
      <c r="F365" s="286">
        <v>26</v>
      </c>
      <c r="G365" s="425">
        <v>1250</v>
      </c>
      <c r="H365" s="425">
        <v>0</v>
      </c>
      <c r="J365" s="289"/>
      <c r="K365" s="289"/>
      <c r="L365" s="291"/>
      <c r="M365" s="291"/>
      <c r="N365" s="300"/>
      <c r="O365" s="296"/>
      <c r="P365" s="294"/>
      <c r="Q365" s="294"/>
      <c r="R365" s="295"/>
      <c r="S365" s="302">
        <f t="shared" si="21"/>
        <v>0</v>
      </c>
      <c r="T365" s="302"/>
      <c r="U365" s="303"/>
      <c r="V365" s="305">
        <f t="shared" si="22"/>
        <v>1250</v>
      </c>
      <c r="W365" s="305">
        <f t="shared" si="20"/>
        <v>312.5</v>
      </c>
      <c r="X365" s="288"/>
    </row>
    <row r="366" spans="1:24">
      <c r="A366" s="286">
        <v>53</v>
      </c>
      <c r="C366" s="286" t="s">
        <v>597</v>
      </c>
      <c r="D366" s="286"/>
      <c r="E366" s="286" t="s">
        <v>598</v>
      </c>
      <c r="F366" s="286">
        <f>IF(VLOOKUP(A366,'WP-5 Payroll Data'!$K$11:$O$151,3,FALSE)&gt;26,26,VLOOKUP(A366,'WP-5 Payroll Data'!$K$11:$O$151,3,FALSE))</f>
        <v>26</v>
      </c>
      <c r="G366" s="425">
        <v>8461.899999999996</v>
      </c>
      <c r="H366" s="425">
        <v>260</v>
      </c>
      <c r="J366" s="289">
        <f>VLOOKUP(A366,'WP-5 Payroll Data'!$K$11:$O$151,4,FALSE)</f>
        <v>8461.899999999996</v>
      </c>
      <c r="K366" s="289">
        <f>VLOOKUP(A366,'WP-5 Payroll Data'!$K$11:$O$151,5,FALSE)</f>
        <v>260</v>
      </c>
      <c r="L366" s="289">
        <f>J366/K366</f>
        <v>32.545769230769217</v>
      </c>
      <c r="M366" s="289"/>
      <c r="N366" s="300">
        <f>IF((K366/F366)*26&gt;1500,2080,IF((K366/F366)*26&gt;300,520,IF((K366/F366)*26&gt;100,260,K366)))</f>
        <v>260</v>
      </c>
      <c r="O366" s="296">
        <f>N366*L366</f>
        <v>8461.899999999996</v>
      </c>
      <c r="P366" s="294"/>
      <c r="Q366" s="294">
        <f>O366*0.03</f>
        <v>253.85699999999986</v>
      </c>
      <c r="R366" s="295"/>
      <c r="S366" s="302">
        <f t="shared" si="21"/>
        <v>0</v>
      </c>
      <c r="T366" s="302"/>
      <c r="U366" s="303"/>
      <c r="V366" s="305">
        <f t="shared" si="22"/>
        <v>0</v>
      </c>
      <c r="W366" s="305" t="str">
        <f t="shared" si="20"/>
        <v xml:space="preserve"> </v>
      </c>
      <c r="X366" s="288"/>
    </row>
    <row r="367" spans="1:24">
      <c r="A367" s="286">
        <v>53</v>
      </c>
      <c r="C367" s="286" t="s">
        <v>597</v>
      </c>
      <c r="D367" s="286"/>
      <c r="E367" s="286" t="s">
        <v>624</v>
      </c>
      <c r="F367" s="286">
        <v>26</v>
      </c>
      <c r="G367" s="425">
        <v>87.5</v>
      </c>
      <c r="H367" s="425">
        <v>0</v>
      </c>
      <c r="J367" s="289"/>
      <c r="K367" s="289"/>
      <c r="L367" s="291"/>
      <c r="M367" s="291"/>
      <c r="N367" s="300"/>
      <c r="O367" s="296"/>
      <c r="P367" s="294"/>
      <c r="Q367" s="294"/>
      <c r="R367" s="295"/>
      <c r="S367" s="302">
        <f t="shared" si="21"/>
        <v>0</v>
      </c>
      <c r="T367" s="302"/>
      <c r="U367" s="303"/>
      <c r="V367" s="305">
        <f t="shared" si="22"/>
        <v>87.5</v>
      </c>
      <c r="W367" s="305">
        <f t="shared" si="20"/>
        <v>21.875</v>
      </c>
      <c r="X367" s="288"/>
    </row>
    <row r="368" spans="1:24">
      <c r="A368" s="286">
        <v>54</v>
      </c>
      <c r="C368" s="286" t="s">
        <v>644</v>
      </c>
      <c r="D368" s="286"/>
      <c r="E368" s="286" t="s">
        <v>598</v>
      </c>
      <c r="F368" s="286">
        <f>IF(VLOOKUP(A368,'WP-5 Payroll Data'!$K$11:$O$151,3,FALSE)&gt;26,26,VLOOKUP(A368,'WP-5 Payroll Data'!$K$11:$O$151,3,FALSE))</f>
        <v>18</v>
      </c>
      <c r="G368" s="425">
        <v>4365</v>
      </c>
      <c r="H368" s="425">
        <v>233.69</v>
      </c>
      <c r="J368" s="289">
        <f>VLOOKUP(A368,'WP-5 Payroll Data'!$K$11:$O$151,4,FALSE)</f>
        <v>8306.0399999999991</v>
      </c>
      <c r="K368" s="289">
        <f>VLOOKUP(A368,'WP-5 Payroll Data'!$K$11:$O$151,5,FALSE)</f>
        <v>437.73</v>
      </c>
      <c r="L368" s="289">
        <f>J368/K368</f>
        <v>18.97525872112946</v>
      </c>
      <c r="M368" s="289"/>
      <c r="N368" s="300">
        <f>IF((K368/F368)*26&gt;1500,2080,IF((K368/F368)*26&gt;300,520,IF((K368/F368)*26&gt;100,260,K368)))</f>
        <v>520</v>
      </c>
      <c r="O368" s="296">
        <f>N368*L368</f>
        <v>9867.1345349873191</v>
      </c>
      <c r="P368" s="294"/>
      <c r="Q368" s="294">
        <f>O368*0.03</f>
        <v>296.01403604961956</v>
      </c>
      <c r="R368" s="295"/>
      <c r="S368" s="302">
        <f t="shared" si="21"/>
        <v>0</v>
      </c>
      <c r="T368" s="302"/>
      <c r="U368" s="303"/>
      <c r="V368" s="305">
        <f t="shared" si="22"/>
        <v>0</v>
      </c>
      <c r="W368" s="305" t="str">
        <f t="shared" si="20"/>
        <v xml:space="preserve"> </v>
      </c>
      <c r="X368" s="288"/>
    </row>
    <row r="369" spans="1:24">
      <c r="A369" s="286">
        <v>54</v>
      </c>
      <c r="C369" s="286" t="s">
        <v>644</v>
      </c>
      <c r="D369" s="286"/>
      <c r="E369" s="286" t="s">
        <v>645</v>
      </c>
      <c r="F369" s="286">
        <v>18</v>
      </c>
      <c r="G369" s="425">
        <v>1247.3299999999997</v>
      </c>
      <c r="H369" s="425">
        <v>60</v>
      </c>
      <c r="J369" s="289"/>
      <c r="K369" s="289"/>
      <c r="L369" s="291"/>
      <c r="M369" s="291"/>
      <c r="N369" s="300"/>
      <c r="O369" s="296"/>
      <c r="P369" s="294"/>
      <c r="Q369" s="294"/>
      <c r="R369" s="295"/>
      <c r="S369" s="302">
        <f t="shared" si="21"/>
        <v>0</v>
      </c>
      <c r="T369" s="302"/>
      <c r="U369" s="303"/>
      <c r="V369" s="305">
        <f t="shared" si="22"/>
        <v>0</v>
      </c>
      <c r="W369" s="305" t="str">
        <f t="shared" si="20"/>
        <v xml:space="preserve"> </v>
      </c>
      <c r="X369" s="288"/>
    </row>
    <row r="370" spans="1:24">
      <c r="A370" s="286">
        <v>54</v>
      </c>
      <c r="C370" s="286" t="s">
        <v>644</v>
      </c>
      <c r="D370" s="286"/>
      <c r="E370" s="286" t="s">
        <v>599</v>
      </c>
      <c r="F370" s="286">
        <v>18</v>
      </c>
      <c r="G370" s="425">
        <v>780.9799999999999</v>
      </c>
      <c r="H370" s="425">
        <v>26.740000000000006</v>
      </c>
      <c r="J370" s="289"/>
      <c r="K370" s="289"/>
      <c r="L370" s="291"/>
      <c r="M370" s="291"/>
      <c r="N370" s="300"/>
      <c r="O370" s="296"/>
      <c r="P370" s="294"/>
      <c r="Q370" s="294"/>
      <c r="R370" s="295"/>
      <c r="S370" s="302">
        <f t="shared" si="21"/>
        <v>780.9799999999999</v>
      </c>
      <c r="T370" s="302">
        <f t="shared" si="23"/>
        <v>23.429399999999998</v>
      </c>
      <c r="U370" s="303"/>
      <c r="V370" s="305">
        <f t="shared" si="22"/>
        <v>0</v>
      </c>
      <c r="W370" s="305" t="str">
        <f t="shared" si="20"/>
        <v xml:space="preserve"> </v>
      </c>
      <c r="X370" s="288"/>
    </row>
    <row r="371" spans="1:24">
      <c r="A371" s="286">
        <v>54</v>
      </c>
      <c r="C371" s="286" t="s">
        <v>644</v>
      </c>
      <c r="D371" s="286"/>
      <c r="E371" s="286" t="s">
        <v>605</v>
      </c>
      <c r="F371" s="286">
        <v>18</v>
      </c>
      <c r="G371" s="425">
        <v>710.7</v>
      </c>
      <c r="H371" s="425">
        <v>38</v>
      </c>
      <c r="J371" s="289"/>
      <c r="K371" s="289"/>
      <c r="L371" s="291"/>
      <c r="M371" s="291"/>
      <c r="N371" s="300"/>
      <c r="O371" s="296"/>
      <c r="P371" s="294"/>
      <c r="Q371" s="294"/>
      <c r="R371" s="295"/>
      <c r="S371" s="302">
        <f t="shared" si="21"/>
        <v>0</v>
      </c>
      <c r="T371" s="302"/>
      <c r="U371" s="303"/>
      <c r="V371" s="305">
        <f t="shared" si="22"/>
        <v>0</v>
      </c>
      <c r="W371" s="305" t="str">
        <f t="shared" si="20"/>
        <v xml:space="preserve"> </v>
      </c>
      <c r="X371" s="288"/>
    </row>
    <row r="372" spans="1:24">
      <c r="A372" s="286">
        <v>54</v>
      </c>
      <c r="C372" s="286" t="s">
        <v>644</v>
      </c>
      <c r="D372" s="286"/>
      <c r="E372" s="286" t="s">
        <v>608</v>
      </c>
      <c r="F372" s="286">
        <v>18</v>
      </c>
      <c r="G372" s="425">
        <v>305.08</v>
      </c>
      <c r="H372" s="425">
        <v>16.32</v>
      </c>
      <c r="J372" s="289"/>
      <c r="K372" s="289"/>
      <c r="L372" s="291"/>
      <c r="M372" s="291"/>
      <c r="N372" s="300"/>
      <c r="O372" s="296"/>
      <c r="P372" s="294"/>
      <c r="Q372" s="294"/>
      <c r="R372" s="295"/>
      <c r="S372" s="302">
        <f t="shared" si="21"/>
        <v>0</v>
      </c>
      <c r="T372" s="302"/>
      <c r="U372" s="303"/>
      <c r="V372" s="305">
        <f t="shared" si="22"/>
        <v>0</v>
      </c>
      <c r="W372" s="305" t="str">
        <f t="shared" si="20"/>
        <v xml:space="preserve"> </v>
      </c>
      <c r="X372" s="288"/>
    </row>
    <row r="373" spans="1:24">
      <c r="A373" s="286">
        <v>54</v>
      </c>
      <c r="C373" s="286" t="s">
        <v>644</v>
      </c>
      <c r="D373" s="286"/>
      <c r="E373" s="286" t="s">
        <v>665</v>
      </c>
      <c r="F373" s="286">
        <v>18</v>
      </c>
      <c r="G373" s="425">
        <v>1565.72</v>
      </c>
      <c r="H373" s="425">
        <v>83.72</v>
      </c>
      <c r="J373" s="289"/>
      <c r="K373" s="289"/>
      <c r="L373" s="291"/>
      <c r="M373" s="291"/>
      <c r="N373" s="300"/>
      <c r="O373" s="296"/>
      <c r="P373" s="294"/>
      <c r="Q373" s="294"/>
      <c r="R373" s="295"/>
      <c r="S373" s="302">
        <f t="shared" si="21"/>
        <v>0</v>
      </c>
      <c r="T373" s="302"/>
      <c r="U373" s="303"/>
      <c r="V373" s="305">
        <f t="shared" si="22"/>
        <v>0</v>
      </c>
      <c r="W373" s="305" t="str">
        <f t="shared" si="20"/>
        <v xml:space="preserve"> </v>
      </c>
      <c r="X373" s="288"/>
    </row>
    <row r="374" spans="1:24">
      <c r="A374" s="286">
        <v>54</v>
      </c>
      <c r="C374" s="286" t="s">
        <v>644</v>
      </c>
      <c r="D374" s="286"/>
      <c r="E374" s="286" t="s">
        <v>602</v>
      </c>
      <c r="F374" s="286">
        <v>18</v>
      </c>
      <c r="G374" s="425">
        <v>112.22999999999999</v>
      </c>
      <c r="H374" s="425">
        <v>6</v>
      </c>
      <c r="J374" s="289"/>
      <c r="K374" s="289"/>
      <c r="L374" s="291"/>
      <c r="M374" s="291"/>
      <c r="N374" s="300"/>
      <c r="O374" s="296"/>
      <c r="P374" s="294"/>
      <c r="Q374" s="294"/>
      <c r="R374" s="295"/>
      <c r="S374" s="302">
        <f t="shared" si="21"/>
        <v>0</v>
      </c>
      <c r="T374" s="302"/>
      <c r="U374" s="303"/>
      <c r="V374" s="305">
        <f t="shared" si="22"/>
        <v>112.22999999999999</v>
      </c>
      <c r="W374" s="305" t="str">
        <f t="shared" si="20"/>
        <v xml:space="preserve"> </v>
      </c>
      <c r="X374" s="288"/>
    </row>
    <row r="375" spans="1:24">
      <c r="A375" s="286">
        <v>54</v>
      </c>
      <c r="C375" s="286" t="s">
        <v>644</v>
      </c>
      <c r="D375" s="286"/>
      <c r="E375" s="286" t="s">
        <v>610</v>
      </c>
      <c r="F375" s="286">
        <v>18</v>
      </c>
      <c r="G375" s="425">
        <v>112.21</v>
      </c>
      <c r="H375" s="425">
        <v>6</v>
      </c>
      <c r="J375" s="289"/>
      <c r="K375" s="289"/>
      <c r="L375" s="291"/>
      <c r="M375" s="291"/>
      <c r="N375" s="300"/>
      <c r="O375" s="296"/>
      <c r="P375" s="294"/>
      <c r="Q375" s="294"/>
      <c r="R375" s="295"/>
      <c r="S375" s="302">
        <f t="shared" si="21"/>
        <v>0</v>
      </c>
      <c r="T375" s="302"/>
      <c r="U375" s="303"/>
      <c r="V375" s="305">
        <f t="shared" si="22"/>
        <v>0</v>
      </c>
      <c r="W375" s="305" t="str">
        <f t="shared" si="20"/>
        <v xml:space="preserve"> </v>
      </c>
      <c r="X375" s="288"/>
    </row>
    <row r="376" spans="1:24">
      <c r="A376" s="286">
        <v>54</v>
      </c>
      <c r="C376" s="286" t="s">
        <v>644</v>
      </c>
      <c r="D376" s="286"/>
      <c r="E376" s="286" t="s">
        <v>614</v>
      </c>
      <c r="F376" s="286">
        <v>18</v>
      </c>
      <c r="G376" s="425">
        <v>62.5</v>
      </c>
      <c r="H376" s="425">
        <v>0</v>
      </c>
      <c r="J376" s="289"/>
      <c r="K376" s="289"/>
      <c r="L376" s="291"/>
      <c r="M376" s="291"/>
      <c r="N376" s="300"/>
      <c r="O376" s="296"/>
      <c r="P376" s="294"/>
      <c r="Q376" s="294"/>
      <c r="R376" s="295"/>
      <c r="S376" s="302">
        <f t="shared" si="21"/>
        <v>0</v>
      </c>
      <c r="T376" s="302"/>
      <c r="U376" s="303"/>
      <c r="V376" s="305">
        <f t="shared" si="22"/>
        <v>62.5</v>
      </c>
      <c r="W376" s="305" t="str">
        <f t="shared" si="20"/>
        <v xml:space="preserve"> </v>
      </c>
      <c r="X376" s="288"/>
    </row>
    <row r="377" spans="1:24">
      <c r="A377" s="286">
        <v>54</v>
      </c>
      <c r="C377" s="286" t="s">
        <v>644</v>
      </c>
      <c r="D377" s="286"/>
      <c r="E377" s="286" t="s">
        <v>616</v>
      </c>
      <c r="F377" s="286">
        <v>18</v>
      </c>
      <c r="G377" s="425">
        <v>1134.3800000000001</v>
      </c>
      <c r="H377" s="425">
        <v>0</v>
      </c>
      <c r="J377" s="289"/>
      <c r="K377" s="289"/>
      <c r="L377" s="291"/>
      <c r="M377" s="291"/>
      <c r="N377" s="300"/>
      <c r="O377" s="296"/>
      <c r="P377" s="294"/>
      <c r="Q377" s="294"/>
      <c r="R377" s="295"/>
      <c r="S377" s="302">
        <f t="shared" si="21"/>
        <v>0</v>
      </c>
      <c r="T377" s="302"/>
      <c r="U377" s="303"/>
      <c r="V377" s="305">
        <f t="shared" si="22"/>
        <v>1134.3800000000001</v>
      </c>
      <c r="W377" s="305">
        <f t="shared" si="20"/>
        <v>283.59500000000003</v>
      </c>
      <c r="X377" s="288"/>
    </row>
    <row r="378" spans="1:24">
      <c r="A378" s="286">
        <v>55</v>
      </c>
      <c r="C378" s="286" t="s">
        <v>619</v>
      </c>
      <c r="D378" s="286" t="s">
        <v>659</v>
      </c>
      <c r="E378" s="286" t="s">
        <v>621</v>
      </c>
      <c r="F378" s="286">
        <f>IF(VLOOKUP(A378,'WP-5 Payroll Data'!$K$11:$O$151,3,FALSE)&gt;26,26,VLOOKUP(A378,'WP-5 Payroll Data'!$K$11:$O$151,3,FALSE))</f>
        <v>26</v>
      </c>
      <c r="G378" s="425">
        <v>25733.710000000003</v>
      </c>
      <c r="H378" s="425">
        <v>1594.6000000000001</v>
      </c>
      <c r="J378" s="289">
        <f>VLOOKUP(A378,'WP-5 Payroll Data'!$K$11:$O$151,4,FALSE)</f>
        <v>33433.699999999997</v>
      </c>
      <c r="K378" s="289">
        <f>VLOOKUP(A378,'WP-5 Payroll Data'!$K$11:$O$151,5,FALSE)</f>
        <v>2064</v>
      </c>
      <c r="L378" s="289">
        <f>J378/K378</f>
        <v>16.198498062015503</v>
      </c>
      <c r="M378" s="289"/>
      <c r="N378" s="300">
        <f>IF((K378/F378)*26&gt;1500,2080,IF((K378/F378)*26&gt;300,520,IF((K378/F378)*26&gt;100,260,K378)))</f>
        <v>2080</v>
      </c>
      <c r="O378" s="296">
        <f>N378*L378</f>
        <v>33692.875968992244</v>
      </c>
      <c r="P378" s="294"/>
      <c r="Q378" s="294">
        <f>O378*0.03</f>
        <v>1010.7862790697673</v>
      </c>
      <c r="R378" s="295"/>
      <c r="S378" s="302">
        <f t="shared" si="21"/>
        <v>0</v>
      </c>
      <c r="T378" s="302"/>
      <c r="U378" s="303"/>
      <c r="V378" s="305">
        <f t="shared" si="22"/>
        <v>0</v>
      </c>
      <c r="W378" s="305" t="str">
        <f t="shared" si="20"/>
        <v xml:space="preserve"> </v>
      </c>
      <c r="X378" s="288"/>
    </row>
    <row r="379" spans="1:24">
      <c r="A379" s="286">
        <v>55</v>
      </c>
      <c r="C379" s="286" t="s">
        <v>619</v>
      </c>
      <c r="D379" s="286" t="s">
        <v>659</v>
      </c>
      <c r="E379" s="286" t="s">
        <v>605</v>
      </c>
      <c r="F379" s="286">
        <v>27</v>
      </c>
      <c r="G379" s="425">
        <v>126.32</v>
      </c>
      <c r="H379" s="425">
        <v>8</v>
      </c>
      <c r="J379" s="289"/>
      <c r="K379" s="289"/>
      <c r="L379" s="291"/>
      <c r="M379" s="291"/>
      <c r="N379" s="300"/>
      <c r="O379" s="296"/>
      <c r="P379" s="294"/>
      <c r="Q379" s="294"/>
      <c r="R379" s="295"/>
      <c r="S379" s="302">
        <f t="shared" si="21"/>
        <v>0</v>
      </c>
      <c r="T379" s="302"/>
      <c r="U379" s="303"/>
      <c r="V379" s="305">
        <f t="shared" si="22"/>
        <v>0</v>
      </c>
      <c r="W379" s="305" t="str">
        <f t="shared" si="20"/>
        <v xml:space="preserve"> </v>
      </c>
      <c r="X379" s="288"/>
    </row>
    <row r="380" spans="1:24">
      <c r="A380" s="286">
        <v>55</v>
      </c>
      <c r="C380" s="286" t="s">
        <v>619</v>
      </c>
      <c r="D380" s="286" t="s">
        <v>659</v>
      </c>
      <c r="E380" s="286" t="s">
        <v>627</v>
      </c>
      <c r="F380" s="286">
        <v>27</v>
      </c>
      <c r="G380" s="425">
        <v>1777.4399999999998</v>
      </c>
      <c r="H380" s="425">
        <v>112</v>
      </c>
      <c r="J380" s="289"/>
      <c r="K380" s="289"/>
      <c r="L380" s="291"/>
      <c r="M380" s="291"/>
      <c r="N380" s="300"/>
      <c r="O380" s="296"/>
      <c r="P380" s="294"/>
      <c r="Q380" s="294"/>
      <c r="R380" s="295"/>
      <c r="S380" s="302">
        <f t="shared" si="21"/>
        <v>0</v>
      </c>
      <c r="T380" s="302"/>
      <c r="U380" s="303"/>
      <c r="V380" s="305">
        <f t="shared" si="22"/>
        <v>0</v>
      </c>
      <c r="W380" s="305" t="str">
        <f t="shared" si="20"/>
        <v xml:space="preserve"> </v>
      </c>
      <c r="X380" s="288"/>
    </row>
    <row r="381" spans="1:24">
      <c r="A381" s="286">
        <v>55</v>
      </c>
      <c r="C381" s="286" t="s">
        <v>619</v>
      </c>
      <c r="D381" s="286" t="s">
        <v>659</v>
      </c>
      <c r="E381" s="286" t="s">
        <v>630</v>
      </c>
      <c r="F381" s="286">
        <v>27</v>
      </c>
      <c r="G381" s="425">
        <v>3475.89</v>
      </c>
      <c r="H381" s="425">
        <v>213.5</v>
      </c>
      <c r="J381" s="289"/>
      <c r="K381" s="289"/>
      <c r="L381" s="291"/>
      <c r="M381" s="291"/>
      <c r="N381" s="300"/>
      <c r="O381" s="296"/>
      <c r="P381" s="294"/>
      <c r="Q381" s="294"/>
      <c r="R381" s="295"/>
      <c r="S381" s="302">
        <f t="shared" si="21"/>
        <v>0</v>
      </c>
      <c r="T381" s="302"/>
      <c r="U381" s="303"/>
      <c r="V381" s="305">
        <f t="shared" si="22"/>
        <v>0</v>
      </c>
      <c r="W381" s="305" t="str">
        <f t="shared" si="20"/>
        <v xml:space="preserve"> </v>
      </c>
      <c r="X381" s="288"/>
    </row>
    <row r="382" spans="1:24">
      <c r="A382" s="286">
        <v>55</v>
      </c>
      <c r="C382" s="286" t="s">
        <v>619</v>
      </c>
      <c r="D382" s="286" t="s">
        <v>659</v>
      </c>
      <c r="E382" s="286" t="s">
        <v>633</v>
      </c>
      <c r="F382" s="286">
        <v>27</v>
      </c>
      <c r="G382" s="425">
        <v>1813.2799999999995</v>
      </c>
      <c r="H382" s="425">
        <v>112</v>
      </c>
      <c r="J382" s="289"/>
      <c r="K382" s="289"/>
      <c r="L382" s="291"/>
      <c r="M382" s="291"/>
      <c r="N382" s="300"/>
      <c r="O382" s="296"/>
      <c r="P382" s="294"/>
      <c r="Q382" s="294"/>
      <c r="R382" s="295"/>
      <c r="S382" s="302">
        <f t="shared" si="21"/>
        <v>0</v>
      </c>
      <c r="T382" s="302"/>
      <c r="U382" s="303"/>
      <c r="V382" s="305">
        <f t="shared" si="22"/>
        <v>0</v>
      </c>
      <c r="W382" s="305" t="str">
        <f t="shared" si="20"/>
        <v xml:space="preserve"> </v>
      </c>
      <c r="X382" s="288"/>
    </row>
    <row r="383" spans="1:24">
      <c r="A383" s="286">
        <v>55</v>
      </c>
      <c r="C383" s="286" t="s">
        <v>619</v>
      </c>
      <c r="D383" s="286" t="s">
        <v>659</v>
      </c>
      <c r="E383" s="286" t="s">
        <v>634</v>
      </c>
      <c r="F383" s="286">
        <v>27</v>
      </c>
      <c r="G383" s="425">
        <v>380.74</v>
      </c>
      <c r="H383" s="425">
        <v>23.9</v>
      </c>
      <c r="J383" s="289"/>
      <c r="K383" s="289"/>
      <c r="L383" s="291"/>
      <c r="M383" s="291"/>
      <c r="N383" s="300"/>
      <c r="O383" s="296"/>
      <c r="P383" s="294"/>
      <c r="Q383" s="294"/>
      <c r="R383" s="295"/>
      <c r="S383" s="302">
        <f t="shared" si="21"/>
        <v>0</v>
      </c>
      <c r="T383" s="302"/>
      <c r="U383" s="303"/>
      <c r="V383" s="305">
        <f t="shared" si="22"/>
        <v>0</v>
      </c>
      <c r="W383" s="305" t="str">
        <f t="shared" si="20"/>
        <v xml:space="preserve"> </v>
      </c>
      <c r="X383" s="288"/>
    </row>
    <row r="384" spans="1:24">
      <c r="A384" s="286">
        <v>55</v>
      </c>
      <c r="C384" s="286" t="s">
        <v>619</v>
      </c>
      <c r="D384" s="286" t="s">
        <v>659</v>
      </c>
      <c r="E384" s="286" t="s">
        <v>623</v>
      </c>
      <c r="F384" s="286">
        <v>27</v>
      </c>
      <c r="G384" s="425">
        <v>250</v>
      </c>
      <c r="H384" s="425">
        <v>0</v>
      </c>
      <c r="J384" s="289"/>
      <c r="K384" s="289"/>
      <c r="L384" s="291"/>
      <c r="M384" s="291"/>
      <c r="N384" s="300"/>
      <c r="O384" s="296"/>
      <c r="P384" s="294"/>
      <c r="Q384" s="294"/>
      <c r="R384" s="295"/>
      <c r="S384" s="302">
        <f t="shared" si="21"/>
        <v>0</v>
      </c>
      <c r="T384" s="302"/>
      <c r="U384" s="303"/>
      <c r="V384" s="305">
        <f t="shared" si="22"/>
        <v>250</v>
      </c>
      <c r="W384" s="305" t="str">
        <f t="shared" si="20"/>
        <v xml:space="preserve"> </v>
      </c>
      <c r="X384" s="288"/>
    </row>
    <row r="385" spans="1:24">
      <c r="A385" s="286">
        <v>55</v>
      </c>
      <c r="C385" s="286" t="s">
        <v>619</v>
      </c>
      <c r="D385" s="286" t="s">
        <v>659</v>
      </c>
      <c r="E385" s="286" t="s">
        <v>625</v>
      </c>
      <c r="F385" s="286">
        <v>27</v>
      </c>
      <c r="G385" s="425">
        <v>1200</v>
      </c>
      <c r="H385" s="425">
        <v>0</v>
      </c>
      <c r="J385" s="289"/>
      <c r="K385" s="289"/>
      <c r="L385" s="291"/>
      <c r="M385" s="291"/>
      <c r="N385" s="300"/>
      <c r="O385" s="296"/>
      <c r="P385" s="294"/>
      <c r="Q385" s="294"/>
      <c r="R385" s="295"/>
      <c r="S385" s="302">
        <f t="shared" si="21"/>
        <v>0</v>
      </c>
      <c r="T385" s="302"/>
      <c r="U385" s="303"/>
      <c r="V385" s="305">
        <f t="shared" si="22"/>
        <v>1200</v>
      </c>
      <c r="W385" s="305">
        <f t="shared" si="20"/>
        <v>300</v>
      </c>
      <c r="X385" s="288"/>
    </row>
    <row r="386" spans="1:24">
      <c r="A386" s="286">
        <v>55</v>
      </c>
      <c r="C386" s="286" t="s">
        <v>619</v>
      </c>
      <c r="D386" s="286" t="s">
        <v>659</v>
      </c>
      <c r="E386" s="286" t="s">
        <v>636</v>
      </c>
      <c r="F386" s="286">
        <v>27</v>
      </c>
      <c r="G386" s="425">
        <v>126.32</v>
      </c>
      <c r="H386" s="425">
        <v>0</v>
      </c>
      <c r="J386" s="289"/>
      <c r="K386" s="289"/>
      <c r="L386" s="291"/>
      <c r="M386" s="291"/>
      <c r="N386" s="300"/>
      <c r="O386" s="296"/>
      <c r="P386" s="294"/>
      <c r="Q386" s="294"/>
      <c r="R386" s="295"/>
      <c r="S386" s="302">
        <f t="shared" si="21"/>
        <v>0</v>
      </c>
      <c r="T386" s="302"/>
      <c r="U386" s="303"/>
      <c r="V386" s="305">
        <f t="shared" si="22"/>
        <v>0</v>
      </c>
      <c r="W386" s="305" t="str">
        <f t="shared" si="20"/>
        <v xml:space="preserve"> </v>
      </c>
      <c r="X386" s="288"/>
    </row>
    <row r="387" spans="1:24">
      <c r="A387" s="286">
        <v>55</v>
      </c>
      <c r="C387" s="286" t="s">
        <v>619</v>
      </c>
      <c r="D387" s="286" t="s">
        <v>659</v>
      </c>
      <c r="E387" s="286" t="s">
        <v>632</v>
      </c>
      <c r="F387" s="286">
        <v>27</v>
      </c>
      <c r="G387" s="425">
        <v>3342.34</v>
      </c>
      <c r="H387" s="425">
        <v>0</v>
      </c>
      <c r="J387" s="289"/>
      <c r="K387" s="289"/>
      <c r="L387" s="291"/>
      <c r="M387" s="291"/>
      <c r="N387" s="300"/>
      <c r="O387" s="296"/>
      <c r="P387" s="294"/>
      <c r="Q387" s="294"/>
      <c r="R387" s="295"/>
      <c r="S387" s="302">
        <f t="shared" si="21"/>
        <v>0</v>
      </c>
      <c r="T387" s="302"/>
      <c r="U387" s="303"/>
      <c r="V387" s="305">
        <f t="shared" si="22"/>
        <v>3342.34</v>
      </c>
      <c r="W387" s="305">
        <f t="shared" si="20"/>
        <v>-3342.34</v>
      </c>
      <c r="X387" s="288"/>
    </row>
    <row r="388" spans="1:24">
      <c r="A388" s="286">
        <v>56</v>
      </c>
      <c r="C388" s="286" t="s">
        <v>597</v>
      </c>
      <c r="D388" s="286"/>
      <c r="E388" s="286" t="s">
        <v>598</v>
      </c>
      <c r="F388" s="286">
        <f>IF(VLOOKUP(A388,'WP-5 Payroll Data'!$K$11:$O$151,3,FALSE)&gt;26,26,VLOOKUP(A388,'WP-5 Payroll Data'!$K$11:$O$151,3,FALSE))</f>
        <v>26</v>
      </c>
      <c r="G388" s="425">
        <v>10886.519999999999</v>
      </c>
      <c r="H388" s="425">
        <v>461.5</v>
      </c>
      <c r="J388" s="289">
        <f>VLOOKUP(A388,'WP-5 Payroll Data'!$K$11:$O$151,4,FALSE)</f>
        <v>12260.16</v>
      </c>
      <c r="K388" s="289">
        <f>VLOOKUP(A388,'WP-5 Payroll Data'!$K$11:$O$151,5,FALSE)</f>
        <v>520</v>
      </c>
      <c r="L388" s="289">
        <f>J388/K388</f>
        <v>23.57723076923077</v>
      </c>
      <c r="M388" s="289"/>
      <c r="N388" s="300">
        <f>IF((K388/F388)*26&gt;1500,2080,IF((K388/F388)*26&gt;300,520,IF((K388/F388)*26&gt;100,260,K388)))</f>
        <v>520</v>
      </c>
      <c r="O388" s="296">
        <f>N388*L388</f>
        <v>12260.16</v>
      </c>
      <c r="P388" s="294"/>
      <c r="Q388" s="294">
        <f>O388*0.03</f>
        <v>367.8048</v>
      </c>
      <c r="R388" s="295"/>
      <c r="S388" s="302">
        <f t="shared" si="21"/>
        <v>0</v>
      </c>
      <c r="T388" s="302"/>
      <c r="U388" s="303"/>
      <c r="V388" s="305">
        <f t="shared" si="22"/>
        <v>0</v>
      </c>
      <c r="W388" s="305" t="str">
        <f t="shared" si="20"/>
        <v xml:space="preserve"> </v>
      </c>
      <c r="X388" s="288"/>
    </row>
    <row r="389" spans="1:24">
      <c r="A389" s="286">
        <v>56</v>
      </c>
      <c r="C389" s="286" t="s">
        <v>597</v>
      </c>
      <c r="D389" s="286"/>
      <c r="E389" s="286" t="s">
        <v>599</v>
      </c>
      <c r="F389" s="286">
        <v>26</v>
      </c>
      <c r="G389" s="425">
        <v>961.9</v>
      </c>
      <c r="H389" s="425">
        <v>27.169999999999998</v>
      </c>
      <c r="J389" s="289"/>
      <c r="K389" s="289"/>
      <c r="L389" s="291"/>
      <c r="M389" s="291"/>
      <c r="N389" s="300"/>
      <c r="O389" s="296"/>
      <c r="P389" s="294"/>
      <c r="Q389" s="294"/>
      <c r="R389" s="295"/>
      <c r="S389" s="302">
        <f t="shared" si="21"/>
        <v>961.9</v>
      </c>
      <c r="T389" s="302">
        <f t="shared" si="23"/>
        <v>28.856999999999999</v>
      </c>
      <c r="U389" s="303"/>
      <c r="V389" s="305">
        <f t="shared" si="22"/>
        <v>0</v>
      </c>
      <c r="W389" s="305" t="str">
        <f t="shared" si="20"/>
        <v xml:space="preserve"> </v>
      </c>
      <c r="X389" s="288"/>
    </row>
    <row r="390" spans="1:24">
      <c r="A390" s="286">
        <v>56</v>
      </c>
      <c r="C390" s="286" t="s">
        <v>597</v>
      </c>
      <c r="D390" s="286"/>
      <c r="E390" s="286" t="s">
        <v>605</v>
      </c>
      <c r="F390" s="286">
        <v>26</v>
      </c>
      <c r="G390" s="425">
        <v>561.25000000000011</v>
      </c>
      <c r="H390" s="425">
        <v>24</v>
      </c>
      <c r="J390" s="289"/>
      <c r="K390" s="289"/>
      <c r="L390" s="291"/>
      <c r="M390" s="291"/>
      <c r="N390" s="300"/>
      <c r="O390" s="296"/>
      <c r="P390" s="294"/>
      <c r="Q390" s="294"/>
      <c r="R390" s="295"/>
      <c r="S390" s="302">
        <f t="shared" si="21"/>
        <v>0</v>
      </c>
      <c r="T390" s="302"/>
      <c r="U390" s="303"/>
      <c r="V390" s="305">
        <f t="shared" si="22"/>
        <v>0</v>
      </c>
      <c r="W390" s="305" t="str">
        <f t="shared" si="20"/>
        <v xml:space="preserve"> </v>
      </c>
      <c r="X390" s="288"/>
    </row>
    <row r="391" spans="1:24">
      <c r="A391" s="286">
        <v>56</v>
      </c>
      <c r="C391" s="286" t="s">
        <v>597</v>
      </c>
      <c r="D391" s="286"/>
      <c r="E391" s="286" t="s">
        <v>608</v>
      </c>
      <c r="F391" s="286">
        <v>26</v>
      </c>
      <c r="G391" s="425">
        <v>635.29000000000008</v>
      </c>
      <c r="H391" s="425">
        <v>27</v>
      </c>
      <c r="J391" s="289"/>
      <c r="K391" s="289"/>
      <c r="L391" s="291"/>
      <c r="M391" s="291"/>
      <c r="N391" s="300"/>
      <c r="O391" s="296"/>
      <c r="P391" s="294"/>
      <c r="Q391" s="294"/>
      <c r="R391" s="295"/>
      <c r="S391" s="302">
        <f t="shared" si="21"/>
        <v>0</v>
      </c>
      <c r="T391" s="302"/>
      <c r="U391" s="303"/>
      <c r="V391" s="305">
        <f t="shared" si="22"/>
        <v>0</v>
      </c>
      <c r="W391" s="305" t="str">
        <f t="shared" si="20"/>
        <v xml:space="preserve"> </v>
      </c>
      <c r="X391" s="288"/>
    </row>
    <row r="392" spans="1:24">
      <c r="A392" s="286">
        <v>56</v>
      </c>
      <c r="C392" s="286" t="s">
        <v>597</v>
      </c>
      <c r="D392" s="286"/>
      <c r="E392" s="286" t="s">
        <v>610</v>
      </c>
      <c r="F392" s="286">
        <v>26</v>
      </c>
      <c r="G392" s="425">
        <v>129.87</v>
      </c>
      <c r="H392" s="425">
        <v>5.5</v>
      </c>
      <c r="J392" s="289"/>
      <c r="K392" s="289"/>
      <c r="L392" s="291"/>
      <c r="M392" s="291"/>
      <c r="N392" s="300"/>
      <c r="O392" s="296"/>
      <c r="P392" s="294"/>
      <c r="Q392" s="294"/>
      <c r="R392" s="295"/>
      <c r="S392" s="302">
        <f t="shared" si="21"/>
        <v>0</v>
      </c>
      <c r="T392" s="302"/>
      <c r="U392" s="303"/>
      <c r="V392" s="305">
        <f t="shared" si="22"/>
        <v>0</v>
      </c>
      <c r="W392" s="305" t="str">
        <f t="shared" si="20"/>
        <v xml:space="preserve"> </v>
      </c>
      <c r="X392" s="288"/>
    </row>
    <row r="393" spans="1:24">
      <c r="A393" s="286">
        <v>56</v>
      </c>
      <c r="C393" s="286" t="s">
        <v>597</v>
      </c>
      <c r="D393" s="286"/>
      <c r="E393" s="286" t="s">
        <v>638</v>
      </c>
      <c r="F393" s="286">
        <v>26</v>
      </c>
      <c r="G393" s="425">
        <v>47.23</v>
      </c>
      <c r="H393" s="425">
        <v>2</v>
      </c>
      <c r="J393" s="289"/>
      <c r="K393" s="289"/>
      <c r="L393" s="291"/>
      <c r="M393" s="291"/>
      <c r="N393" s="300"/>
      <c r="O393" s="296"/>
      <c r="P393" s="294"/>
      <c r="Q393" s="294"/>
      <c r="R393" s="295"/>
      <c r="S393" s="302">
        <f t="shared" si="21"/>
        <v>0</v>
      </c>
      <c r="T393" s="302"/>
      <c r="U393" s="303"/>
      <c r="V393" s="305">
        <f t="shared" si="22"/>
        <v>0</v>
      </c>
      <c r="W393" s="305" t="str">
        <f t="shared" si="20"/>
        <v xml:space="preserve"> </v>
      </c>
      <c r="X393" s="288"/>
    </row>
    <row r="394" spans="1:24">
      <c r="A394" s="286">
        <v>56</v>
      </c>
      <c r="C394" s="286" t="s">
        <v>597</v>
      </c>
      <c r="D394" s="286"/>
      <c r="E394" s="286" t="s">
        <v>624</v>
      </c>
      <c r="F394" s="286">
        <v>26</v>
      </c>
      <c r="G394" s="425">
        <v>50</v>
      </c>
      <c r="H394" s="425">
        <v>0</v>
      </c>
      <c r="J394" s="289"/>
      <c r="K394" s="289"/>
      <c r="L394" s="291"/>
      <c r="M394" s="291"/>
      <c r="N394" s="300"/>
      <c r="O394" s="296"/>
      <c r="P394" s="294"/>
      <c r="Q394" s="294"/>
      <c r="R394" s="295"/>
      <c r="S394" s="302">
        <f t="shared" si="21"/>
        <v>0</v>
      </c>
      <c r="T394" s="302"/>
      <c r="U394" s="303"/>
      <c r="V394" s="305">
        <f t="shared" si="22"/>
        <v>50</v>
      </c>
      <c r="W394" s="305">
        <f t="shared" ref="W394:W457" si="24">IF($E394=$AA$29,-$V394,IF(OR($E394=$AA$18,$E394=$AA$23,$E394=$AA$24,$E394=$AA$26),(($V394/200)*50)," "))</f>
        <v>12.5</v>
      </c>
      <c r="X394" s="288"/>
    </row>
    <row r="395" spans="1:24">
      <c r="A395" s="286">
        <v>57</v>
      </c>
      <c r="C395" s="286" t="s">
        <v>644</v>
      </c>
      <c r="D395" s="286"/>
      <c r="E395" s="286" t="s">
        <v>598</v>
      </c>
      <c r="F395" s="286">
        <f>IF(VLOOKUP(A395,'WP-5 Payroll Data'!$K$11:$O$151,3,FALSE)&gt;26,26,VLOOKUP(A395,'WP-5 Payroll Data'!$K$11:$O$151,3,FALSE))</f>
        <v>26</v>
      </c>
      <c r="G395" s="425">
        <v>11514.869999999999</v>
      </c>
      <c r="H395" s="425">
        <v>437.68999999999988</v>
      </c>
      <c r="J395" s="289">
        <f>VLOOKUP(A395,'WP-5 Payroll Data'!$K$11:$O$151,4,FALSE)</f>
        <v>13524.729999999998</v>
      </c>
      <c r="K395" s="289">
        <f>VLOOKUP(A395,'WP-5 Payroll Data'!$K$11:$O$151,5,FALSE)</f>
        <v>514.26999999999987</v>
      </c>
      <c r="L395" s="289">
        <f>J395/K395</f>
        <v>26.298889688296033</v>
      </c>
      <c r="M395" s="289"/>
      <c r="N395" s="300">
        <f>IF((K395/F395)*26&gt;1500,2080,IF((K395/F395)*26&gt;300,520,IF((K395/F395)*26&gt;100,260,K395)))</f>
        <v>520</v>
      </c>
      <c r="O395" s="296">
        <f>N395*L395</f>
        <v>13675.422637913936</v>
      </c>
      <c r="P395" s="294"/>
      <c r="Q395" s="294">
        <f>O395*0.03</f>
        <v>410.26267913741805</v>
      </c>
      <c r="R395" s="295"/>
      <c r="S395" s="302">
        <f t="shared" ref="S395:S458" si="25">IF(OR($E395=$Y$10,$E395=$Y$11,$E395=$Y$12,$E395=$Y$13),$G395,0)</f>
        <v>0</v>
      </c>
      <c r="T395" s="302"/>
      <c r="U395" s="303"/>
      <c r="V395" s="305">
        <f t="shared" ref="V395:V458" si="26">IF(OR($E395=$AA$10,$E395=$AA$11,$E395=$AA$12,$E395=$AA$13,$E395=$AA$14,$E395=$AA$15,$E395=$AA$16,$E395=$AA$17,$E395=$AA$18,$E395=$AA$19,$E395=$AA$20,$E395=$AA$21,$E395=$AA$22,$E395=$AA$23,$E395=$AA$24,$E395=$AA$25,$E395=$AA$26,$E395=$AA$27,$E395=$AA$28,$E395=$AA$29),G395,0)</f>
        <v>0</v>
      </c>
      <c r="W395" s="305" t="str">
        <f t="shared" si="24"/>
        <v xml:space="preserve"> </v>
      </c>
      <c r="X395" s="288"/>
    </row>
    <row r="396" spans="1:24">
      <c r="A396" s="286">
        <v>57</v>
      </c>
      <c r="C396" s="286" t="s">
        <v>644</v>
      </c>
      <c r="D396" s="286"/>
      <c r="E396" s="286" t="s">
        <v>599</v>
      </c>
      <c r="F396" s="286">
        <v>26</v>
      </c>
      <c r="G396" s="425">
        <v>101.17</v>
      </c>
      <c r="H396" s="425">
        <v>2.56</v>
      </c>
      <c r="J396" s="289"/>
      <c r="K396" s="289"/>
      <c r="L396" s="291"/>
      <c r="M396" s="291"/>
      <c r="N396" s="300"/>
      <c r="O396" s="296"/>
      <c r="P396" s="294"/>
      <c r="Q396" s="294"/>
      <c r="R396" s="295"/>
      <c r="S396" s="302">
        <f t="shared" si="25"/>
        <v>101.17</v>
      </c>
      <c r="T396" s="302">
        <f t="shared" ref="T396:T450" si="27">S396*0.03</f>
        <v>3.0350999999999999</v>
      </c>
      <c r="U396" s="303"/>
      <c r="V396" s="305">
        <f t="shared" si="26"/>
        <v>0</v>
      </c>
      <c r="W396" s="305" t="str">
        <f t="shared" si="24"/>
        <v xml:space="preserve"> </v>
      </c>
      <c r="X396" s="288"/>
    </row>
    <row r="397" spans="1:24">
      <c r="A397" s="286">
        <v>57</v>
      </c>
      <c r="C397" s="286" t="s">
        <v>644</v>
      </c>
      <c r="D397" s="286"/>
      <c r="E397" s="286" t="s">
        <v>605</v>
      </c>
      <c r="F397" s="286">
        <v>26</v>
      </c>
      <c r="G397" s="425">
        <v>1447.39</v>
      </c>
      <c r="H397" s="425">
        <v>55.11999999999999</v>
      </c>
      <c r="J397" s="289"/>
      <c r="K397" s="289"/>
      <c r="L397" s="291"/>
      <c r="M397" s="291"/>
      <c r="N397" s="300"/>
      <c r="O397" s="296"/>
      <c r="P397" s="294"/>
      <c r="Q397" s="294"/>
      <c r="R397" s="295"/>
      <c r="S397" s="302">
        <f t="shared" si="25"/>
        <v>0</v>
      </c>
      <c r="T397" s="302"/>
      <c r="U397" s="303"/>
      <c r="V397" s="305">
        <f t="shared" si="26"/>
        <v>0</v>
      </c>
      <c r="W397" s="305" t="str">
        <f t="shared" si="24"/>
        <v xml:space="preserve"> </v>
      </c>
      <c r="X397" s="288"/>
    </row>
    <row r="398" spans="1:24">
      <c r="A398" s="286">
        <v>57</v>
      </c>
      <c r="C398" s="286" t="s">
        <v>644</v>
      </c>
      <c r="D398" s="286"/>
      <c r="E398" s="286" t="s">
        <v>608</v>
      </c>
      <c r="F398" s="286">
        <v>26</v>
      </c>
      <c r="G398" s="425">
        <v>404.40999999999997</v>
      </c>
      <c r="H398" s="425">
        <v>15.429999999999998</v>
      </c>
      <c r="J398" s="289"/>
      <c r="K398" s="289"/>
      <c r="L398" s="291"/>
      <c r="M398" s="291"/>
      <c r="N398" s="300"/>
      <c r="O398" s="296"/>
      <c r="P398" s="294"/>
      <c r="Q398" s="294"/>
      <c r="R398" s="295"/>
      <c r="S398" s="302">
        <f t="shared" si="25"/>
        <v>0</v>
      </c>
      <c r="T398" s="302"/>
      <c r="U398" s="303"/>
      <c r="V398" s="305">
        <f t="shared" si="26"/>
        <v>0</v>
      </c>
      <c r="W398" s="305" t="str">
        <f t="shared" si="24"/>
        <v xml:space="preserve"> </v>
      </c>
      <c r="X398" s="288"/>
    </row>
    <row r="399" spans="1:24">
      <c r="A399" s="286">
        <v>57</v>
      </c>
      <c r="C399" s="286" t="s">
        <v>644</v>
      </c>
      <c r="D399" s="286"/>
      <c r="E399" s="286" t="s">
        <v>602</v>
      </c>
      <c r="F399" s="286">
        <v>26</v>
      </c>
      <c r="G399" s="425">
        <v>158.06</v>
      </c>
      <c r="H399" s="425">
        <v>6.01</v>
      </c>
      <c r="J399" s="289"/>
      <c r="K399" s="289"/>
      <c r="L399" s="291"/>
      <c r="M399" s="291"/>
      <c r="N399" s="300"/>
      <c r="O399" s="296"/>
      <c r="P399" s="294"/>
      <c r="Q399" s="294"/>
      <c r="R399" s="295"/>
      <c r="S399" s="302">
        <f t="shared" si="25"/>
        <v>0</v>
      </c>
      <c r="T399" s="302"/>
      <c r="U399" s="303"/>
      <c r="V399" s="305">
        <f t="shared" si="26"/>
        <v>158.06</v>
      </c>
      <c r="W399" s="305" t="str">
        <f t="shared" si="24"/>
        <v xml:space="preserve"> </v>
      </c>
      <c r="X399" s="288"/>
    </row>
    <row r="400" spans="1:24">
      <c r="A400" s="286">
        <v>57</v>
      </c>
      <c r="C400" s="286" t="s">
        <v>644</v>
      </c>
      <c r="D400" s="286"/>
      <c r="E400" s="286" t="s">
        <v>610</v>
      </c>
      <c r="F400" s="286">
        <v>26</v>
      </c>
      <c r="G400" s="425">
        <v>158.06</v>
      </c>
      <c r="H400" s="425">
        <v>6.0299999999999994</v>
      </c>
      <c r="J400" s="289"/>
      <c r="K400" s="289"/>
      <c r="L400" s="291"/>
      <c r="M400" s="291"/>
      <c r="N400" s="300"/>
      <c r="O400" s="296"/>
      <c r="P400" s="294"/>
      <c r="Q400" s="294"/>
      <c r="R400" s="295"/>
      <c r="S400" s="302">
        <f t="shared" si="25"/>
        <v>0</v>
      </c>
      <c r="T400" s="302"/>
      <c r="U400" s="303"/>
      <c r="V400" s="305">
        <f t="shared" si="26"/>
        <v>0</v>
      </c>
      <c r="W400" s="305" t="str">
        <f t="shared" si="24"/>
        <v xml:space="preserve"> </v>
      </c>
      <c r="X400" s="288"/>
    </row>
    <row r="401" spans="1:24">
      <c r="A401" s="286">
        <v>57</v>
      </c>
      <c r="C401" s="286" t="s">
        <v>644</v>
      </c>
      <c r="D401" s="286"/>
      <c r="E401" s="286" t="s">
        <v>612</v>
      </c>
      <c r="F401" s="286">
        <v>26</v>
      </c>
      <c r="G401" s="425">
        <v>25</v>
      </c>
      <c r="H401" s="425">
        <v>0</v>
      </c>
      <c r="J401" s="289"/>
      <c r="K401" s="289"/>
      <c r="L401" s="291"/>
      <c r="M401" s="291"/>
      <c r="N401" s="300"/>
      <c r="O401" s="296"/>
      <c r="P401" s="294"/>
      <c r="Q401" s="294"/>
      <c r="R401" s="295"/>
      <c r="S401" s="302">
        <f t="shared" si="25"/>
        <v>0</v>
      </c>
      <c r="T401" s="302"/>
      <c r="U401" s="303"/>
      <c r="V401" s="305">
        <f t="shared" si="26"/>
        <v>25</v>
      </c>
      <c r="W401" s="305" t="str">
        <f t="shared" si="24"/>
        <v xml:space="preserve"> </v>
      </c>
      <c r="X401" s="288"/>
    </row>
    <row r="402" spans="1:24">
      <c r="A402" s="286">
        <v>57</v>
      </c>
      <c r="C402" s="286" t="s">
        <v>644</v>
      </c>
      <c r="D402" s="286"/>
      <c r="E402" s="286" t="s">
        <v>617</v>
      </c>
      <c r="F402" s="286">
        <v>26</v>
      </c>
      <c r="G402" s="425">
        <v>260</v>
      </c>
      <c r="H402" s="425">
        <v>0</v>
      </c>
      <c r="J402" s="289"/>
      <c r="K402" s="289"/>
      <c r="L402" s="291"/>
      <c r="M402" s="291"/>
      <c r="N402" s="300"/>
      <c r="O402" s="296"/>
      <c r="P402" s="294"/>
      <c r="Q402" s="294"/>
      <c r="R402" s="295"/>
      <c r="S402" s="302">
        <f t="shared" si="25"/>
        <v>0</v>
      </c>
      <c r="T402" s="302"/>
      <c r="U402" s="303"/>
      <c r="V402" s="305">
        <f t="shared" si="26"/>
        <v>260</v>
      </c>
      <c r="W402" s="305" t="str">
        <f t="shared" si="24"/>
        <v xml:space="preserve"> </v>
      </c>
      <c r="X402" s="288"/>
    </row>
    <row r="403" spans="1:24">
      <c r="A403" s="286">
        <v>57</v>
      </c>
      <c r="C403" s="286" t="s">
        <v>644</v>
      </c>
      <c r="D403" s="286"/>
      <c r="E403" s="286" t="s">
        <v>614</v>
      </c>
      <c r="F403" s="286">
        <v>26</v>
      </c>
      <c r="G403" s="425">
        <v>62.5</v>
      </c>
      <c r="H403" s="425">
        <v>0</v>
      </c>
      <c r="J403" s="289"/>
      <c r="K403" s="289"/>
      <c r="L403" s="291"/>
      <c r="M403" s="291"/>
      <c r="N403" s="300"/>
      <c r="O403" s="296"/>
      <c r="P403" s="294"/>
      <c r="Q403" s="294"/>
      <c r="R403" s="295"/>
      <c r="S403" s="302">
        <f t="shared" si="25"/>
        <v>0</v>
      </c>
      <c r="T403" s="302"/>
      <c r="U403" s="303"/>
      <c r="V403" s="305">
        <f t="shared" si="26"/>
        <v>62.5</v>
      </c>
      <c r="W403" s="305" t="str">
        <f t="shared" si="24"/>
        <v xml:space="preserve"> </v>
      </c>
      <c r="X403" s="288"/>
    </row>
    <row r="404" spans="1:24">
      <c r="A404" s="286">
        <v>57</v>
      </c>
      <c r="C404" s="286" t="s">
        <v>644</v>
      </c>
      <c r="D404" s="286"/>
      <c r="E404" s="286" t="s">
        <v>616</v>
      </c>
      <c r="F404" s="286">
        <v>26</v>
      </c>
      <c r="G404" s="425">
        <v>1250</v>
      </c>
      <c r="H404" s="425">
        <v>0</v>
      </c>
      <c r="J404" s="289"/>
      <c r="K404" s="289"/>
      <c r="L404" s="291"/>
      <c r="M404" s="291"/>
      <c r="N404" s="300"/>
      <c r="O404" s="296"/>
      <c r="P404" s="294"/>
      <c r="Q404" s="294"/>
      <c r="R404" s="295"/>
      <c r="S404" s="302">
        <f t="shared" si="25"/>
        <v>0</v>
      </c>
      <c r="T404" s="302"/>
      <c r="U404" s="303"/>
      <c r="V404" s="305">
        <f t="shared" si="26"/>
        <v>1250</v>
      </c>
      <c r="W404" s="305">
        <f t="shared" si="24"/>
        <v>312.5</v>
      </c>
      <c r="X404" s="288"/>
    </row>
    <row r="405" spans="1:24">
      <c r="A405" s="286">
        <v>58</v>
      </c>
      <c r="C405" s="286" t="s">
        <v>597</v>
      </c>
      <c r="D405" s="286"/>
      <c r="E405" s="286" t="s">
        <v>598</v>
      </c>
      <c r="F405" s="286">
        <f>IF(VLOOKUP(A405,'WP-5 Payroll Data'!$K$11:$O$151,3,FALSE)&gt;26,26,VLOOKUP(A405,'WP-5 Payroll Data'!$K$11:$O$151,3,FALSE))</f>
        <v>26</v>
      </c>
      <c r="G405" s="425">
        <v>4843.6499999999996</v>
      </c>
      <c r="H405" s="425">
        <v>338</v>
      </c>
      <c r="J405" s="289">
        <f>VLOOKUP(A405,'WP-5 Payroll Data'!$K$11:$O$151,4,FALSE)</f>
        <v>4843.6499999999996</v>
      </c>
      <c r="K405" s="289">
        <f>VLOOKUP(A405,'WP-5 Payroll Data'!$K$11:$O$151,5,FALSE)</f>
        <v>338</v>
      </c>
      <c r="L405" s="289">
        <f>J405/K405</f>
        <v>14.330325443786981</v>
      </c>
      <c r="M405" s="289"/>
      <c r="N405" s="300">
        <f>IF((K405/F405)*26&gt;1500,2080,IF((K405/F405)*26&gt;300,520,IF((K405/F405)*26&gt;100,260,K405)))</f>
        <v>520</v>
      </c>
      <c r="O405" s="296">
        <f>N405*L405</f>
        <v>7451.7692307692296</v>
      </c>
      <c r="P405" s="294"/>
      <c r="Q405" s="294">
        <f>O405*0.03</f>
        <v>223.55307692307687</v>
      </c>
      <c r="R405" s="295"/>
      <c r="S405" s="302">
        <f t="shared" si="25"/>
        <v>0</v>
      </c>
      <c r="T405" s="302"/>
      <c r="U405" s="303"/>
      <c r="V405" s="305">
        <f t="shared" si="26"/>
        <v>0</v>
      </c>
      <c r="W405" s="305" t="str">
        <f t="shared" si="24"/>
        <v xml:space="preserve"> </v>
      </c>
      <c r="X405" s="288"/>
    </row>
    <row r="406" spans="1:24">
      <c r="A406" s="286">
        <v>59</v>
      </c>
      <c r="C406" s="286" t="s">
        <v>644</v>
      </c>
      <c r="D406" s="286"/>
      <c r="E406" s="286" t="s">
        <v>598</v>
      </c>
      <c r="F406" s="286">
        <f>IF(VLOOKUP(A406,'WP-5 Payroll Data'!$K$11:$O$151,3,FALSE)&gt;26,26,VLOOKUP(A406,'WP-5 Payroll Data'!$K$11:$O$151,3,FALSE))</f>
        <v>18</v>
      </c>
      <c r="G406" s="425">
        <v>4753.6899999999987</v>
      </c>
      <c r="H406" s="425">
        <v>316.56</v>
      </c>
      <c r="J406" s="289">
        <f>VLOOKUP(A406,'WP-5 Payroll Data'!$K$11:$O$151,4,FALSE)</f>
        <v>5316.2499999999982</v>
      </c>
      <c r="K406" s="289">
        <f>VLOOKUP(A406,'WP-5 Payroll Data'!$K$11:$O$151,5,FALSE)</f>
        <v>353.9</v>
      </c>
      <c r="L406" s="289">
        <f>J406/K406</f>
        <v>15.02189884148064</v>
      </c>
      <c r="M406" s="289"/>
      <c r="N406" s="300">
        <f>IF((K406/F406)*26&gt;1500,2080,IF((K406/F406)*26&gt;300,520,IF((K406/F406)*26&gt;100,260,K406)))</f>
        <v>520</v>
      </c>
      <c r="O406" s="296">
        <f>N406*L406</f>
        <v>7811.3873975699325</v>
      </c>
      <c r="P406" s="294"/>
      <c r="Q406" s="294">
        <f>O406*0.03</f>
        <v>234.34162192709798</v>
      </c>
      <c r="R406" s="295"/>
      <c r="S406" s="302">
        <f t="shared" si="25"/>
        <v>0</v>
      </c>
      <c r="T406" s="302"/>
      <c r="U406" s="303"/>
      <c r="V406" s="305">
        <f t="shared" si="26"/>
        <v>0</v>
      </c>
      <c r="W406" s="305" t="str">
        <f t="shared" si="24"/>
        <v xml:space="preserve"> </v>
      </c>
      <c r="X406" s="288"/>
    </row>
    <row r="407" spans="1:24">
      <c r="A407" s="286">
        <v>59</v>
      </c>
      <c r="C407" s="286" t="s">
        <v>644</v>
      </c>
      <c r="D407" s="286"/>
      <c r="E407" s="286" t="s">
        <v>599</v>
      </c>
      <c r="F407" s="286">
        <v>18</v>
      </c>
      <c r="G407" s="425">
        <v>142.51999999999998</v>
      </c>
      <c r="H407" s="425">
        <v>6.39</v>
      </c>
      <c r="J407" s="289"/>
      <c r="K407" s="289"/>
      <c r="L407" s="291"/>
      <c r="M407" s="291"/>
      <c r="N407" s="300"/>
      <c r="O407" s="296"/>
      <c r="P407" s="294"/>
      <c r="Q407" s="294"/>
      <c r="R407" s="295"/>
      <c r="S407" s="302">
        <f t="shared" si="25"/>
        <v>142.51999999999998</v>
      </c>
      <c r="T407" s="302">
        <f t="shared" si="27"/>
        <v>4.275599999999999</v>
      </c>
      <c r="U407" s="303"/>
      <c r="V407" s="305">
        <f t="shared" si="26"/>
        <v>0</v>
      </c>
      <c r="W407" s="305" t="str">
        <f t="shared" si="24"/>
        <v xml:space="preserve"> </v>
      </c>
      <c r="X407" s="288"/>
    </row>
    <row r="408" spans="1:24">
      <c r="A408" s="286">
        <v>59</v>
      </c>
      <c r="C408" s="286" t="s">
        <v>644</v>
      </c>
      <c r="D408" s="286"/>
      <c r="E408" s="286" t="s">
        <v>605</v>
      </c>
      <c r="F408" s="286">
        <v>18</v>
      </c>
      <c r="G408" s="425">
        <v>267.34999999999997</v>
      </c>
      <c r="H408" s="425">
        <v>17.690000000000001</v>
      </c>
      <c r="J408" s="289"/>
      <c r="K408" s="289"/>
      <c r="L408" s="291"/>
      <c r="M408" s="291"/>
      <c r="N408" s="300"/>
      <c r="O408" s="296"/>
      <c r="P408" s="294"/>
      <c r="Q408" s="294"/>
      <c r="R408" s="295"/>
      <c r="S408" s="302">
        <f t="shared" si="25"/>
        <v>0</v>
      </c>
      <c r="T408" s="302"/>
      <c r="U408" s="303"/>
      <c r="V408" s="305">
        <f t="shared" si="26"/>
        <v>0</v>
      </c>
      <c r="W408" s="305" t="str">
        <f t="shared" si="24"/>
        <v xml:space="preserve"> </v>
      </c>
      <c r="X408" s="288"/>
    </row>
    <row r="409" spans="1:24">
      <c r="A409" s="286">
        <v>59</v>
      </c>
      <c r="C409" s="286" t="s">
        <v>644</v>
      </c>
      <c r="D409" s="286"/>
      <c r="E409" s="286" t="s">
        <v>608</v>
      </c>
      <c r="F409" s="286">
        <v>18</v>
      </c>
      <c r="G409" s="425">
        <v>265.98</v>
      </c>
      <c r="H409" s="425">
        <v>17.75</v>
      </c>
      <c r="J409" s="289"/>
      <c r="K409" s="289"/>
      <c r="L409" s="291"/>
      <c r="M409" s="291"/>
      <c r="N409" s="300"/>
      <c r="O409" s="296"/>
      <c r="P409" s="294"/>
      <c r="Q409" s="294"/>
      <c r="R409" s="295"/>
      <c r="S409" s="302">
        <f t="shared" si="25"/>
        <v>0</v>
      </c>
      <c r="T409" s="302"/>
      <c r="U409" s="303"/>
      <c r="V409" s="305">
        <f t="shared" si="26"/>
        <v>0</v>
      </c>
      <c r="W409" s="305" t="str">
        <f t="shared" si="24"/>
        <v xml:space="preserve"> </v>
      </c>
      <c r="X409" s="288"/>
    </row>
    <row r="410" spans="1:24">
      <c r="A410" s="286">
        <v>59</v>
      </c>
      <c r="C410" s="286" t="s">
        <v>644</v>
      </c>
      <c r="D410" s="286"/>
      <c r="E410" s="286" t="s">
        <v>610</v>
      </c>
      <c r="F410" s="286">
        <v>18</v>
      </c>
      <c r="G410" s="425">
        <v>88.7</v>
      </c>
      <c r="H410" s="425">
        <v>5.9999999999999991</v>
      </c>
      <c r="J410" s="289"/>
      <c r="K410" s="289"/>
      <c r="L410" s="291"/>
      <c r="M410" s="291"/>
      <c r="N410" s="300"/>
      <c r="O410" s="296"/>
      <c r="P410" s="294"/>
      <c r="Q410" s="294"/>
      <c r="R410" s="295"/>
      <c r="S410" s="302">
        <f t="shared" si="25"/>
        <v>0</v>
      </c>
      <c r="T410" s="302"/>
      <c r="U410" s="303"/>
      <c r="V410" s="305">
        <f t="shared" si="26"/>
        <v>0</v>
      </c>
      <c r="W410" s="305" t="str">
        <f t="shared" si="24"/>
        <v xml:space="preserve"> </v>
      </c>
      <c r="X410" s="288"/>
    </row>
    <row r="411" spans="1:24">
      <c r="A411" s="286">
        <v>59</v>
      </c>
      <c r="C411" s="286" t="s">
        <v>644</v>
      </c>
      <c r="D411" s="286"/>
      <c r="E411" s="286" t="s">
        <v>638</v>
      </c>
      <c r="F411" s="286">
        <v>18</v>
      </c>
      <c r="G411" s="425">
        <v>30.33</v>
      </c>
      <c r="H411" s="425">
        <v>2</v>
      </c>
      <c r="J411" s="289"/>
      <c r="K411" s="289"/>
      <c r="L411" s="291"/>
      <c r="M411" s="291"/>
      <c r="N411" s="300"/>
      <c r="O411" s="296"/>
      <c r="P411" s="294"/>
      <c r="Q411" s="294"/>
      <c r="R411" s="295"/>
      <c r="S411" s="302">
        <f t="shared" si="25"/>
        <v>0</v>
      </c>
      <c r="T411" s="302"/>
      <c r="U411" s="303"/>
      <c r="V411" s="305">
        <f t="shared" si="26"/>
        <v>0</v>
      </c>
      <c r="W411" s="305" t="str">
        <f t="shared" si="24"/>
        <v xml:space="preserve"> </v>
      </c>
      <c r="X411" s="288"/>
    </row>
    <row r="412" spans="1:24">
      <c r="A412" s="286">
        <v>59</v>
      </c>
      <c r="C412" s="286" t="s">
        <v>644</v>
      </c>
      <c r="D412" s="286"/>
      <c r="E412" s="286" t="s">
        <v>614</v>
      </c>
      <c r="F412" s="286">
        <v>18</v>
      </c>
      <c r="G412" s="425">
        <v>62.5</v>
      </c>
      <c r="H412" s="425">
        <v>0</v>
      </c>
      <c r="J412" s="289"/>
      <c r="K412" s="289"/>
      <c r="L412" s="291"/>
      <c r="M412" s="291"/>
      <c r="N412" s="300"/>
      <c r="O412" s="296"/>
      <c r="P412" s="294"/>
      <c r="Q412" s="294"/>
      <c r="R412" s="295"/>
      <c r="S412" s="302">
        <f t="shared" si="25"/>
        <v>0</v>
      </c>
      <c r="T412" s="302"/>
      <c r="U412" s="303"/>
      <c r="V412" s="305">
        <f t="shared" si="26"/>
        <v>62.5</v>
      </c>
      <c r="W412" s="305" t="str">
        <f t="shared" si="24"/>
        <v xml:space="preserve"> </v>
      </c>
      <c r="X412" s="288"/>
    </row>
    <row r="413" spans="1:24">
      <c r="A413" s="286">
        <v>59</v>
      </c>
      <c r="C413" s="286" t="s">
        <v>644</v>
      </c>
      <c r="D413" s="286"/>
      <c r="E413" s="286" t="s">
        <v>616</v>
      </c>
      <c r="F413" s="286">
        <v>18</v>
      </c>
      <c r="G413" s="425">
        <v>200</v>
      </c>
      <c r="H413" s="425">
        <v>0</v>
      </c>
      <c r="J413" s="289"/>
      <c r="K413" s="289"/>
      <c r="L413" s="291"/>
      <c r="M413" s="291"/>
      <c r="N413" s="300"/>
      <c r="O413" s="296"/>
      <c r="P413" s="294"/>
      <c r="Q413" s="294"/>
      <c r="R413" s="295"/>
      <c r="S413" s="302">
        <f t="shared" si="25"/>
        <v>0</v>
      </c>
      <c r="T413" s="302"/>
      <c r="U413" s="303"/>
      <c r="V413" s="305">
        <f t="shared" si="26"/>
        <v>200</v>
      </c>
      <c r="W413" s="305">
        <f t="shared" si="24"/>
        <v>50</v>
      </c>
      <c r="X413" s="288"/>
    </row>
    <row r="414" spans="1:24">
      <c r="A414" s="286">
        <v>59</v>
      </c>
      <c r="C414" s="286" t="s">
        <v>644</v>
      </c>
      <c r="D414" s="286"/>
      <c r="E414" s="286" t="s">
        <v>666</v>
      </c>
      <c r="F414" s="286">
        <v>18</v>
      </c>
      <c r="G414" s="425">
        <v>-88.33</v>
      </c>
      <c r="H414" s="425">
        <v>-6</v>
      </c>
      <c r="J414" s="289"/>
      <c r="K414" s="289"/>
      <c r="L414" s="291"/>
      <c r="M414" s="291"/>
      <c r="N414" s="300"/>
      <c r="O414" s="296"/>
      <c r="P414" s="294"/>
      <c r="Q414" s="294"/>
      <c r="R414" s="295"/>
      <c r="S414" s="302">
        <f t="shared" si="25"/>
        <v>0</v>
      </c>
      <c r="T414" s="302"/>
      <c r="U414" s="303"/>
      <c r="V414" s="305">
        <f t="shared" si="26"/>
        <v>0</v>
      </c>
      <c r="W414" s="305" t="str">
        <f t="shared" si="24"/>
        <v xml:space="preserve"> </v>
      </c>
      <c r="X414" s="288"/>
    </row>
    <row r="415" spans="1:24">
      <c r="A415" s="286">
        <v>59</v>
      </c>
      <c r="C415" s="286" t="s">
        <v>644</v>
      </c>
      <c r="D415" s="286"/>
      <c r="E415" s="286" t="s">
        <v>643</v>
      </c>
      <c r="F415" s="286">
        <v>18</v>
      </c>
      <c r="G415" s="425">
        <v>-1.47</v>
      </c>
      <c r="H415" s="425">
        <v>-0.1</v>
      </c>
      <c r="J415" s="289"/>
      <c r="K415" s="289"/>
      <c r="L415" s="291"/>
      <c r="M415" s="291"/>
      <c r="N415" s="300"/>
      <c r="O415" s="296"/>
      <c r="P415" s="294"/>
      <c r="Q415" s="294"/>
      <c r="R415" s="295"/>
      <c r="S415" s="302">
        <f t="shared" si="25"/>
        <v>0</v>
      </c>
      <c r="T415" s="302"/>
      <c r="U415" s="303"/>
      <c r="V415" s="305">
        <f t="shared" si="26"/>
        <v>0</v>
      </c>
      <c r="W415" s="305" t="str">
        <f t="shared" si="24"/>
        <v xml:space="preserve"> </v>
      </c>
      <c r="X415" s="288"/>
    </row>
    <row r="416" spans="1:24">
      <c r="A416" s="286">
        <v>59</v>
      </c>
      <c r="C416" s="286" t="s">
        <v>644</v>
      </c>
      <c r="D416" s="286"/>
      <c r="E416" s="286" t="s">
        <v>632</v>
      </c>
      <c r="F416" s="286">
        <v>18</v>
      </c>
      <c r="G416" s="425">
        <v>43.3</v>
      </c>
      <c r="H416" s="425">
        <v>0</v>
      </c>
      <c r="J416" s="289"/>
      <c r="K416" s="289"/>
      <c r="L416" s="291"/>
      <c r="M416" s="291"/>
      <c r="N416" s="300"/>
      <c r="O416" s="296"/>
      <c r="P416" s="294"/>
      <c r="Q416" s="294"/>
      <c r="R416" s="295"/>
      <c r="S416" s="302">
        <f t="shared" si="25"/>
        <v>0</v>
      </c>
      <c r="T416" s="302"/>
      <c r="U416" s="303"/>
      <c r="V416" s="305">
        <f t="shared" si="26"/>
        <v>43.3</v>
      </c>
      <c r="W416" s="305">
        <f t="shared" si="24"/>
        <v>-43.3</v>
      </c>
      <c r="X416" s="288"/>
    </row>
    <row r="417" spans="1:24">
      <c r="A417" s="286">
        <v>60</v>
      </c>
      <c r="C417" s="286" t="s">
        <v>597</v>
      </c>
      <c r="D417" s="286" t="s">
        <v>667</v>
      </c>
      <c r="E417" s="286" t="s">
        <v>621</v>
      </c>
      <c r="F417" s="286">
        <f>IF(VLOOKUP(A417,'WP-5 Payroll Data'!$K$11:$O$151,3,FALSE)&gt;26,26,VLOOKUP(A417,'WP-5 Payroll Data'!$K$11:$O$151,3,FALSE))</f>
        <v>26</v>
      </c>
      <c r="G417" s="425">
        <v>40211.159999999989</v>
      </c>
      <c r="H417" s="425">
        <v>1673.3000000000002</v>
      </c>
      <c r="J417" s="289">
        <f>VLOOKUP(A417,'WP-5 Payroll Data'!$K$11:$O$151,4,FALSE)</f>
        <v>49877.659999999989</v>
      </c>
      <c r="K417" s="289">
        <f>VLOOKUP(A417,'WP-5 Payroll Data'!$K$11:$O$151,5,FALSE)</f>
        <v>2076</v>
      </c>
      <c r="L417" s="289">
        <f>J417/K417</f>
        <v>24.02584778420038</v>
      </c>
      <c r="M417" s="289"/>
      <c r="N417" s="300">
        <f>IF((K417/F417)*26&gt;1500,2080,IF((K417/F417)*26&gt;300,520,IF((K417/F417)*26&gt;100,260,K417)))</f>
        <v>2080</v>
      </c>
      <c r="O417" s="296">
        <f>N417*L417</f>
        <v>49973.763391136788</v>
      </c>
      <c r="P417" s="294"/>
      <c r="Q417" s="294">
        <f>O417*0.03</f>
        <v>1499.2129017341035</v>
      </c>
      <c r="R417" s="295"/>
      <c r="S417" s="302">
        <f t="shared" si="25"/>
        <v>0</v>
      </c>
      <c r="T417" s="302"/>
      <c r="U417" s="303"/>
      <c r="V417" s="305">
        <f t="shared" si="26"/>
        <v>0</v>
      </c>
      <c r="W417" s="305" t="str">
        <f t="shared" si="24"/>
        <v xml:space="preserve"> </v>
      </c>
      <c r="X417" s="288"/>
    </row>
    <row r="418" spans="1:24">
      <c r="A418" s="286">
        <v>60</v>
      </c>
      <c r="C418" s="286" t="s">
        <v>597</v>
      </c>
      <c r="D418" s="286" t="s">
        <v>667</v>
      </c>
      <c r="E418" s="286" t="s">
        <v>622</v>
      </c>
      <c r="F418" s="286">
        <v>27</v>
      </c>
      <c r="G418" s="425">
        <v>470.8</v>
      </c>
      <c r="H418" s="425">
        <v>20</v>
      </c>
      <c r="J418" s="289"/>
      <c r="K418" s="289"/>
      <c r="L418" s="291"/>
      <c r="M418" s="291"/>
      <c r="N418" s="300"/>
      <c r="O418" s="296"/>
      <c r="P418" s="294"/>
      <c r="Q418" s="294"/>
      <c r="R418" s="295"/>
      <c r="S418" s="302">
        <f t="shared" si="25"/>
        <v>0</v>
      </c>
      <c r="T418" s="302"/>
      <c r="U418" s="303"/>
      <c r="V418" s="305">
        <f t="shared" si="26"/>
        <v>0</v>
      </c>
      <c r="W418" s="305" t="str">
        <f t="shared" si="24"/>
        <v xml:space="preserve"> </v>
      </c>
      <c r="X418" s="288"/>
    </row>
    <row r="419" spans="1:24">
      <c r="A419" s="286">
        <v>60</v>
      </c>
      <c r="C419" s="286" t="s">
        <v>597</v>
      </c>
      <c r="D419" s="286" t="s">
        <v>667</v>
      </c>
      <c r="E419" s="286" t="s">
        <v>599</v>
      </c>
      <c r="F419" s="286">
        <v>27</v>
      </c>
      <c r="G419" s="425">
        <v>2408.7000000000003</v>
      </c>
      <c r="H419" s="425">
        <v>67.400000000000006</v>
      </c>
      <c r="J419" s="289"/>
      <c r="K419" s="289"/>
      <c r="L419" s="291"/>
      <c r="M419" s="291"/>
      <c r="N419" s="300"/>
      <c r="O419" s="296"/>
      <c r="P419" s="294"/>
      <c r="Q419" s="294"/>
      <c r="R419" s="295"/>
      <c r="S419" s="302">
        <f t="shared" si="25"/>
        <v>2408.7000000000003</v>
      </c>
      <c r="T419" s="302">
        <f t="shared" si="27"/>
        <v>72.26100000000001</v>
      </c>
      <c r="U419" s="303"/>
      <c r="V419" s="305">
        <f t="shared" si="26"/>
        <v>0</v>
      </c>
      <c r="W419" s="305" t="str">
        <f t="shared" si="24"/>
        <v xml:space="preserve"> </v>
      </c>
      <c r="X419" s="288"/>
    </row>
    <row r="420" spans="1:24">
      <c r="A420" s="286">
        <v>60</v>
      </c>
      <c r="C420" s="286" t="s">
        <v>597</v>
      </c>
      <c r="D420" s="286" t="s">
        <v>667</v>
      </c>
      <c r="E420" s="286" t="s">
        <v>601</v>
      </c>
      <c r="F420" s="286">
        <v>27</v>
      </c>
      <c r="G420" s="425">
        <v>5058.8499999999995</v>
      </c>
      <c r="H420" s="425">
        <v>106.10000000000001</v>
      </c>
      <c r="J420" s="289"/>
      <c r="K420" s="289"/>
      <c r="L420" s="291"/>
      <c r="M420" s="291"/>
      <c r="N420" s="300"/>
      <c r="O420" s="296"/>
      <c r="P420" s="294"/>
      <c r="Q420" s="294"/>
      <c r="R420" s="295"/>
      <c r="S420" s="302">
        <f t="shared" si="25"/>
        <v>5058.8499999999995</v>
      </c>
      <c r="T420" s="302">
        <f t="shared" si="27"/>
        <v>151.76549999999997</v>
      </c>
      <c r="U420" s="303"/>
      <c r="V420" s="305">
        <f t="shared" si="26"/>
        <v>0</v>
      </c>
      <c r="W420" s="305" t="str">
        <f t="shared" si="24"/>
        <v xml:space="preserve"> </v>
      </c>
      <c r="X420" s="288"/>
    </row>
    <row r="421" spans="1:24">
      <c r="A421" s="286">
        <v>60</v>
      </c>
      <c r="C421" s="286" t="s">
        <v>597</v>
      </c>
      <c r="D421" s="286" t="s">
        <v>667</v>
      </c>
      <c r="E421" s="286" t="s">
        <v>627</v>
      </c>
      <c r="F421" s="286">
        <v>27</v>
      </c>
      <c r="G421" s="425">
        <v>3384.1599999999994</v>
      </c>
      <c r="H421" s="425">
        <v>140.30000000000001</v>
      </c>
      <c r="J421" s="289"/>
      <c r="K421" s="289"/>
      <c r="L421" s="291"/>
      <c r="M421" s="291"/>
      <c r="N421" s="300"/>
      <c r="O421" s="296"/>
      <c r="P421" s="294"/>
      <c r="Q421" s="294"/>
      <c r="R421" s="295"/>
      <c r="S421" s="302">
        <f t="shared" si="25"/>
        <v>0</v>
      </c>
      <c r="T421" s="302"/>
      <c r="U421" s="303"/>
      <c r="V421" s="305">
        <f t="shared" si="26"/>
        <v>0</v>
      </c>
      <c r="W421" s="305" t="str">
        <f t="shared" si="24"/>
        <v xml:space="preserve"> </v>
      </c>
      <c r="X421" s="288"/>
    </row>
    <row r="422" spans="1:24">
      <c r="A422" s="286">
        <v>60</v>
      </c>
      <c r="C422" s="286" t="s">
        <v>597</v>
      </c>
      <c r="D422" s="286" t="s">
        <v>667</v>
      </c>
      <c r="E422" s="286" t="s">
        <v>630</v>
      </c>
      <c r="F422" s="286">
        <v>27</v>
      </c>
      <c r="G422" s="425">
        <v>2325.9499999999998</v>
      </c>
      <c r="H422" s="425">
        <v>97.100000000000009</v>
      </c>
      <c r="J422" s="289"/>
      <c r="K422" s="289"/>
      <c r="L422" s="291"/>
      <c r="M422" s="291"/>
      <c r="N422" s="300"/>
      <c r="O422" s="296"/>
      <c r="P422" s="294"/>
      <c r="Q422" s="294"/>
      <c r="R422" s="295"/>
      <c r="S422" s="302">
        <f t="shared" si="25"/>
        <v>0</v>
      </c>
      <c r="T422" s="302"/>
      <c r="U422" s="303"/>
      <c r="V422" s="305">
        <f t="shared" si="26"/>
        <v>0</v>
      </c>
      <c r="W422" s="305" t="str">
        <f t="shared" si="24"/>
        <v xml:space="preserve"> </v>
      </c>
      <c r="X422" s="288"/>
    </row>
    <row r="423" spans="1:24">
      <c r="A423" s="286">
        <v>60</v>
      </c>
      <c r="C423" s="286" t="s">
        <v>597</v>
      </c>
      <c r="D423" s="286" t="s">
        <v>667</v>
      </c>
      <c r="E423" s="286" t="s">
        <v>631</v>
      </c>
      <c r="F423" s="286">
        <v>27</v>
      </c>
      <c r="G423" s="425">
        <v>94.16</v>
      </c>
      <c r="H423" s="425">
        <v>4</v>
      </c>
      <c r="J423" s="289"/>
      <c r="K423" s="289"/>
      <c r="L423" s="291"/>
      <c r="M423" s="291"/>
      <c r="N423" s="300"/>
      <c r="O423" s="296"/>
      <c r="P423" s="294"/>
      <c r="Q423" s="294"/>
      <c r="R423" s="295"/>
      <c r="S423" s="302">
        <f t="shared" si="25"/>
        <v>0</v>
      </c>
      <c r="T423" s="302"/>
      <c r="U423" s="303"/>
      <c r="V423" s="305">
        <f t="shared" si="26"/>
        <v>0</v>
      </c>
      <c r="W423" s="305" t="str">
        <f t="shared" si="24"/>
        <v xml:space="preserve"> </v>
      </c>
      <c r="X423" s="288"/>
    </row>
    <row r="424" spans="1:24">
      <c r="A424" s="286">
        <v>60</v>
      </c>
      <c r="C424" s="286" t="s">
        <v>597</v>
      </c>
      <c r="D424" s="286" t="s">
        <v>667</v>
      </c>
      <c r="E424" s="286" t="s">
        <v>633</v>
      </c>
      <c r="F424" s="286">
        <v>27</v>
      </c>
      <c r="G424" s="425">
        <v>2694.88</v>
      </c>
      <c r="H424" s="425">
        <v>112</v>
      </c>
      <c r="J424" s="289"/>
      <c r="K424" s="289"/>
      <c r="L424" s="291"/>
      <c r="M424" s="291"/>
      <c r="N424" s="300"/>
      <c r="O424" s="296"/>
      <c r="P424" s="294"/>
      <c r="Q424" s="294"/>
      <c r="R424" s="295"/>
      <c r="S424" s="302">
        <f t="shared" si="25"/>
        <v>0</v>
      </c>
      <c r="T424" s="302"/>
      <c r="U424" s="303"/>
      <c r="V424" s="305">
        <f t="shared" si="26"/>
        <v>0</v>
      </c>
      <c r="W424" s="305" t="str">
        <f t="shared" si="24"/>
        <v xml:space="preserve"> </v>
      </c>
      <c r="X424" s="288"/>
    </row>
    <row r="425" spans="1:24">
      <c r="A425" s="286">
        <v>60</v>
      </c>
      <c r="C425" s="286" t="s">
        <v>597</v>
      </c>
      <c r="D425" s="286" t="s">
        <v>667</v>
      </c>
      <c r="E425" s="286" t="s">
        <v>634</v>
      </c>
      <c r="F425" s="286">
        <v>27</v>
      </c>
      <c r="G425" s="425">
        <v>696.55000000000007</v>
      </c>
      <c r="H425" s="425">
        <v>29.299999999999997</v>
      </c>
      <c r="J425" s="289"/>
      <c r="K425" s="289"/>
      <c r="L425" s="291"/>
      <c r="M425" s="291"/>
      <c r="N425" s="300"/>
      <c r="O425" s="296"/>
      <c r="P425" s="294"/>
      <c r="Q425" s="294"/>
      <c r="R425" s="295"/>
      <c r="S425" s="302">
        <f t="shared" si="25"/>
        <v>0</v>
      </c>
      <c r="T425" s="302"/>
      <c r="U425" s="303"/>
      <c r="V425" s="305">
        <f t="shared" si="26"/>
        <v>0</v>
      </c>
      <c r="W425" s="305" t="str">
        <f t="shared" si="24"/>
        <v xml:space="preserve"> </v>
      </c>
      <c r="X425" s="288"/>
    </row>
    <row r="426" spans="1:24">
      <c r="A426" s="286">
        <v>60</v>
      </c>
      <c r="C426" s="286" t="s">
        <v>597</v>
      </c>
      <c r="D426" s="286" t="s">
        <v>667</v>
      </c>
      <c r="E426" s="286" t="s">
        <v>623</v>
      </c>
      <c r="F426" s="286">
        <v>27</v>
      </c>
      <c r="G426" s="425">
        <v>250</v>
      </c>
      <c r="H426" s="425">
        <v>0</v>
      </c>
      <c r="J426" s="289"/>
      <c r="K426" s="289"/>
      <c r="L426" s="291"/>
      <c r="M426" s="291"/>
      <c r="N426" s="300"/>
      <c r="O426" s="296"/>
      <c r="P426" s="294"/>
      <c r="Q426" s="294"/>
      <c r="R426" s="295"/>
      <c r="S426" s="302">
        <f t="shared" si="25"/>
        <v>0</v>
      </c>
      <c r="T426" s="302"/>
      <c r="U426" s="303"/>
      <c r="V426" s="305">
        <f t="shared" si="26"/>
        <v>250</v>
      </c>
      <c r="W426" s="305" t="str">
        <f t="shared" si="24"/>
        <v xml:space="preserve"> </v>
      </c>
      <c r="X426" s="288"/>
    </row>
    <row r="427" spans="1:24">
      <c r="A427" s="286">
        <v>60</v>
      </c>
      <c r="C427" s="286" t="s">
        <v>597</v>
      </c>
      <c r="D427" s="286" t="s">
        <v>667</v>
      </c>
      <c r="E427" s="286" t="s">
        <v>625</v>
      </c>
      <c r="F427" s="286">
        <v>27</v>
      </c>
      <c r="G427" s="425">
        <v>3400</v>
      </c>
      <c r="H427" s="425">
        <v>0</v>
      </c>
      <c r="J427" s="289"/>
      <c r="K427" s="289"/>
      <c r="L427" s="291"/>
      <c r="M427" s="291"/>
      <c r="N427" s="300"/>
      <c r="O427" s="296"/>
      <c r="P427" s="294"/>
      <c r="Q427" s="294"/>
      <c r="R427" s="295"/>
      <c r="S427" s="302">
        <f t="shared" si="25"/>
        <v>0</v>
      </c>
      <c r="T427" s="302"/>
      <c r="U427" s="303"/>
      <c r="V427" s="305">
        <f t="shared" si="26"/>
        <v>3400</v>
      </c>
      <c r="W427" s="305">
        <f t="shared" si="24"/>
        <v>850</v>
      </c>
      <c r="X427" s="288"/>
    </row>
    <row r="428" spans="1:24">
      <c r="A428" s="286">
        <v>60</v>
      </c>
      <c r="C428" s="286" t="s">
        <v>597</v>
      </c>
      <c r="D428" s="286" t="s">
        <v>667</v>
      </c>
      <c r="E428" s="286" t="s">
        <v>629</v>
      </c>
      <c r="F428" s="286">
        <v>27</v>
      </c>
      <c r="G428" s="425">
        <v>4375</v>
      </c>
      <c r="H428" s="425">
        <v>0</v>
      </c>
      <c r="J428" s="289"/>
      <c r="K428" s="289"/>
      <c r="L428" s="291"/>
      <c r="M428" s="291"/>
      <c r="N428" s="300"/>
      <c r="O428" s="296"/>
      <c r="P428" s="294"/>
      <c r="Q428" s="294"/>
      <c r="R428" s="295"/>
      <c r="S428" s="302">
        <f t="shared" si="25"/>
        <v>0</v>
      </c>
      <c r="T428" s="302"/>
      <c r="U428" s="303"/>
      <c r="V428" s="305">
        <f t="shared" si="26"/>
        <v>4375</v>
      </c>
      <c r="W428" s="305" t="str">
        <f t="shared" si="24"/>
        <v xml:space="preserve"> </v>
      </c>
      <c r="X428" s="288"/>
    </row>
    <row r="429" spans="1:24">
      <c r="A429" s="286">
        <v>60</v>
      </c>
      <c r="C429" s="286" t="s">
        <v>597</v>
      </c>
      <c r="D429" s="286" t="s">
        <v>667</v>
      </c>
      <c r="E429" s="286" t="s">
        <v>632</v>
      </c>
      <c r="F429" s="286">
        <v>27</v>
      </c>
      <c r="G429" s="425">
        <v>9246.7900000000009</v>
      </c>
      <c r="H429" s="425">
        <v>0</v>
      </c>
      <c r="J429" s="289"/>
      <c r="K429" s="289"/>
      <c r="L429" s="291"/>
      <c r="M429" s="291"/>
      <c r="N429" s="300"/>
      <c r="O429" s="296"/>
      <c r="P429" s="294"/>
      <c r="Q429" s="294"/>
      <c r="R429" s="295"/>
      <c r="S429" s="302">
        <f t="shared" si="25"/>
        <v>0</v>
      </c>
      <c r="T429" s="302"/>
      <c r="U429" s="303"/>
      <c r="V429" s="305">
        <f t="shared" si="26"/>
        <v>9246.7900000000009</v>
      </c>
      <c r="W429" s="305">
        <f t="shared" si="24"/>
        <v>-9246.7900000000009</v>
      </c>
      <c r="X429" s="288"/>
    </row>
    <row r="430" spans="1:24">
      <c r="A430" s="286">
        <v>61</v>
      </c>
      <c r="C430" s="286" t="s">
        <v>650</v>
      </c>
      <c r="D430" s="286"/>
      <c r="E430" s="286" t="s">
        <v>598</v>
      </c>
      <c r="F430" s="286">
        <f>IF(VLOOKUP(A430,'WP-5 Payroll Data'!$K$11:$O$151,3,FALSE)&gt;26,26,VLOOKUP(A430,'WP-5 Payroll Data'!$K$11:$O$151,3,FALSE))</f>
        <v>26</v>
      </c>
      <c r="G430" s="425">
        <v>23189.98</v>
      </c>
      <c r="H430" s="425">
        <v>470.13</v>
      </c>
      <c r="J430" s="289">
        <f>VLOOKUP(A430,'WP-5 Payroll Data'!$K$11:$O$151,4,FALSE)</f>
        <v>25650.039999999997</v>
      </c>
      <c r="K430" s="289">
        <f>VLOOKUP(A430,'WP-5 Payroll Data'!$K$11:$O$151,5,FALSE)</f>
        <v>520.04</v>
      </c>
      <c r="L430" s="289">
        <f>J430/K430</f>
        <v>49.323205907237906</v>
      </c>
      <c r="M430" s="289"/>
      <c r="N430" s="300">
        <f>IF((K430/F430)*26&gt;1500,2080,IF((K430/F430)*26&gt;300,520,IF((K430/F430)*26&gt;100,260,K430)))</f>
        <v>520</v>
      </c>
      <c r="O430" s="296">
        <f>N430*L430</f>
        <v>25648.067071763711</v>
      </c>
      <c r="P430" s="294"/>
      <c r="Q430" s="294">
        <f>O430*0.03</f>
        <v>769.44201215291127</v>
      </c>
      <c r="R430" s="295"/>
      <c r="S430" s="302">
        <f t="shared" si="25"/>
        <v>0</v>
      </c>
      <c r="T430" s="302"/>
      <c r="U430" s="303"/>
      <c r="V430" s="305">
        <f t="shared" si="26"/>
        <v>0</v>
      </c>
      <c r="W430" s="305" t="str">
        <f t="shared" si="24"/>
        <v xml:space="preserve"> </v>
      </c>
      <c r="X430" s="288"/>
    </row>
    <row r="431" spans="1:24">
      <c r="A431" s="286">
        <v>61</v>
      </c>
      <c r="C431" s="286" t="s">
        <v>650</v>
      </c>
      <c r="D431" s="286"/>
      <c r="E431" s="286" t="s">
        <v>605</v>
      </c>
      <c r="F431" s="286">
        <v>26</v>
      </c>
      <c r="G431" s="425">
        <v>1330.01</v>
      </c>
      <c r="H431" s="425">
        <v>27.009999999999998</v>
      </c>
      <c r="J431" s="289"/>
      <c r="K431" s="289"/>
      <c r="L431" s="291"/>
      <c r="M431" s="291"/>
      <c r="N431" s="300"/>
      <c r="O431" s="296"/>
      <c r="P431" s="294"/>
      <c r="Q431" s="294"/>
      <c r="R431" s="295"/>
      <c r="S431" s="302">
        <f t="shared" si="25"/>
        <v>0</v>
      </c>
      <c r="T431" s="302"/>
      <c r="U431" s="303"/>
      <c r="V431" s="305">
        <f t="shared" si="26"/>
        <v>0</v>
      </c>
      <c r="W431" s="305" t="str">
        <f t="shared" si="24"/>
        <v xml:space="preserve"> </v>
      </c>
      <c r="X431" s="288"/>
    </row>
    <row r="432" spans="1:24">
      <c r="A432" s="286">
        <v>61</v>
      </c>
      <c r="C432" s="286" t="s">
        <v>650</v>
      </c>
      <c r="D432" s="286"/>
      <c r="E432" s="286" t="s">
        <v>608</v>
      </c>
      <c r="F432" s="286">
        <v>26</v>
      </c>
      <c r="G432" s="425">
        <v>988.02</v>
      </c>
      <c r="H432" s="425">
        <v>20.020000000000003</v>
      </c>
      <c r="J432" s="289"/>
      <c r="K432" s="289"/>
      <c r="L432" s="291"/>
      <c r="M432" s="291"/>
      <c r="N432" s="300"/>
      <c r="O432" s="296"/>
      <c r="P432" s="294"/>
      <c r="Q432" s="294"/>
      <c r="R432" s="295"/>
      <c r="S432" s="302">
        <f t="shared" si="25"/>
        <v>0</v>
      </c>
      <c r="T432" s="302"/>
      <c r="U432" s="303"/>
      <c r="V432" s="305">
        <f t="shared" si="26"/>
        <v>0</v>
      </c>
      <c r="W432" s="305" t="str">
        <f t="shared" si="24"/>
        <v xml:space="preserve"> </v>
      </c>
      <c r="X432" s="288"/>
    </row>
    <row r="433" spans="1:24">
      <c r="A433" s="286">
        <v>61</v>
      </c>
      <c r="C433" s="286" t="s">
        <v>650</v>
      </c>
      <c r="D433" s="286"/>
      <c r="E433" s="286" t="s">
        <v>610</v>
      </c>
      <c r="F433" s="286">
        <v>26</v>
      </c>
      <c r="G433" s="425">
        <v>142.03</v>
      </c>
      <c r="H433" s="425">
        <v>2.88</v>
      </c>
      <c r="J433" s="289"/>
      <c r="K433" s="289"/>
      <c r="L433" s="291"/>
      <c r="M433" s="291"/>
      <c r="N433" s="300"/>
      <c r="O433" s="296"/>
      <c r="P433" s="294"/>
      <c r="Q433" s="294"/>
      <c r="R433" s="295"/>
      <c r="S433" s="302">
        <f t="shared" si="25"/>
        <v>0</v>
      </c>
      <c r="T433" s="302"/>
      <c r="U433" s="303"/>
      <c r="V433" s="305">
        <f t="shared" si="26"/>
        <v>0</v>
      </c>
      <c r="W433" s="305" t="str">
        <f t="shared" si="24"/>
        <v xml:space="preserve"> </v>
      </c>
      <c r="X433" s="288"/>
    </row>
    <row r="434" spans="1:24">
      <c r="A434" s="286">
        <v>61</v>
      </c>
      <c r="C434" s="286" t="s">
        <v>650</v>
      </c>
      <c r="D434" s="286"/>
      <c r="E434" s="286" t="s">
        <v>624</v>
      </c>
      <c r="F434" s="286">
        <v>26</v>
      </c>
      <c r="G434" s="425">
        <v>50</v>
      </c>
      <c r="H434" s="425">
        <v>0</v>
      </c>
      <c r="J434" s="289"/>
      <c r="K434" s="289"/>
      <c r="L434" s="291"/>
      <c r="M434" s="291"/>
      <c r="N434" s="300"/>
      <c r="O434" s="296"/>
      <c r="P434" s="294"/>
      <c r="Q434" s="294"/>
      <c r="R434" s="295"/>
      <c r="S434" s="302">
        <f t="shared" si="25"/>
        <v>0</v>
      </c>
      <c r="T434" s="302"/>
      <c r="U434" s="303"/>
      <c r="V434" s="305">
        <f t="shared" si="26"/>
        <v>50</v>
      </c>
      <c r="W434" s="305">
        <f t="shared" si="24"/>
        <v>12.5</v>
      </c>
      <c r="X434" s="288"/>
    </row>
    <row r="435" spans="1:24">
      <c r="A435" s="286">
        <v>62</v>
      </c>
      <c r="C435" s="286" t="s">
        <v>619</v>
      </c>
      <c r="D435" s="286" t="s">
        <v>668</v>
      </c>
      <c r="E435" s="286" t="s">
        <v>621</v>
      </c>
      <c r="F435" s="286">
        <f>IF(VLOOKUP(A435,'WP-5 Payroll Data'!$K$11:$O$151,3,FALSE)&gt;26,26,VLOOKUP(A435,'WP-5 Payroll Data'!$K$11:$O$151,3,FALSE))</f>
        <v>26</v>
      </c>
      <c r="G435" s="425">
        <v>37455.390000000007</v>
      </c>
      <c r="H435" s="425">
        <v>1581</v>
      </c>
      <c r="J435" s="289">
        <f>VLOOKUP(A435,'WP-5 Payroll Data'!$K$11:$O$151,4,FALSE)</f>
        <v>48039.12000000001</v>
      </c>
      <c r="K435" s="289">
        <f>VLOOKUP(A435,'WP-5 Payroll Data'!$K$11:$O$151,5,FALSE)</f>
        <v>2024</v>
      </c>
      <c r="L435" s="289">
        <f>J435/K435</f>
        <v>23.734743083003959</v>
      </c>
      <c r="M435" s="289"/>
      <c r="N435" s="300">
        <f>IF((K435/F435)*26&gt;1500,2080,IF((K435/F435)*26&gt;300,520,IF((K435/F435)*26&gt;100,260,K435)))</f>
        <v>2080</v>
      </c>
      <c r="O435" s="296">
        <f>N435*L435</f>
        <v>49368.265612648232</v>
      </c>
      <c r="P435" s="294"/>
      <c r="Q435" s="294">
        <f>O435*0.03</f>
        <v>1481.047968379447</v>
      </c>
      <c r="R435" s="295"/>
      <c r="S435" s="302">
        <f t="shared" si="25"/>
        <v>0</v>
      </c>
      <c r="T435" s="302"/>
      <c r="U435" s="303"/>
      <c r="V435" s="305">
        <f t="shared" si="26"/>
        <v>0</v>
      </c>
      <c r="W435" s="305" t="str">
        <f t="shared" si="24"/>
        <v xml:space="preserve"> </v>
      </c>
      <c r="X435" s="288"/>
    </row>
    <row r="436" spans="1:24">
      <c r="A436" s="286">
        <v>62</v>
      </c>
      <c r="C436" s="286" t="s">
        <v>619</v>
      </c>
      <c r="D436" s="286" t="s">
        <v>668</v>
      </c>
      <c r="E436" s="286" t="s">
        <v>599</v>
      </c>
      <c r="F436" s="286">
        <v>27</v>
      </c>
      <c r="G436" s="425">
        <v>1073.53</v>
      </c>
      <c r="H436" s="425">
        <v>30.200000000000003</v>
      </c>
      <c r="J436" s="289"/>
      <c r="K436" s="289"/>
      <c r="L436" s="291"/>
      <c r="M436" s="291"/>
      <c r="N436" s="300"/>
      <c r="O436" s="296"/>
      <c r="P436" s="294"/>
      <c r="Q436" s="294"/>
      <c r="R436" s="295"/>
      <c r="S436" s="302">
        <f t="shared" si="25"/>
        <v>1073.53</v>
      </c>
      <c r="T436" s="302">
        <f t="shared" si="27"/>
        <v>32.2059</v>
      </c>
      <c r="U436" s="303"/>
      <c r="V436" s="305">
        <f t="shared" si="26"/>
        <v>0</v>
      </c>
      <c r="W436" s="305" t="str">
        <f t="shared" si="24"/>
        <v xml:space="preserve"> </v>
      </c>
      <c r="X436" s="288"/>
    </row>
    <row r="437" spans="1:24">
      <c r="A437" s="286">
        <v>62</v>
      </c>
      <c r="C437" s="286" t="s">
        <v>619</v>
      </c>
      <c r="D437" s="286" t="s">
        <v>668</v>
      </c>
      <c r="E437" s="286" t="s">
        <v>601</v>
      </c>
      <c r="F437" s="286">
        <v>27</v>
      </c>
      <c r="G437" s="425">
        <v>8143.7900000000009</v>
      </c>
      <c r="H437" s="425">
        <v>172.6</v>
      </c>
      <c r="J437" s="289"/>
      <c r="K437" s="289"/>
      <c r="L437" s="291"/>
      <c r="M437" s="291"/>
      <c r="N437" s="300"/>
      <c r="O437" s="296"/>
      <c r="P437" s="294"/>
      <c r="Q437" s="294"/>
      <c r="R437" s="295"/>
      <c r="S437" s="302">
        <f t="shared" si="25"/>
        <v>8143.7900000000009</v>
      </c>
      <c r="T437" s="302">
        <f t="shared" si="27"/>
        <v>244.31370000000001</v>
      </c>
      <c r="U437" s="303"/>
      <c r="V437" s="305">
        <f t="shared" si="26"/>
        <v>0</v>
      </c>
      <c r="W437" s="305" t="str">
        <f t="shared" si="24"/>
        <v xml:space="preserve"> </v>
      </c>
      <c r="X437" s="288"/>
    </row>
    <row r="438" spans="1:24">
      <c r="A438" s="286">
        <v>62</v>
      </c>
      <c r="C438" s="286" t="s">
        <v>619</v>
      </c>
      <c r="D438" s="286" t="s">
        <v>668</v>
      </c>
      <c r="E438" s="286" t="s">
        <v>627</v>
      </c>
      <c r="F438" s="286">
        <v>27</v>
      </c>
      <c r="G438" s="425">
        <v>4183.12</v>
      </c>
      <c r="H438" s="425">
        <v>176.4</v>
      </c>
      <c r="J438" s="289"/>
      <c r="K438" s="289"/>
      <c r="L438" s="291"/>
      <c r="M438" s="291"/>
      <c r="N438" s="300"/>
      <c r="O438" s="296"/>
      <c r="P438" s="294"/>
      <c r="Q438" s="294"/>
      <c r="R438" s="295"/>
      <c r="S438" s="302">
        <f t="shared" si="25"/>
        <v>0</v>
      </c>
      <c r="T438" s="302"/>
      <c r="U438" s="303"/>
      <c r="V438" s="305">
        <f t="shared" si="26"/>
        <v>0</v>
      </c>
      <c r="W438" s="305" t="str">
        <f t="shared" si="24"/>
        <v xml:space="preserve"> </v>
      </c>
      <c r="X438" s="288"/>
    </row>
    <row r="439" spans="1:24">
      <c r="A439" s="286">
        <v>62</v>
      </c>
      <c r="C439" s="286" t="s">
        <v>619</v>
      </c>
      <c r="D439" s="286" t="s">
        <v>668</v>
      </c>
      <c r="E439" s="286" t="s">
        <v>630</v>
      </c>
      <c r="F439" s="286">
        <v>27</v>
      </c>
      <c r="G439" s="425">
        <v>2680.5800000000004</v>
      </c>
      <c r="H439" s="425">
        <v>113.6</v>
      </c>
      <c r="J439" s="289"/>
      <c r="K439" s="289"/>
      <c r="L439" s="291"/>
      <c r="M439" s="291"/>
      <c r="N439" s="300"/>
      <c r="O439" s="296"/>
      <c r="P439" s="294"/>
      <c r="Q439" s="294"/>
      <c r="R439" s="295"/>
      <c r="S439" s="302">
        <f t="shared" si="25"/>
        <v>0</v>
      </c>
      <c r="T439" s="302"/>
      <c r="U439" s="303"/>
      <c r="V439" s="305">
        <f t="shared" si="26"/>
        <v>0</v>
      </c>
      <c r="W439" s="305" t="str">
        <f t="shared" si="24"/>
        <v xml:space="preserve"> </v>
      </c>
      <c r="X439" s="288"/>
    </row>
    <row r="440" spans="1:24">
      <c r="A440" s="286">
        <v>62</v>
      </c>
      <c r="C440" s="286" t="s">
        <v>619</v>
      </c>
      <c r="D440" s="286" t="s">
        <v>668</v>
      </c>
      <c r="E440" s="286" t="s">
        <v>633</v>
      </c>
      <c r="F440" s="286">
        <v>27</v>
      </c>
      <c r="G440" s="425">
        <v>2663.2799999999997</v>
      </c>
      <c r="H440" s="425">
        <v>112</v>
      </c>
      <c r="J440" s="289"/>
      <c r="K440" s="289"/>
      <c r="L440" s="291"/>
      <c r="M440" s="291"/>
      <c r="N440" s="300"/>
      <c r="O440" s="296"/>
      <c r="P440" s="294"/>
      <c r="Q440" s="294"/>
      <c r="R440" s="295"/>
      <c r="S440" s="302">
        <f t="shared" si="25"/>
        <v>0</v>
      </c>
      <c r="T440" s="302"/>
      <c r="U440" s="303"/>
      <c r="V440" s="305">
        <f t="shared" si="26"/>
        <v>0</v>
      </c>
      <c r="W440" s="305" t="str">
        <f t="shared" si="24"/>
        <v xml:space="preserve"> </v>
      </c>
      <c r="X440" s="288"/>
    </row>
    <row r="441" spans="1:24">
      <c r="A441" s="286">
        <v>62</v>
      </c>
      <c r="C441" s="286" t="s">
        <v>619</v>
      </c>
      <c r="D441" s="286" t="s">
        <v>668</v>
      </c>
      <c r="E441" s="286" t="s">
        <v>604</v>
      </c>
      <c r="F441" s="286">
        <v>27</v>
      </c>
      <c r="G441" s="425">
        <v>1046.76</v>
      </c>
      <c r="H441" s="425">
        <v>44</v>
      </c>
      <c r="J441" s="289"/>
      <c r="K441" s="289"/>
      <c r="L441" s="291"/>
      <c r="M441" s="291"/>
      <c r="N441" s="300"/>
      <c r="O441" s="296"/>
      <c r="P441" s="294"/>
      <c r="Q441" s="294"/>
      <c r="R441" s="295"/>
      <c r="S441" s="302">
        <f t="shared" si="25"/>
        <v>0</v>
      </c>
      <c r="T441" s="302"/>
      <c r="U441" s="303"/>
      <c r="V441" s="305">
        <f t="shared" si="26"/>
        <v>1046.76</v>
      </c>
      <c r="W441" s="305" t="str">
        <f t="shared" si="24"/>
        <v xml:space="preserve"> </v>
      </c>
      <c r="X441" s="288"/>
    </row>
    <row r="442" spans="1:24">
      <c r="A442" s="286">
        <v>62</v>
      </c>
      <c r="C442" s="286" t="s">
        <v>619</v>
      </c>
      <c r="D442" s="286" t="s">
        <v>668</v>
      </c>
      <c r="E442" s="286" t="s">
        <v>634</v>
      </c>
      <c r="F442" s="286">
        <v>27</v>
      </c>
      <c r="G442" s="425">
        <v>871.23</v>
      </c>
      <c r="H442" s="425">
        <v>37</v>
      </c>
      <c r="J442" s="289"/>
      <c r="K442" s="289"/>
      <c r="L442" s="291"/>
      <c r="M442" s="291"/>
      <c r="N442" s="300"/>
      <c r="O442" s="296"/>
      <c r="P442" s="294"/>
      <c r="Q442" s="294"/>
      <c r="R442" s="295"/>
      <c r="S442" s="302">
        <f t="shared" si="25"/>
        <v>0</v>
      </c>
      <c r="T442" s="302"/>
      <c r="U442" s="303"/>
      <c r="V442" s="305">
        <f t="shared" si="26"/>
        <v>0</v>
      </c>
      <c r="W442" s="305" t="str">
        <f t="shared" si="24"/>
        <v xml:space="preserve"> </v>
      </c>
      <c r="X442" s="288"/>
    </row>
    <row r="443" spans="1:24">
      <c r="A443" s="286">
        <v>62</v>
      </c>
      <c r="C443" s="286" t="s">
        <v>619</v>
      </c>
      <c r="D443" s="286" t="s">
        <v>668</v>
      </c>
      <c r="E443" s="286" t="s">
        <v>655</v>
      </c>
      <c r="F443" s="286">
        <v>27</v>
      </c>
      <c r="G443" s="425">
        <v>185.52</v>
      </c>
      <c r="H443" s="425">
        <v>4</v>
      </c>
      <c r="J443" s="289"/>
      <c r="K443" s="289"/>
      <c r="L443" s="291"/>
      <c r="M443" s="291"/>
      <c r="N443" s="300"/>
      <c r="O443" s="296"/>
      <c r="P443" s="294"/>
      <c r="Q443" s="294"/>
      <c r="R443" s="295"/>
      <c r="S443" s="302">
        <f t="shared" si="25"/>
        <v>0</v>
      </c>
      <c r="T443" s="302"/>
      <c r="U443" s="303"/>
      <c r="V443" s="305">
        <f t="shared" si="26"/>
        <v>0</v>
      </c>
      <c r="W443" s="305" t="str">
        <f t="shared" si="24"/>
        <v xml:space="preserve"> </v>
      </c>
      <c r="X443" s="288"/>
    </row>
    <row r="444" spans="1:24">
      <c r="A444" s="286">
        <v>62</v>
      </c>
      <c r="C444" s="286" t="s">
        <v>619</v>
      </c>
      <c r="D444" s="286" t="s">
        <v>668</v>
      </c>
      <c r="E444" s="286" t="s">
        <v>623</v>
      </c>
      <c r="F444" s="286">
        <v>27</v>
      </c>
      <c r="G444" s="425">
        <v>250</v>
      </c>
      <c r="H444" s="425">
        <v>0</v>
      </c>
      <c r="J444" s="289"/>
      <c r="K444" s="289"/>
      <c r="L444" s="291"/>
      <c r="M444" s="291"/>
      <c r="N444" s="300"/>
      <c r="O444" s="296"/>
      <c r="P444" s="294"/>
      <c r="Q444" s="294"/>
      <c r="R444" s="295"/>
      <c r="S444" s="302">
        <f t="shared" si="25"/>
        <v>0</v>
      </c>
      <c r="T444" s="302"/>
      <c r="U444" s="303"/>
      <c r="V444" s="305">
        <f t="shared" si="26"/>
        <v>250</v>
      </c>
      <c r="W444" s="305" t="str">
        <f t="shared" si="24"/>
        <v xml:space="preserve"> </v>
      </c>
      <c r="X444" s="288"/>
    </row>
    <row r="445" spans="1:24">
      <c r="A445" s="286">
        <v>62</v>
      </c>
      <c r="C445" s="286" t="s">
        <v>619</v>
      </c>
      <c r="D445" s="286" t="s">
        <v>668</v>
      </c>
      <c r="E445" s="286" t="s">
        <v>625</v>
      </c>
      <c r="F445" s="286">
        <v>27</v>
      </c>
      <c r="G445" s="425">
        <v>6600</v>
      </c>
      <c r="H445" s="425">
        <v>0</v>
      </c>
      <c r="J445" s="289"/>
      <c r="K445" s="289"/>
      <c r="L445" s="291"/>
      <c r="M445" s="291"/>
      <c r="N445" s="300"/>
      <c r="O445" s="296"/>
      <c r="P445" s="294"/>
      <c r="Q445" s="294"/>
      <c r="R445" s="295"/>
      <c r="S445" s="302">
        <f t="shared" si="25"/>
        <v>0</v>
      </c>
      <c r="T445" s="302"/>
      <c r="U445" s="303"/>
      <c r="V445" s="305">
        <f t="shared" si="26"/>
        <v>6600</v>
      </c>
      <c r="W445" s="305">
        <f t="shared" si="24"/>
        <v>1650</v>
      </c>
      <c r="X445" s="288"/>
    </row>
    <row r="446" spans="1:24">
      <c r="A446" s="286">
        <v>62</v>
      </c>
      <c r="C446" s="286" t="s">
        <v>619</v>
      </c>
      <c r="D446" s="286" t="s">
        <v>668</v>
      </c>
      <c r="E446" s="286" t="s">
        <v>629</v>
      </c>
      <c r="F446" s="286">
        <v>27</v>
      </c>
      <c r="G446" s="425">
        <v>750</v>
      </c>
      <c r="H446" s="425">
        <v>0</v>
      </c>
      <c r="J446" s="289"/>
      <c r="K446" s="289"/>
      <c r="L446" s="291"/>
      <c r="M446" s="291"/>
      <c r="N446" s="300"/>
      <c r="O446" s="296"/>
      <c r="P446" s="294"/>
      <c r="Q446" s="294"/>
      <c r="R446" s="295"/>
      <c r="S446" s="302">
        <f t="shared" si="25"/>
        <v>0</v>
      </c>
      <c r="T446" s="302"/>
      <c r="U446" s="303"/>
      <c r="V446" s="305">
        <f t="shared" si="26"/>
        <v>750</v>
      </c>
      <c r="W446" s="305" t="str">
        <f t="shared" si="24"/>
        <v xml:space="preserve"> </v>
      </c>
      <c r="X446" s="288"/>
    </row>
    <row r="447" spans="1:24">
      <c r="A447" s="286">
        <v>62</v>
      </c>
      <c r="C447" s="286" t="s">
        <v>619</v>
      </c>
      <c r="D447" s="286" t="s">
        <v>668</v>
      </c>
      <c r="E447" s="286" t="s">
        <v>632</v>
      </c>
      <c r="F447" s="286">
        <v>27</v>
      </c>
      <c r="G447" s="425">
        <v>9422.08</v>
      </c>
      <c r="H447" s="425">
        <v>0</v>
      </c>
      <c r="J447" s="289"/>
      <c r="K447" s="289"/>
      <c r="L447" s="291"/>
      <c r="M447" s="291"/>
      <c r="N447" s="300"/>
      <c r="O447" s="296"/>
      <c r="P447" s="294"/>
      <c r="Q447" s="294"/>
      <c r="R447" s="295"/>
      <c r="S447" s="302">
        <f t="shared" si="25"/>
        <v>0</v>
      </c>
      <c r="T447" s="302"/>
      <c r="U447" s="303"/>
      <c r="V447" s="305">
        <f t="shared" si="26"/>
        <v>9422.08</v>
      </c>
      <c r="W447" s="305">
        <f t="shared" si="24"/>
        <v>-9422.08</v>
      </c>
      <c r="X447" s="288"/>
    </row>
    <row r="448" spans="1:24">
      <c r="A448" s="286">
        <v>63</v>
      </c>
      <c r="C448" s="286" t="s">
        <v>619</v>
      </c>
      <c r="D448" s="286" t="s">
        <v>654</v>
      </c>
      <c r="E448" s="286" t="s">
        <v>621</v>
      </c>
      <c r="F448" s="286">
        <f>IF(VLOOKUP(A448,'WP-5 Payroll Data'!$K$11:$O$151,3,FALSE)&gt;26,26,VLOOKUP(A448,'WP-5 Payroll Data'!$K$11:$O$151,3,FALSE))</f>
        <v>26</v>
      </c>
      <c r="G448" s="425">
        <v>38188.11</v>
      </c>
      <c r="H448" s="425">
        <v>1595.4</v>
      </c>
      <c r="J448" s="289">
        <f>VLOOKUP(A448,'WP-5 Payroll Data'!$K$11:$O$151,4,FALSE)</f>
        <v>49209.679999999993</v>
      </c>
      <c r="K448" s="289">
        <f>VLOOKUP(A448,'WP-5 Payroll Data'!$K$11:$O$151,5,FALSE)</f>
        <v>2048</v>
      </c>
      <c r="L448" s="289">
        <f>J448/K448</f>
        <v>24.028164062499997</v>
      </c>
      <c r="M448" s="289"/>
      <c r="N448" s="300">
        <f>IF((K448/F448)*26&gt;1500,2080,IF((K448/F448)*26&gt;300,520,IF((K448/F448)*26&gt;100,260,K448)))</f>
        <v>2080</v>
      </c>
      <c r="O448" s="296">
        <f>N448*L448</f>
        <v>49978.581249999996</v>
      </c>
      <c r="P448" s="294"/>
      <c r="Q448" s="294">
        <f>O448*0.03</f>
        <v>1499.3574374999998</v>
      </c>
      <c r="R448" s="295"/>
      <c r="S448" s="302">
        <f t="shared" si="25"/>
        <v>0</v>
      </c>
      <c r="T448" s="302"/>
      <c r="U448" s="303"/>
      <c r="V448" s="305">
        <f t="shared" si="26"/>
        <v>0</v>
      </c>
      <c r="W448" s="305" t="str">
        <f t="shared" si="24"/>
        <v xml:space="preserve"> </v>
      </c>
      <c r="X448" s="288"/>
    </row>
    <row r="449" spans="1:24">
      <c r="A449" s="286">
        <v>63</v>
      </c>
      <c r="C449" s="286" t="s">
        <v>619</v>
      </c>
      <c r="D449" s="286" t="s">
        <v>654</v>
      </c>
      <c r="E449" s="286" t="s">
        <v>599</v>
      </c>
      <c r="F449" s="286">
        <v>27</v>
      </c>
      <c r="G449" s="425">
        <v>691.96</v>
      </c>
      <c r="H449" s="425">
        <v>18.899999999999999</v>
      </c>
      <c r="J449" s="289"/>
      <c r="K449" s="289"/>
      <c r="L449" s="291"/>
      <c r="M449" s="291"/>
      <c r="N449" s="300"/>
      <c r="O449" s="296"/>
      <c r="P449" s="294"/>
      <c r="Q449" s="294"/>
      <c r="R449" s="295"/>
      <c r="S449" s="302">
        <f t="shared" si="25"/>
        <v>691.96</v>
      </c>
      <c r="T449" s="302">
        <f t="shared" si="27"/>
        <v>20.758800000000001</v>
      </c>
      <c r="U449" s="303"/>
      <c r="V449" s="305">
        <f t="shared" si="26"/>
        <v>0</v>
      </c>
      <c r="W449" s="305" t="str">
        <f t="shared" si="24"/>
        <v xml:space="preserve"> </v>
      </c>
      <c r="X449" s="288"/>
    </row>
    <row r="450" spans="1:24">
      <c r="A450" s="286">
        <v>63</v>
      </c>
      <c r="C450" s="286" t="s">
        <v>619</v>
      </c>
      <c r="D450" s="286" t="s">
        <v>654</v>
      </c>
      <c r="E450" s="286" t="s">
        <v>601</v>
      </c>
      <c r="F450" s="286">
        <v>27</v>
      </c>
      <c r="G450" s="425">
        <v>3451.26</v>
      </c>
      <c r="H450" s="425">
        <v>72</v>
      </c>
      <c r="J450" s="289"/>
      <c r="K450" s="289"/>
      <c r="L450" s="291"/>
      <c r="M450" s="291"/>
      <c r="N450" s="300"/>
      <c r="O450" s="296"/>
      <c r="P450" s="294"/>
      <c r="Q450" s="294"/>
      <c r="R450" s="295"/>
      <c r="S450" s="302">
        <f t="shared" si="25"/>
        <v>3451.26</v>
      </c>
      <c r="T450" s="302">
        <f t="shared" si="27"/>
        <v>103.5378</v>
      </c>
      <c r="U450" s="303"/>
      <c r="V450" s="305">
        <f t="shared" si="26"/>
        <v>0</v>
      </c>
      <c r="W450" s="305" t="str">
        <f t="shared" si="24"/>
        <v xml:space="preserve"> </v>
      </c>
      <c r="X450" s="288"/>
    </row>
    <row r="451" spans="1:24">
      <c r="A451" s="286">
        <v>63</v>
      </c>
      <c r="C451" s="286" t="s">
        <v>619</v>
      </c>
      <c r="D451" s="286" t="s">
        <v>654</v>
      </c>
      <c r="E451" s="286" t="s">
        <v>627</v>
      </c>
      <c r="F451" s="286">
        <v>27</v>
      </c>
      <c r="G451" s="425">
        <v>5070.8799999999992</v>
      </c>
      <c r="H451" s="425">
        <v>208</v>
      </c>
      <c r="J451" s="289"/>
      <c r="K451" s="289"/>
      <c r="L451" s="291"/>
      <c r="M451" s="291"/>
      <c r="N451" s="300"/>
      <c r="O451" s="296"/>
      <c r="P451" s="294"/>
      <c r="Q451" s="294"/>
      <c r="R451" s="295"/>
      <c r="S451" s="302">
        <f t="shared" si="25"/>
        <v>0</v>
      </c>
      <c r="T451" s="302"/>
      <c r="U451" s="303"/>
      <c r="V451" s="305">
        <f t="shared" si="26"/>
        <v>0</v>
      </c>
      <c r="W451" s="305" t="str">
        <f t="shared" si="24"/>
        <v xml:space="preserve"> </v>
      </c>
      <c r="X451" s="288"/>
    </row>
    <row r="452" spans="1:24">
      <c r="A452" s="286">
        <v>63</v>
      </c>
      <c r="C452" s="286" t="s">
        <v>619</v>
      </c>
      <c r="D452" s="286" t="s">
        <v>654</v>
      </c>
      <c r="E452" s="286" t="s">
        <v>630</v>
      </c>
      <c r="F452" s="286">
        <v>27</v>
      </c>
      <c r="G452" s="425">
        <v>2677.25</v>
      </c>
      <c r="H452" s="425">
        <v>112.6</v>
      </c>
      <c r="J452" s="289"/>
      <c r="K452" s="289"/>
      <c r="L452" s="291"/>
      <c r="M452" s="291"/>
      <c r="N452" s="300"/>
      <c r="O452" s="296"/>
      <c r="P452" s="294"/>
      <c r="Q452" s="294"/>
      <c r="R452" s="295"/>
      <c r="S452" s="302">
        <f t="shared" si="25"/>
        <v>0</v>
      </c>
      <c r="T452" s="302"/>
      <c r="U452" s="303"/>
      <c r="V452" s="305">
        <f t="shared" si="26"/>
        <v>0</v>
      </c>
      <c r="W452" s="305" t="str">
        <f t="shared" si="24"/>
        <v xml:space="preserve"> </v>
      </c>
      <c r="X452" s="288"/>
    </row>
    <row r="453" spans="1:24">
      <c r="A453" s="286">
        <v>63</v>
      </c>
      <c r="C453" s="286" t="s">
        <v>619</v>
      </c>
      <c r="D453" s="286" t="s">
        <v>654</v>
      </c>
      <c r="E453" s="286" t="s">
        <v>633</v>
      </c>
      <c r="F453" s="286">
        <v>27</v>
      </c>
      <c r="G453" s="425">
        <v>2696.56</v>
      </c>
      <c r="H453" s="425">
        <v>112</v>
      </c>
      <c r="J453" s="289"/>
      <c r="K453" s="289"/>
      <c r="L453" s="291"/>
      <c r="M453" s="291"/>
      <c r="N453" s="300"/>
      <c r="O453" s="296"/>
      <c r="P453" s="294"/>
      <c r="Q453" s="294"/>
      <c r="R453" s="295"/>
      <c r="S453" s="302">
        <f t="shared" si="25"/>
        <v>0</v>
      </c>
      <c r="T453" s="302"/>
      <c r="U453" s="303"/>
      <c r="V453" s="305">
        <f t="shared" si="26"/>
        <v>0</v>
      </c>
      <c r="W453" s="305" t="str">
        <f t="shared" si="24"/>
        <v xml:space="preserve"> </v>
      </c>
      <c r="X453" s="288"/>
    </row>
    <row r="454" spans="1:24">
      <c r="A454" s="286">
        <v>63</v>
      </c>
      <c r="C454" s="286" t="s">
        <v>619</v>
      </c>
      <c r="D454" s="286" t="s">
        <v>654</v>
      </c>
      <c r="E454" s="286" t="s">
        <v>604</v>
      </c>
      <c r="F454" s="286">
        <v>27</v>
      </c>
      <c r="G454" s="425">
        <v>603.6</v>
      </c>
      <c r="H454" s="425">
        <v>24</v>
      </c>
      <c r="J454" s="289"/>
      <c r="K454" s="289"/>
      <c r="L454" s="291"/>
      <c r="M454" s="291"/>
      <c r="N454" s="300"/>
      <c r="O454" s="296"/>
      <c r="P454" s="294"/>
      <c r="Q454" s="294"/>
      <c r="R454" s="295"/>
      <c r="S454" s="302">
        <f t="shared" si="25"/>
        <v>0</v>
      </c>
      <c r="T454" s="302"/>
      <c r="U454" s="303"/>
      <c r="V454" s="305">
        <f t="shared" si="26"/>
        <v>603.6</v>
      </c>
      <c r="W454" s="305" t="str">
        <f t="shared" si="24"/>
        <v xml:space="preserve"> </v>
      </c>
      <c r="X454" s="288"/>
    </row>
    <row r="455" spans="1:24">
      <c r="A455" s="286">
        <v>63</v>
      </c>
      <c r="C455" s="286" t="s">
        <v>619</v>
      </c>
      <c r="D455" s="286" t="s">
        <v>654</v>
      </c>
      <c r="E455" s="286" t="s">
        <v>634</v>
      </c>
      <c r="F455" s="286">
        <v>27</v>
      </c>
      <c r="G455" s="425">
        <v>389.03999999999996</v>
      </c>
      <c r="H455" s="425">
        <v>16</v>
      </c>
      <c r="J455" s="289"/>
      <c r="K455" s="289"/>
      <c r="L455" s="291"/>
      <c r="M455" s="291"/>
      <c r="N455" s="300"/>
      <c r="O455" s="296"/>
      <c r="P455" s="294"/>
      <c r="Q455" s="294"/>
      <c r="R455" s="295"/>
      <c r="S455" s="302">
        <f t="shared" si="25"/>
        <v>0</v>
      </c>
      <c r="T455" s="302"/>
      <c r="U455" s="303"/>
      <c r="V455" s="305">
        <f t="shared" si="26"/>
        <v>0</v>
      </c>
      <c r="W455" s="305" t="str">
        <f t="shared" si="24"/>
        <v xml:space="preserve"> </v>
      </c>
      <c r="X455" s="288"/>
    </row>
    <row r="456" spans="1:24">
      <c r="A456" s="286">
        <v>63</v>
      </c>
      <c r="C456" s="286" t="s">
        <v>619</v>
      </c>
      <c r="D456" s="286" t="s">
        <v>654</v>
      </c>
      <c r="E456" s="286" t="s">
        <v>655</v>
      </c>
      <c r="F456" s="286">
        <v>27</v>
      </c>
      <c r="G456" s="425">
        <v>187.84</v>
      </c>
      <c r="H456" s="425">
        <v>4</v>
      </c>
      <c r="J456" s="289"/>
      <c r="K456" s="289"/>
      <c r="L456" s="291"/>
      <c r="M456" s="291"/>
      <c r="N456" s="300"/>
      <c r="O456" s="296"/>
      <c r="P456" s="294"/>
      <c r="Q456" s="294"/>
      <c r="R456" s="295"/>
      <c r="S456" s="302">
        <f t="shared" si="25"/>
        <v>0</v>
      </c>
      <c r="T456" s="302"/>
      <c r="U456" s="303"/>
      <c r="V456" s="305">
        <f t="shared" si="26"/>
        <v>0</v>
      </c>
      <c r="W456" s="305" t="str">
        <f t="shared" si="24"/>
        <v xml:space="preserve"> </v>
      </c>
      <c r="X456" s="288"/>
    </row>
    <row r="457" spans="1:24">
      <c r="A457" s="286">
        <v>63</v>
      </c>
      <c r="C457" s="286" t="s">
        <v>619</v>
      </c>
      <c r="D457" s="286" t="s">
        <v>654</v>
      </c>
      <c r="E457" s="286" t="s">
        <v>623</v>
      </c>
      <c r="F457" s="286">
        <v>27</v>
      </c>
      <c r="G457" s="425">
        <v>250</v>
      </c>
      <c r="H457" s="425">
        <v>0</v>
      </c>
      <c r="J457" s="289"/>
      <c r="K457" s="289"/>
      <c r="L457" s="291"/>
      <c r="M457" s="291"/>
      <c r="N457" s="300"/>
      <c r="O457" s="296"/>
      <c r="P457" s="294"/>
      <c r="Q457" s="294"/>
      <c r="R457" s="295"/>
      <c r="S457" s="302">
        <f t="shared" si="25"/>
        <v>0</v>
      </c>
      <c r="T457" s="302"/>
      <c r="U457" s="303"/>
      <c r="V457" s="305">
        <f t="shared" si="26"/>
        <v>250</v>
      </c>
      <c r="W457" s="305" t="str">
        <f t="shared" si="24"/>
        <v xml:space="preserve"> </v>
      </c>
      <c r="X457" s="288"/>
    </row>
    <row r="458" spans="1:24">
      <c r="A458" s="286">
        <v>63</v>
      </c>
      <c r="C458" s="286" t="s">
        <v>619</v>
      </c>
      <c r="D458" s="286" t="s">
        <v>654</v>
      </c>
      <c r="E458" s="286" t="s">
        <v>625</v>
      </c>
      <c r="F458" s="286">
        <v>27</v>
      </c>
      <c r="G458" s="425">
        <v>5600</v>
      </c>
      <c r="H458" s="425">
        <v>0</v>
      </c>
      <c r="J458" s="289"/>
      <c r="K458" s="289"/>
      <c r="L458" s="291"/>
      <c r="M458" s="291"/>
      <c r="N458" s="300"/>
      <c r="O458" s="296"/>
      <c r="P458" s="294"/>
      <c r="Q458" s="294"/>
      <c r="R458" s="295"/>
      <c r="S458" s="302">
        <f t="shared" si="25"/>
        <v>0</v>
      </c>
      <c r="T458" s="302"/>
      <c r="U458" s="303"/>
      <c r="V458" s="305">
        <f t="shared" si="26"/>
        <v>5600</v>
      </c>
      <c r="W458" s="305">
        <f t="shared" ref="W458:W521" si="28">IF($E458=$AA$29,-$V458,IF(OR($E458=$AA$18,$E458=$AA$23,$E458=$AA$24,$E458=$AA$26),(($V458/200)*50)," "))</f>
        <v>1400</v>
      </c>
      <c r="X458" s="288"/>
    </row>
    <row r="459" spans="1:24">
      <c r="A459" s="286">
        <v>63</v>
      </c>
      <c r="C459" s="286" t="s">
        <v>619</v>
      </c>
      <c r="D459" s="286" t="s">
        <v>654</v>
      </c>
      <c r="E459" s="286" t="s">
        <v>629</v>
      </c>
      <c r="F459" s="286">
        <v>27</v>
      </c>
      <c r="G459" s="425">
        <v>3000</v>
      </c>
      <c r="H459" s="425">
        <v>0</v>
      </c>
      <c r="J459" s="289"/>
      <c r="K459" s="289"/>
      <c r="L459" s="291"/>
      <c r="M459" s="291"/>
      <c r="N459" s="300"/>
      <c r="O459" s="296"/>
      <c r="P459" s="294"/>
      <c r="Q459" s="294"/>
      <c r="R459" s="295"/>
      <c r="S459" s="302">
        <f t="shared" ref="S459:S522" si="29">IF(OR($E459=$Y$10,$E459=$Y$11,$E459=$Y$12,$E459=$Y$13),$G459,0)</f>
        <v>0</v>
      </c>
      <c r="T459" s="302"/>
      <c r="U459" s="303"/>
      <c r="V459" s="305">
        <f t="shared" ref="V459:V522" si="30">IF(OR($E459=$AA$10,$E459=$AA$11,$E459=$AA$12,$E459=$AA$13,$E459=$AA$14,$E459=$AA$15,$E459=$AA$16,$E459=$AA$17,$E459=$AA$18,$E459=$AA$19,$E459=$AA$20,$E459=$AA$21,$E459=$AA$22,$E459=$AA$23,$E459=$AA$24,$E459=$AA$25,$E459=$AA$26,$E459=$AA$27,$E459=$AA$28,$E459=$AA$29),G459,0)</f>
        <v>3000</v>
      </c>
      <c r="W459" s="305" t="str">
        <f t="shared" si="28"/>
        <v xml:space="preserve"> </v>
      </c>
      <c r="X459" s="288"/>
    </row>
    <row r="460" spans="1:24">
      <c r="A460" s="286">
        <v>63</v>
      </c>
      <c r="C460" s="286" t="s">
        <v>619</v>
      </c>
      <c r="D460" s="286" t="s">
        <v>654</v>
      </c>
      <c r="E460" s="286" t="s">
        <v>632</v>
      </c>
      <c r="F460" s="286">
        <v>27</v>
      </c>
      <c r="G460" s="425">
        <v>9445.9599999999991</v>
      </c>
      <c r="H460" s="425">
        <v>0</v>
      </c>
      <c r="J460" s="289"/>
      <c r="K460" s="289"/>
      <c r="L460" s="291"/>
      <c r="M460" s="291"/>
      <c r="N460" s="300"/>
      <c r="O460" s="296"/>
      <c r="P460" s="294"/>
      <c r="Q460" s="294"/>
      <c r="R460" s="295"/>
      <c r="S460" s="302">
        <f t="shared" si="29"/>
        <v>0</v>
      </c>
      <c r="T460" s="302"/>
      <c r="U460" s="303"/>
      <c r="V460" s="305">
        <f t="shared" si="30"/>
        <v>9445.9599999999991</v>
      </c>
      <c r="W460" s="305">
        <f t="shared" si="28"/>
        <v>-9445.9599999999991</v>
      </c>
      <c r="X460" s="288"/>
    </row>
    <row r="461" spans="1:24">
      <c r="A461" s="286">
        <v>64</v>
      </c>
      <c r="C461" s="286" t="s">
        <v>644</v>
      </c>
      <c r="D461" s="286"/>
      <c r="E461" s="286" t="s">
        <v>598</v>
      </c>
      <c r="F461" s="286">
        <f>IF(VLOOKUP(A461,'WP-5 Payroll Data'!$K$11:$O$151,3,FALSE)&gt;26,26,VLOOKUP(A461,'WP-5 Payroll Data'!$K$11:$O$151,3,FALSE))</f>
        <v>26</v>
      </c>
      <c r="G461" s="425">
        <v>7245.9399999999987</v>
      </c>
      <c r="H461" s="425">
        <v>478.4</v>
      </c>
      <c r="J461" s="289">
        <f>VLOOKUP(A461,'WP-5 Payroll Data'!$K$11:$O$151,4,FALSE)</f>
        <v>7876.48</v>
      </c>
      <c r="K461" s="289">
        <f>VLOOKUP(A461,'WP-5 Payroll Data'!$K$11:$O$151,5,FALSE)</f>
        <v>520.01</v>
      </c>
      <c r="L461" s="289">
        <f>J461/K461</f>
        <v>15.146785638737716</v>
      </c>
      <c r="M461" s="289"/>
      <c r="N461" s="300">
        <f>IF((K461/F461)*26&gt;1500,2080,IF((K461/F461)*26&gt;300,520,IF((K461/F461)*26&gt;100,260,K461)))</f>
        <v>520</v>
      </c>
      <c r="O461" s="296">
        <f>N461*L461</f>
        <v>7876.3285321436124</v>
      </c>
      <c r="P461" s="294"/>
      <c r="Q461" s="294">
        <f>O461*0.03</f>
        <v>236.28985596430837</v>
      </c>
      <c r="R461" s="295"/>
      <c r="S461" s="302">
        <f t="shared" si="29"/>
        <v>0</v>
      </c>
      <c r="T461" s="302"/>
      <c r="U461" s="303"/>
      <c r="V461" s="305">
        <f t="shared" si="30"/>
        <v>0</v>
      </c>
      <c r="W461" s="305" t="str">
        <f t="shared" si="28"/>
        <v xml:space="preserve"> </v>
      </c>
      <c r="X461" s="288"/>
    </row>
    <row r="462" spans="1:24">
      <c r="A462" s="286">
        <v>64</v>
      </c>
      <c r="C462" s="286" t="s">
        <v>644</v>
      </c>
      <c r="D462" s="286"/>
      <c r="E462" s="286" t="s">
        <v>599</v>
      </c>
      <c r="F462" s="286">
        <v>26</v>
      </c>
      <c r="G462" s="425">
        <v>338.09999999999991</v>
      </c>
      <c r="H462" s="425">
        <v>14.959999999999999</v>
      </c>
      <c r="J462" s="289"/>
      <c r="K462" s="289"/>
      <c r="L462" s="291"/>
      <c r="M462" s="291"/>
      <c r="N462" s="300"/>
      <c r="O462" s="296"/>
      <c r="P462" s="294"/>
      <c r="Q462" s="294"/>
      <c r="R462" s="295"/>
      <c r="S462" s="302">
        <f t="shared" si="29"/>
        <v>338.09999999999991</v>
      </c>
      <c r="T462" s="302">
        <f t="shared" ref="T462:T518" si="31">S462*0.03</f>
        <v>10.142999999999997</v>
      </c>
      <c r="U462" s="303"/>
      <c r="V462" s="305">
        <f t="shared" si="30"/>
        <v>0</v>
      </c>
      <c r="W462" s="305" t="str">
        <f t="shared" si="28"/>
        <v xml:space="preserve"> </v>
      </c>
      <c r="X462" s="288"/>
    </row>
    <row r="463" spans="1:24">
      <c r="A463" s="286">
        <v>64</v>
      </c>
      <c r="C463" s="286" t="s">
        <v>644</v>
      </c>
      <c r="D463" s="286"/>
      <c r="E463" s="286" t="s">
        <v>605</v>
      </c>
      <c r="F463" s="286">
        <v>26</v>
      </c>
      <c r="G463" s="425">
        <v>295.71999999999991</v>
      </c>
      <c r="H463" s="425">
        <v>19.5</v>
      </c>
      <c r="J463" s="289"/>
      <c r="K463" s="289"/>
      <c r="L463" s="291"/>
      <c r="M463" s="291"/>
      <c r="N463" s="300"/>
      <c r="O463" s="296"/>
      <c r="P463" s="294"/>
      <c r="Q463" s="294"/>
      <c r="R463" s="295"/>
      <c r="S463" s="302">
        <f t="shared" si="29"/>
        <v>0</v>
      </c>
      <c r="T463" s="302"/>
      <c r="U463" s="303"/>
      <c r="V463" s="305">
        <f t="shared" si="30"/>
        <v>0</v>
      </c>
      <c r="W463" s="305" t="str">
        <f t="shared" si="28"/>
        <v xml:space="preserve"> </v>
      </c>
      <c r="X463" s="288"/>
    </row>
    <row r="464" spans="1:24">
      <c r="A464" s="286">
        <v>64</v>
      </c>
      <c r="C464" s="286" t="s">
        <v>644</v>
      </c>
      <c r="D464" s="286"/>
      <c r="E464" s="286" t="s">
        <v>608</v>
      </c>
      <c r="F464" s="286">
        <v>26</v>
      </c>
      <c r="G464" s="425">
        <v>251.71999999999997</v>
      </c>
      <c r="H464" s="425">
        <v>16.63</v>
      </c>
      <c r="J464" s="289"/>
      <c r="K464" s="289"/>
      <c r="L464" s="291"/>
      <c r="M464" s="291"/>
      <c r="N464" s="300"/>
      <c r="O464" s="296"/>
      <c r="P464" s="294"/>
      <c r="Q464" s="294"/>
      <c r="R464" s="295"/>
      <c r="S464" s="302">
        <f t="shared" si="29"/>
        <v>0</v>
      </c>
      <c r="T464" s="302"/>
      <c r="U464" s="303"/>
      <c r="V464" s="305">
        <f t="shared" si="30"/>
        <v>0</v>
      </c>
      <c r="W464" s="305" t="str">
        <f t="shared" si="28"/>
        <v xml:space="preserve"> </v>
      </c>
      <c r="X464" s="288"/>
    </row>
    <row r="465" spans="1:24">
      <c r="A465" s="286">
        <v>64</v>
      </c>
      <c r="C465" s="286" t="s">
        <v>644</v>
      </c>
      <c r="D465" s="286"/>
      <c r="E465" s="286" t="s">
        <v>610</v>
      </c>
      <c r="F465" s="286">
        <v>26</v>
      </c>
      <c r="G465" s="425">
        <v>83.1</v>
      </c>
      <c r="H465" s="425">
        <v>5.48</v>
      </c>
      <c r="J465" s="289"/>
      <c r="K465" s="289"/>
      <c r="L465" s="291"/>
      <c r="M465" s="291"/>
      <c r="N465" s="300"/>
      <c r="O465" s="296"/>
      <c r="P465" s="294"/>
      <c r="Q465" s="294"/>
      <c r="R465" s="295"/>
      <c r="S465" s="302">
        <f t="shared" si="29"/>
        <v>0</v>
      </c>
      <c r="T465" s="302"/>
      <c r="U465" s="303"/>
      <c r="V465" s="305">
        <f t="shared" si="30"/>
        <v>0</v>
      </c>
      <c r="W465" s="305" t="str">
        <f t="shared" si="28"/>
        <v xml:space="preserve"> </v>
      </c>
      <c r="X465" s="288"/>
    </row>
    <row r="466" spans="1:24">
      <c r="A466" s="286">
        <v>64</v>
      </c>
      <c r="C466" s="286" t="s">
        <v>644</v>
      </c>
      <c r="D466" s="286"/>
      <c r="E466" s="286" t="s">
        <v>614</v>
      </c>
      <c r="F466" s="286">
        <v>26</v>
      </c>
      <c r="G466" s="425">
        <v>62.5</v>
      </c>
      <c r="H466" s="425">
        <v>0</v>
      </c>
      <c r="J466" s="289"/>
      <c r="K466" s="289"/>
      <c r="L466" s="291"/>
      <c r="M466" s="291"/>
      <c r="N466" s="300"/>
      <c r="O466" s="296"/>
      <c r="P466" s="294"/>
      <c r="Q466" s="294"/>
      <c r="R466" s="295"/>
      <c r="S466" s="302">
        <f t="shared" si="29"/>
        <v>0</v>
      </c>
      <c r="T466" s="302"/>
      <c r="U466" s="303"/>
      <c r="V466" s="305">
        <f t="shared" si="30"/>
        <v>62.5</v>
      </c>
      <c r="W466" s="305" t="str">
        <f t="shared" si="28"/>
        <v xml:space="preserve"> </v>
      </c>
      <c r="X466" s="288"/>
    </row>
    <row r="467" spans="1:24">
      <c r="A467" s="286">
        <v>64</v>
      </c>
      <c r="C467" s="286" t="s">
        <v>644</v>
      </c>
      <c r="D467" s="286"/>
      <c r="E467" s="286" t="s">
        <v>616</v>
      </c>
      <c r="F467" s="286">
        <v>26</v>
      </c>
      <c r="G467" s="425">
        <v>50</v>
      </c>
      <c r="H467" s="425">
        <v>0</v>
      </c>
      <c r="J467" s="289"/>
      <c r="K467" s="289"/>
      <c r="L467" s="291"/>
      <c r="M467" s="291"/>
      <c r="N467" s="300"/>
      <c r="O467" s="296"/>
      <c r="P467" s="294"/>
      <c r="Q467" s="294"/>
      <c r="R467" s="295"/>
      <c r="S467" s="302">
        <f t="shared" si="29"/>
        <v>0</v>
      </c>
      <c r="T467" s="302"/>
      <c r="U467" s="303"/>
      <c r="V467" s="305">
        <f t="shared" si="30"/>
        <v>50</v>
      </c>
      <c r="W467" s="305">
        <f t="shared" si="28"/>
        <v>12.5</v>
      </c>
      <c r="X467" s="288"/>
    </row>
    <row r="468" spans="1:24">
      <c r="A468" s="286">
        <v>65</v>
      </c>
      <c r="C468" s="286" t="s">
        <v>597</v>
      </c>
      <c r="D468" s="286"/>
      <c r="E468" s="286" t="s">
        <v>598</v>
      </c>
      <c r="F468" s="286">
        <f>IF(VLOOKUP(A468,'WP-5 Payroll Data'!$K$11:$O$151,3,FALSE)&gt;26,26,VLOOKUP(A468,'WP-5 Payroll Data'!$K$11:$O$151,3,FALSE))</f>
        <v>26</v>
      </c>
      <c r="G468" s="425">
        <v>7910.800000000002</v>
      </c>
      <c r="H468" s="425">
        <v>226.5</v>
      </c>
      <c r="J468" s="289">
        <f>VLOOKUP(A468,'WP-5 Payroll Data'!$K$11:$O$151,4,FALSE)</f>
        <v>9022.7000000000025</v>
      </c>
      <c r="K468" s="289">
        <f>VLOOKUP(A468,'WP-5 Payroll Data'!$K$11:$O$151,5,FALSE)</f>
        <v>258.5</v>
      </c>
      <c r="L468" s="289">
        <f>J468/K468</f>
        <v>34.904061895551266</v>
      </c>
      <c r="M468" s="289"/>
      <c r="N468" s="300">
        <f>IF((K468/F468)*26&gt;1500,2080,IF((K468/F468)*26&gt;300,520,IF((K468/F468)*26&gt;100,260,K468)))</f>
        <v>260</v>
      </c>
      <c r="O468" s="296">
        <f>N468*L468</f>
        <v>9075.0560928433297</v>
      </c>
      <c r="P468" s="294"/>
      <c r="Q468" s="294">
        <f>O468*0.03</f>
        <v>272.25168278529986</v>
      </c>
      <c r="R468" s="295"/>
      <c r="S468" s="302">
        <f t="shared" si="29"/>
        <v>0</v>
      </c>
      <c r="T468" s="302"/>
      <c r="U468" s="303"/>
      <c r="V468" s="305">
        <f t="shared" si="30"/>
        <v>0</v>
      </c>
      <c r="W468" s="305" t="str">
        <f t="shared" si="28"/>
        <v xml:space="preserve"> </v>
      </c>
      <c r="X468" s="288"/>
    </row>
    <row r="469" spans="1:24">
      <c r="A469" s="286">
        <v>65</v>
      </c>
      <c r="C469" s="286" t="s">
        <v>597</v>
      </c>
      <c r="D469" s="286"/>
      <c r="E469" s="286" t="s">
        <v>605</v>
      </c>
      <c r="F469" s="286">
        <v>26</v>
      </c>
      <c r="G469" s="425">
        <v>622.5</v>
      </c>
      <c r="H469" s="425">
        <v>18</v>
      </c>
      <c r="J469" s="289"/>
      <c r="K469" s="289"/>
      <c r="L469" s="291"/>
      <c r="M469" s="291"/>
      <c r="N469" s="300"/>
      <c r="O469" s="296"/>
      <c r="P469" s="294"/>
      <c r="Q469" s="294"/>
      <c r="R469" s="295"/>
      <c r="S469" s="302">
        <f t="shared" si="29"/>
        <v>0</v>
      </c>
      <c r="T469" s="302"/>
      <c r="U469" s="303"/>
      <c r="V469" s="305">
        <f t="shared" si="30"/>
        <v>0</v>
      </c>
      <c r="W469" s="305" t="str">
        <f t="shared" si="28"/>
        <v xml:space="preserve"> </v>
      </c>
      <c r="X469" s="288"/>
    </row>
    <row r="470" spans="1:24">
      <c r="A470" s="286">
        <v>65</v>
      </c>
      <c r="C470" s="286" t="s">
        <v>597</v>
      </c>
      <c r="D470" s="286"/>
      <c r="E470" s="286" t="s">
        <v>600</v>
      </c>
      <c r="F470" s="286">
        <v>26</v>
      </c>
      <c r="G470" s="425">
        <v>174.78</v>
      </c>
      <c r="H470" s="425">
        <v>5</v>
      </c>
      <c r="J470" s="289"/>
      <c r="K470" s="289"/>
      <c r="L470" s="291"/>
      <c r="M470" s="291"/>
      <c r="N470" s="300"/>
      <c r="O470" s="296"/>
      <c r="P470" s="294"/>
      <c r="Q470" s="294"/>
      <c r="R470" s="295"/>
      <c r="S470" s="302">
        <f t="shared" si="29"/>
        <v>0</v>
      </c>
      <c r="T470" s="302"/>
      <c r="U470" s="303"/>
      <c r="V470" s="305">
        <f t="shared" si="30"/>
        <v>174.78</v>
      </c>
      <c r="W470" s="305" t="str">
        <f t="shared" si="28"/>
        <v xml:space="preserve"> </v>
      </c>
      <c r="X470" s="288"/>
    </row>
    <row r="471" spans="1:24">
      <c r="A471" s="286">
        <v>65</v>
      </c>
      <c r="C471" s="286" t="s">
        <v>597</v>
      </c>
      <c r="D471" s="286"/>
      <c r="E471" s="286" t="s">
        <v>608</v>
      </c>
      <c r="F471" s="286">
        <v>26</v>
      </c>
      <c r="G471" s="425">
        <v>104.88</v>
      </c>
      <c r="H471" s="425">
        <v>3</v>
      </c>
      <c r="J471" s="289"/>
      <c r="K471" s="289"/>
      <c r="L471" s="291"/>
      <c r="M471" s="291"/>
      <c r="N471" s="300"/>
      <c r="O471" s="296"/>
      <c r="P471" s="294"/>
      <c r="Q471" s="294"/>
      <c r="R471" s="295"/>
      <c r="S471" s="302">
        <f t="shared" si="29"/>
        <v>0</v>
      </c>
      <c r="T471" s="302"/>
      <c r="U471" s="303"/>
      <c r="V471" s="305">
        <f t="shared" si="30"/>
        <v>0</v>
      </c>
      <c r="W471" s="305" t="str">
        <f t="shared" si="28"/>
        <v xml:space="preserve"> </v>
      </c>
      <c r="X471" s="288"/>
    </row>
    <row r="472" spans="1:24">
      <c r="A472" s="286">
        <v>65</v>
      </c>
      <c r="C472" s="286" t="s">
        <v>597</v>
      </c>
      <c r="D472" s="286"/>
      <c r="E472" s="286" t="s">
        <v>602</v>
      </c>
      <c r="F472" s="286">
        <v>26</v>
      </c>
      <c r="G472" s="425">
        <v>52.44</v>
      </c>
      <c r="H472" s="425">
        <v>1.5</v>
      </c>
      <c r="J472" s="289"/>
      <c r="K472" s="289"/>
      <c r="L472" s="291"/>
      <c r="M472" s="291"/>
      <c r="N472" s="300"/>
      <c r="O472" s="296"/>
      <c r="P472" s="294"/>
      <c r="Q472" s="294"/>
      <c r="R472" s="295"/>
      <c r="S472" s="302">
        <f t="shared" si="29"/>
        <v>0</v>
      </c>
      <c r="T472" s="302"/>
      <c r="U472" s="303"/>
      <c r="V472" s="305">
        <f t="shared" si="30"/>
        <v>52.44</v>
      </c>
      <c r="W472" s="305" t="str">
        <f t="shared" si="28"/>
        <v xml:space="preserve"> </v>
      </c>
      <c r="X472" s="288"/>
    </row>
    <row r="473" spans="1:24">
      <c r="A473" s="286">
        <v>65</v>
      </c>
      <c r="C473" s="286" t="s">
        <v>597</v>
      </c>
      <c r="D473" s="286"/>
      <c r="E473" s="286" t="s">
        <v>610</v>
      </c>
      <c r="F473" s="286">
        <v>26</v>
      </c>
      <c r="G473" s="425">
        <v>104.87</v>
      </c>
      <c r="H473" s="425">
        <v>3</v>
      </c>
      <c r="J473" s="289"/>
      <c r="K473" s="289"/>
      <c r="L473" s="291"/>
      <c r="M473" s="291"/>
      <c r="N473" s="300"/>
      <c r="O473" s="296"/>
      <c r="P473" s="294"/>
      <c r="Q473" s="294"/>
      <c r="R473" s="295"/>
      <c r="S473" s="302">
        <f t="shared" si="29"/>
        <v>0</v>
      </c>
      <c r="T473" s="302"/>
      <c r="U473" s="303"/>
      <c r="V473" s="305">
        <f t="shared" si="30"/>
        <v>0</v>
      </c>
      <c r="W473" s="305" t="str">
        <f t="shared" si="28"/>
        <v xml:space="preserve"> </v>
      </c>
      <c r="X473" s="288"/>
    </row>
    <row r="474" spans="1:24">
      <c r="A474" s="286">
        <v>65</v>
      </c>
      <c r="C474" s="286" t="s">
        <v>597</v>
      </c>
      <c r="D474" s="286"/>
      <c r="E474" s="286" t="s">
        <v>638</v>
      </c>
      <c r="F474" s="286">
        <v>26</v>
      </c>
      <c r="G474" s="425">
        <v>69.91</v>
      </c>
      <c r="H474" s="425">
        <v>2</v>
      </c>
      <c r="J474" s="289"/>
      <c r="K474" s="289"/>
      <c r="L474" s="291"/>
      <c r="M474" s="291"/>
      <c r="N474" s="300"/>
      <c r="O474" s="296"/>
      <c r="P474" s="294"/>
      <c r="Q474" s="294"/>
      <c r="R474" s="295"/>
      <c r="S474" s="302">
        <f t="shared" si="29"/>
        <v>0</v>
      </c>
      <c r="T474" s="302"/>
      <c r="U474" s="303"/>
      <c r="V474" s="305">
        <f t="shared" si="30"/>
        <v>0</v>
      </c>
      <c r="W474" s="305" t="str">
        <f t="shared" si="28"/>
        <v xml:space="preserve"> </v>
      </c>
      <c r="X474" s="288"/>
    </row>
    <row r="475" spans="1:24">
      <c r="A475" s="286">
        <v>65</v>
      </c>
      <c r="C475" s="286" t="s">
        <v>597</v>
      </c>
      <c r="D475" s="286"/>
      <c r="E475" s="286" t="s">
        <v>624</v>
      </c>
      <c r="F475" s="286">
        <v>26</v>
      </c>
      <c r="G475" s="425">
        <v>375</v>
      </c>
      <c r="H475" s="425">
        <v>0</v>
      </c>
      <c r="J475" s="289"/>
      <c r="K475" s="289"/>
      <c r="L475" s="291"/>
      <c r="M475" s="291"/>
      <c r="N475" s="300"/>
      <c r="O475" s="296"/>
      <c r="P475" s="294"/>
      <c r="Q475" s="294"/>
      <c r="R475" s="295"/>
      <c r="S475" s="302">
        <f t="shared" si="29"/>
        <v>0</v>
      </c>
      <c r="T475" s="302"/>
      <c r="U475" s="303"/>
      <c r="V475" s="305">
        <f t="shared" si="30"/>
        <v>375</v>
      </c>
      <c r="W475" s="305">
        <f t="shared" si="28"/>
        <v>93.75</v>
      </c>
      <c r="X475" s="288"/>
    </row>
    <row r="476" spans="1:24">
      <c r="A476" s="286">
        <v>65</v>
      </c>
      <c r="C476" s="286" t="s">
        <v>597</v>
      </c>
      <c r="D476" s="286"/>
      <c r="E476" s="286" t="s">
        <v>669</v>
      </c>
      <c r="F476" s="286">
        <v>26</v>
      </c>
      <c r="G476" s="425">
        <v>209.74</v>
      </c>
      <c r="H476" s="425">
        <v>6</v>
      </c>
      <c r="J476" s="289"/>
      <c r="K476" s="289"/>
      <c r="L476" s="291"/>
      <c r="M476" s="291"/>
      <c r="N476" s="300"/>
      <c r="O476" s="296"/>
      <c r="P476" s="294"/>
      <c r="Q476" s="294"/>
      <c r="R476" s="295"/>
      <c r="S476" s="302">
        <f t="shared" si="29"/>
        <v>0</v>
      </c>
      <c r="T476" s="302"/>
      <c r="U476" s="303"/>
      <c r="V476" s="305">
        <f t="shared" si="30"/>
        <v>0</v>
      </c>
      <c r="W476" s="305" t="str">
        <f t="shared" si="28"/>
        <v xml:space="preserve"> </v>
      </c>
      <c r="X476" s="288"/>
    </row>
    <row r="477" spans="1:24">
      <c r="A477" s="286">
        <v>66</v>
      </c>
      <c r="C477" s="286" t="s">
        <v>644</v>
      </c>
      <c r="D477" s="286"/>
      <c r="E477" s="286" t="s">
        <v>598</v>
      </c>
      <c r="F477" s="286">
        <f>IF(VLOOKUP(A477,'WP-5 Payroll Data'!$K$11:$O$151,3,FALSE)&gt;26,26,VLOOKUP(A477,'WP-5 Payroll Data'!$K$11:$O$151,3,FALSE))</f>
        <v>26</v>
      </c>
      <c r="G477" s="425">
        <v>2293.9</v>
      </c>
      <c r="H477" s="425">
        <v>113.5</v>
      </c>
      <c r="J477" s="289">
        <f>VLOOKUP(A477,'WP-5 Payroll Data'!$K$11:$O$151,4,FALSE)</f>
        <v>2627.5400000000004</v>
      </c>
      <c r="K477" s="289">
        <f>VLOOKUP(A477,'WP-5 Payroll Data'!$K$11:$O$151,5,FALSE)</f>
        <v>130</v>
      </c>
      <c r="L477" s="289">
        <f>J477/K477</f>
        <v>20.211846153846157</v>
      </c>
      <c r="M477" s="289"/>
      <c r="N477" s="300">
        <f>IF((K477/F477)*26&gt;1500,2080,IF((K477/F477)*26&gt;300,520,IF((K477/F477)*26&gt;100,260,K477)))</f>
        <v>260</v>
      </c>
      <c r="O477" s="296">
        <f>N477*L477</f>
        <v>5255.0800000000008</v>
      </c>
      <c r="P477" s="294"/>
      <c r="Q477" s="294">
        <f>O477*0.03</f>
        <v>157.65240000000003</v>
      </c>
      <c r="R477" s="295"/>
      <c r="S477" s="302">
        <f t="shared" si="29"/>
        <v>0</v>
      </c>
      <c r="T477" s="302"/>
      <c r="U477" s="303"/>
      <c r="V477" s="305">
        <f t="shared" si="30"/>
        <v>0</v>
      </c>
      <c r="W477" s="305" t="str">
        <f t="shared" si="28"/>
        <v xml:space="preserve"> </v>
      </c>
      <c r="X477" s="288"/>
    </row>
    <row r="478" spans="1:24">
      <c r="A478" s="286">
        <v>66</v>
      </c>
      <c r="C478" s="286" t="s">
        <v>644</v>
      </c>
      <c r="D478" s="286"/>
      <c r="E478" s="286" t="s">
        <v>599</v>
      </c>
      <c r="F478" s="286">
        <v>26</v>
      </c>
      <c r="G478" s="425">
        <v>1.1399999999999999</v>
      </c>
      <c r="H478" s="425">
        <v>0.04</v>
      </c>
      <c r="J478" s="289"/>
      <c r="K478" s="289"/>
      <c r="L478" s="291"/>
      <c r="M478" s="291"/>
      <c r="N478" s="300"/>
      <c r="O478" s="296"/>
      <c r="P478" s="294"/>
      <c r="Q478" s="294"/>
      <c r="R478" s="295"/>
      <c r="S478" s="302">
        <f t="shared" si="29"/>
        <v>1.1399999999999999</v>
      </c>
      <c r="T478" s="302">
        <f t="shared" si="31"/>
        <v>3.4199999999999994E-2</v>
      </c>
      <c r="U478" s="303"/>
      <c r="V478" s="305">
        <f t="shared" si="30"/>
        <v>0</v>
      </c>
      <c r="W478" s="305" t="str">
        <f t="shared" si="28"/>
        <v xml:space="preserve"> </v>
      </c>
      <c r="X478" s="288"/>
    </row>
    <row r="479" spans="1:24">
      <c r="A479" s="286">
        <v>66</v>
      </c>
      <c r="C479" s="286" t="s">
        <v>644</v>
      </c>
      <c r="D479" s="286"/>
      <c r="E479" s="286" t="s">
        <v>605</v>
      </c>
      <c r="F479" s="286">
        <v>26</v>
      </c>
      <c r="G479" s="425">
        <v>151.78</v>
      </c>
      <c r="H479" s="425">
        <v>7.5</v>
      </c>
      <c r="J479" s="289"/>
      <c r="K479" s="289"/>
      <c r="L479" s="291"/>
      <c r="M479" s="291"/>
      <c r="N479" s="300"/>
      <c r="O479" s="296"/>
      <c r="P479" s="294"/>
      <c r="Q479" s="294"/>
      <c r="R479" s="295"/>
      <c r="S479" s="302">
        <f t="shared" si="29"/>
        <v>0</v>
      </c>
      <c r="T479" s="302"/>
      <c r="U479" s="303"/>
      <c r="V479" s="305">
        <f t="shared" si="30"/>
        <v>0</v>
      </c>
      <c r="W479" s="305" t="str">
        <f t="shared" si="28"/>
        <v xml:space="preserve"> </v>
      </c>
      <c r="X479" s="288"/>
    </row>
    <row r="480" spans="1:24">
      <c r="A480" s="286">
        <v>66</v>
      </c>
      <c r="C480" s="286" t="s">
        <v>644</v>
      </c>
      <c r="D480" s="286"/>
      <c r="E480" s="286" t="s">
        <v>608</v>
      </c>
      <c r="F480" s="286">
        <v>26</v>
      </c>
      <c r="G480" s="425">
        <v>151.50000000000003</v>
      </c>
      <c r="H480" s="425">
        <v>7.5</v>
      </c>
      <c r="J480" s="289"/>
      <c r="K480" s="289"/>
      <c r="L480" s="291"/>
      <c r="M480" s="291"/>
      <c r="N480" s="300"/>
      <c r="O480" s="296"/>
      <c r="P480" s="294"/>
      <c r="Q480" s="294"/>
      <c r="R480" s="295"/>
      <c r="S480" s="302">
        <f t="shared" si="29"/>
        <v>0</v>
      </c>
      <c r="T480" s="302"/>
      <c r="U480" s="303"/>
      <c r="V480" s="305">
        <f t="shared" si="30"/>
        <v>0</v>
      </c>
      <c r="W480" s="305" t="str">
        <f t="shared" si="28"/>
        <v xml:space="preserve"> </v>
      </c>
      <c r="X480" s="288"/>
    </row>
    <row r="481" spans="1:24">
      <c r="A481" s="286">
        <v>66</v>
      </c>
      <c r="C481" s="286" t="s">
        <v>644</v>
      </c>
      <c r="D481" s="286"/>
      <c r="E481" s="286" t="s">
        <v>610</v>
      </c>
      <c r="F481" s="286">
        <v>26</v>
      </c>
      <c r="G481" s="425">
        <v>30.36</v>
      </c>
      <c r="H481" s="425">
        <v>1.5</v>
      </c>
      <c r="J481" s="289"/>
      <c r="K481" s="289"/>
      <c r="L481" s="291"/>
      <c r="M481" s="291"/>
      <c r="N481" s="300"/>
      <c r="O481" s="296"/>
      <c r="P481" s="294"/>
      <c r="Q481" s="294"/>
      <c r="R481" s="295"/>
      <c r="S481" s="302">
        <f t="shared" si="29"/>
        <v>0</v>
      </c>
      <c r="T481" s="302"/>
      <c r="U481" s="303"/>
      <c r="V481" s="305">
        <f t="shared" si="30"/>
        <v>0</v>
      </c>
      <c r="W481" s="305" t="str">
        <f t="shared" si="28"/>
        <v xml:space="preserve"> </v>
      </c>
      <c r="X481" s="288"/>
    </row>
    <row r="482" spans="1:24">
      <c r="A482" s="286">
        <v>66</v>
      </c>
      <c r="C482" s="286" t="s">
        <v>644</v>
      </c>
      <c r="D482" s="286"/>
      <c r="E482" s="286" t="s">
        <v>614</v>
      </c>
      <c r="F482" s="286">
        <v>26</v>
      </c>
      <c r="G482" s="425">
        <v>15.63</v>
      </c>
      <c r="H482" s="425">
        <v>0</v>
      </c>
      <c r="J482" s="289"/>
      <c r="K482" s="289"/>
      <c r="L482" s="291"/>
      <c r="M482" s="291"/>
      <c r="N482" s="300"/>
      <c r="O482" s="296"/>
      <c r="P482" s="294"/>
      <c r="Q482" s="294"/>
      <c r="R482" s="295"/>
      <c r="S482" s="302">
        <f t="shared" si="29"/>
        <v>0</v>
      </c>
      <c r="T482" s="302"/>
      <c r="U482" s="303"/>
      <c r="V482" s="305">
        <f t="shared" si="30"/>
        <v>15.63</v>
      </c>
      <c r="W482" s="305" t="str">
        <f t="shared" si="28"/>
        <v xml:space="preserve"> </v>
      </c>
      <c r="X482" s="288"/>
    </row>
    <row r="483" spans="1:24">
      <c r="A483" s="286">
        <v>66</v>
      </c>
      <c r="C483" s="286" t="s">
        <v>644</v>
      </c>
      <c r="D483" s="286"/>
      <c r="E483" s="286" t="s">
        <v>616</v>
      </c>
      <c r="F483" s="286">
        <v>26</v>
      </c>
      <c r="G483" s="425">
        <v>87.5</v>
      </c>
      <c r="H483" s="425">
        <v>0</v>
      </c>
      <c r="J483" s="289"/>
      <c r="K483" s="289"/>
      <c r="L483" s="291"/>
      <c r="M483" s="291"/>
      <c r="N483" s="300"/>
      <c r="O483" s="296"/>
      <c r="P483" s="294"/>
      <c r="Q483" s="294"/>
      <c r="R483" s="295"/>
      <c r="S483" s="302">
        <f t="shared" si="29"/>
        <v>0</v>
      </c>
      <c r="T483" s="302"/>
      <c r="U483" s="303"/>
      <c r="V483" s="305">
        <f t="shared" si="30"/>
        <v>87.5</v>
      </c>
      <c r="W483" s="305">
        <f t="shared" si="28"/>
        <v>21.875</v>
      </c>
      <c r="X483" s="288"/>
    </row>
    <row r="484" spans="1:24">
      <c r="A484" s="286">
        <v>67</v>
      </c>
      <c r="C484" s="286" t="s">
        <v>597</v>
      </c>
      <c r="D484" s="286"/>
      <c r="E484" s="286" t="s">
        <v>598</v>
      </c>
      <c r="F484" s="286">
        <f>IF(VLOOKUP(A484,'WP-5 Payroll Data'!$K$11:$O$151,3,FALSE)&gt;26,26,VLOOKUP(A484,'WP-5 Payroll Data'!$K$11:$O$151,3,FALSE))</f>
        <v>26</v>
      </c>
      <c r="G484" s="425">
        <v>4132.37</v>
      </c>
      <c r="H484" s="425">
        <v>180.23000000000002</v>
      </c>
      <c r="J484" s="289">
        <f>VLOOKUP(A484,'WP-5 Payroll Data'!$K$11:$O$151,4,FALSE)</f>
        <v>4731.88</v>
      </c>
      <c r="K484" s="289">
        <f>VLOOKUP(A484,'WP-5 Payroll Data'!$K$11:$O$151,5,FALSE)</f>
        <v>206.40000000000003</v>
      </c>
      <c r="L484" s="289">
        <f>J484/K484</f>
        <v>22.925775193798447</v>
      </c>
      <c r="M484" s="289"/>
      <c r="N484" s="300">
        <f>IF((K484/F484)*26&gt;1500,2080,IF((K484/F484)*26&gt;300,520,IF((K484/F484)*26&gt;100,260,K484)))</f>
        <v>260</v>
      </c>
      <c r="O484" s="296">
        <f>N484*L484</f>
        <v>5960.7015503875964</v>
      </c>
      <c r="P484" s="294"/>
      <c r="Q484" s="294">
        <f>O484*0.03</f>
        <v>178.82104651162788</v>
      </c>
      <c r="R484" s="295"/>
      <c r="S484" s="302">
        <f t="shared" si="29"/>
        <v>0</v>
      </c>
      <c r="T484" s="302"/>
      <c r="U484" s="303"/>
      <c r="V484" s="305">
        <f t="shared" si="30"/>
        <v>0</v>
      </c>
      <c r="W484" s="305" t="str">
        <f t="shared" si="28"/>
        <v xml:space="preserve"> </v>
      </c>
      <c r="X484" s="288"/>
    </row>
    <row r="485" spans="1:24">
      <c r="A485" s="286">
        <v>67</v>
      </c>
      <c r="C485" s="286" t="s">
        <v>597</v>
      </c>
      <c r="D485" s="286"/>
      <c r="E485" s="286" t="s">
        <v>599</v>
      </c>
      <c r="F485" s="286">
        <v>26</v>
      </c>
      <c r="G485" s="425">
        <v>136.02000000000001</v>
      </c>
      <c r="H485" s="425">
        <v>3.95</v>
      </c>
      <c r="J485" s="289"/>
      <c r="K485" s="289"/>
      <c r="L485" s="291"/>
      <c r="M485" s="291"/>
      <c r="N485" s="300"/>
      <c r="O485" s="296"/>
      <c r="P485" s="294"/>
      <c r="Q485" s="294"/>
      <c r="R485" s="295"/>
      <c r="S485" s="302">
        <f t="shared" si="29"/>
        <v>136.02000000000001</v>
      </c>
      <c r="T485" s="302">
        <f t="shared" si="31"/>
        <v>4.0806000000000004</v>
      </c>
      <c r="U485" s="303"/>
      <c r="V485" s="305">
        <f t="shared" si="30"/>
        <v>0</v>
      </c>
      <c r="W485" s="305" t="str">
        <f t="shared" si="28"/>
        <v xml:space="preserve"> </v>
      </c>
      <c r="X485" s="288"/>
    </row>
    <row r="486" spans="1:24">
      <c r="A486" s="286">
        <v>67</v>
      </c>
      <c r="C486" s="286" t="s">
        <v>597</v>
      </c>
      <c r="D486" s="286"/>
      <c r="E486" s="286" t="s">
        <v>605</v>
      </c>
      <c r="F486" s="286">
        <v>26</v>
      </c>
      <c r="G486" s="425">
        <v>411.03000000000009</v>
      </c>
      <c r="H486" s="425">
        <v>17.900000000000002</v>
      </c>
      <c r="J486" s="289"/>
      <c r="K486" s="289"/>
      <c r="L486" s="291"/>
      <c r="M486" s="291"/>
      <c r="N486" s="300"/>
      <c r="O486" s="296"/>
      <c r="P486" s="294"/>
      <c r="Q486" s="294"/>
      <c r="R486" s="295"/>
      <c r="S486" s="302">
        <f t="shared" si="29"/>
        <v>0</v>
      </c>
      <c r="T486" s="302"/>
      <c r="U486" s="303"/>
      <c r="V486" s="305">
        <f t="shared" si="30"/>
        <v>0</v>
      </c>
      <c r="W486" s="305" t="str">
        <f t="shared" si="28"/>
        <v xml:space="preserve"> </v>
      </c>
      <c r="X486" s="288"/>
    </row>
    <row r="487" spans="1:24">
      <c r="A487" s="286">
        <v>67</v>
      </c>
      <c r="C487" s="286" t="s">
        <v>597</v>
      </c>
      <c r="D487" s="286"/>
      <c r="E487" s="286" t="s">
        <v>608</v>
      </c>
      <c r="F487" s="286">
        <v>26</v>
      </c>
      <c r="G487" s="425">
        <v>96.670000000000016</v>
      </c>
      <c r="H487" s="425">
        <v>4.21</v>
      </c>
      <c r="J487" s="289"/>
      <c r="K487" s="289"/>
      <c r="L487" s="291"/>
      <c r="M487" s="291"/>
      <c r="N487" s="300"/>
      <c r="O487" s="296"/>
      <c r="P487" s="294"/>
      <c r="Q487" s="294"/>
      <c r="R487" s="295"/>
      <c r="S487" s="302">
        <f t="shared" si="29"/>
        <v>0</v>
      </c>
      <c r="T487" s="302"/>
      <c r="U487" s="303"/>
      <c r="V487" s="305">
        <f t="shared" si="30"/>
        <v>0</v>
      </c>
      <c r="W487" s="305" t="str">
        <f t="shared" si="28"/>
        <v xml:space="preserve"> </v>
      </c>
      <c r="X487" s="288"/>
    </row>
    <row r="488" spans="1:24">
      <c r="A488" s="286">
        <v>67</v>
      </c>
      <c r="C488" s="286" t="s">
        <v>597</v>
      </c>
      <c r="D488" s="286"/>
      <c r="E488" s="286" t="s">
        <v>602</v>
      </c>
      <c r="F488" s="286">
        <v>26</v>
      </c>
      <c r="G488" s="425">
        <v>36.74</v>
      </c>
      <c r="H488" s="425">
        <v>1.6</v>
      </c>
      <c r="J488" s="289"/>
      <c r="K488" s="289"/>
      <c r="L488" s="291"/>
      <c r="M488" s="291"/>
      <c r="N488" s="300"/>
      <c r="O488" s="296"/>
      <c r="P488" s="294"/>
      <c r="Q488" s="294"/>
      <c r="R488" s="295"/>
      <c r="S488" s="302">
        <f t="shared" si="29"/>
        <v>0</v>
      </c>
      <c r="T488" s="302"/>
      <c r="U488" s="303"/>
      <c r="V488" s="305">
        <f t="shared" si="30"/>
        <v>36.74</v>
      </c>
      <c r="W488" s="305" t="str">
        <f t="shared" si="28"/>
        <v xml:space="preserve"> </v>
      </c>
      <c r="X488" s="288"/>
    </row>
    <row r="489" spans="1:24">
      <c r="A489" s="286">
        <v>67</v>
      </c>
      <c r="C489" s="286" t="s">
        <v>597</v>
      </c>
      <c r="D489" s="286"/>
      <c r="E489" s="286" t="s">
        <v>610</v>
      </c>
      <c r="F489" s="286">
        <v>26</v>
      </c>
      <c r="G489" s="425">
        <v>91.81</v>
      </c>
      <c r="H489" s="425">
        <v>4.0599999999999996</v>
      </c>
      <c r="J489" s="289"/>
      <c r="K489" s="289"/>
      <c r="L489" s="291"/>
      <c r="M489" s="291"/>
      <c r="N489" s="300"/>
      <c r="O489" s="296"/>
      <c r="P489" s="294"/>
      <c r="Q489" s="294"/>
      <c r="R489" s="295"/>
      <c r="S489" s="302">
        <f t="shared" si="29"/>
        <v>0</v>
      </c>
      <c r="T489" s="302"/>
      <c r="U489" s="303"/>
      <c r="V489" s="305">
        <f t="shared" si="30"/>
        <v>0</v>
      </c>
      <c r="W489" s="305" t="str">
        <f t="shared" si="28"/>
        <v xml:space="preserve"> </v>
      </c>
      <c r="X489" s="288"/>
    </row>
    <row r="490" spans="1:24">
      <c r="A490" s="286">
        <v>67</v>
      </c>
      <c r="C490" s="286" t="s">
        <v>597</v>
      </c>
      <c r="D490" s="286"/>
      <c r="E490" s="286" t="s">
        <v>624</v>
      </c>
      <c r="F490" s="286">
        <v>26</v>
      </c>
      <c r="G490" s="425">
        <v>230</v>
      </c>
      <c r="H490" s="425">
        <v>0</v>
      </c>
      <c r="J490" s="289"/>
      <c r="K490" s="289"/>
      <c r="L490" s="291"/>
      <c r="M490" s="291"/>
      <c r="N490" s="300"/>
      <c r="O490" s="296"/>
      <c r="P490" s="294"/>
      <c r="Q490" s="294"/>
      <c r="R490" s="295"/>
      <c r="S490" s="302">
        <f t="shared" si="29"/>
        <v>0</v>
      </c>
      <c r="T490" s="302"/>
      <c r="U490" s="303"/>
      <c r="V490" s="305">
        <f t="shared" si="30"/>
        <v>230</v>
      </c>
      <c r="W490" s="305">
        <f t="shared" si="28"/>
        <v>57.499999999999993</v>
      </c>
      <c r="X490" s="288"/>
    </row>
    <row r="491" spans="1:24">
      <c r="A491" s="286">
        <v>68</v>
      </c>
      <c r="C491" s="286" t="s">
        <v>619</v>
      </c>
      <c r="D491" s="286" t="s">
        <v>670</v>
      </c>
      <c r="E491" s="286" t="s">
        <v>621</v>
      </c>
      <c r="F491" s="286">
        <f>IF(VLOOKUP(A491,'WP-5 Payroll Data'!$K$11:$O$151,3,FALSE)&gt;26,26,VLOOKUP(A491,'WP-5 Payroll Data'!$K$11:$O$151,3,FALSE))</f>
        <v>26</v>
      </c>
      <c r="G491" s="425">
        <v>40442.519999999997</v>
      </c>
      <c r="H491" s="425">
        <v>1659.04</v>
      </c>
      <c r="J491" s="289">
        <f>VLOOKUP(A491,'WP-5 Payroll Data'!$K$11:$O$151,4,FALSE)</f>
        <v>50731.199999999997</v>
      </c>
      <c r="K491" s="289">
        <f>VLOOKUP(A491,'WP-5 Payroll Data'!$K$11:$O$151,5,FALSE)</f>
        <v>2080</v>
      </c>
      <c r="L491" s="289">
        <f>J491/K491</f>
        <v>24.389999999999997</v>
      </c>
      <c r="M491" s="289"/>
      <c r="N491" s="300">
        <f>IF((K491/F491)*26&gt;1500,2080,IF((K491/F491)*26&gt;300,520,IF((K491/F491)*26&gt;100,260,K491)))</f>
        <v>2080</v>
      </c>
      <c r="O491" s="296">
        <f>N491*L491</f>
        <v>50731.199999999997</v>
      </c>
      <c r="P491" s="294"/>
      <c r="Q491" s="294">
        <f>O491*0.03</f>
        <v>1521.9359999999999</v>
      </c>
      <c r="R491" s="295"/>
      <c r="S491" s="302">
        <f t="shared" si="29"/>
        <v>0</v>
      </c>
      <c r="T491" s="302"/>
      <c r="U491" s="303"/>
      <c r="V491" s="305">
        <f t="shared" si="30"/>
        <v>0</v>
      </c>
      <c r="W491" s="305" t="str">
        <f t="shared" si="28"/>
        <v xml:space="preserve"> </v>
      </c>
      <c r="X491" s="288"/>
    </row>
    <row r="492" spans="1:24">
      <c r="A492" s="286">
        <v>68</v>
      </c>
      <c r="C492" s="286" t="s">
        <v>619</v>
      </c>
      <c r="D492" s="286" t="s">
        <v>670</v>
      </c>
      <c r="E492" s="286" t="s">
        <v>599</v>
      </c>
      <c r="F492" s="286">
        <v>27</v>
      </c>
      <c r="G492" s="425">
        <v>744.11</v>
      </c>
      <c r="H492" s="425">
        <v>19.860000000000003</v>
      </c>
      <c r="J492" s="289"/>
      <c r="K492" s="289"/>
      <c r="L492" s="291"/>
      <c r="M492" s="291"/>
      <c r="N492" s="300"/>
      <c r="O492" s="296"/>
      <c r="P492" s="294"/>
      <c r="Q492" s="294"/>
      <c r="R492" s="295"/>
      <c r="S492" s="302">
        <f t="shared" si="29"/>
        <v>744.11</v>
      </c>
      <c r="T492" s="302">
        <f t="shared" si="31"/>
        <v>22.3233</v>
      </c>
      <c r="U492" s="303"/>
      <c r="V492" s="305">
        <f t="shared" si="30"/>
        <v>0</v>
      </c>
      <c r="W492" s="305" t="str">
        <f t="shared" si="28"/>
        <v xml:space="preserve"> </v>
      </c>
      <c r="X492" s="288"/>
    </row>
    <row r="493" spans="1:24">
      <c r="A493" s="286">
        <v>68</v>
      </c>
      <c r="C493" s="286" t="s">
        <v>619</v>
      </c>
      <c r="D493" s="286" t="s">
        <v>670</v>
      </c>
      <c r="E493" s="286" t="s">
        <v>601</v>
      </c>
      <c r="F493" s="286">
        <v>27</v>
      </c>
      <c r="G493" s="425">
        <v>1595.7000000000003</v>
      </c>
      <c r="H493" s="425">
        <v>33</v>
      </c>
      <c r="J493" s="289"/>
      <c r="K493" s="289"/>
      <c r="L493" s="291"/>
      <c r="M493" s="291"/>
      <c r="N493" s="300"/>
      <c r="O493" s="296"/>
      <c r="P493" s="294"/>
      <c r="Q493" s="294"/>
      <c r="R493" s="295"/>
      <c r="S493" s="302">
        <f t="shared" si="29"/>
        <v>1595.7000000000003</v>
      </c>
      <c r="T493" s="302">
        <f t="shared" si="31"/>
        <v>47.871000000000009</v>
      </c>
      <c r="U493" s="303"/>
      <c r="V493" s="305">
        <f t="shared" si="30"/>
        <v>0</v>
      </c>
      <c r="W493" s="305" t="str">
        <f t="shared" si="28"/>
        <v xml:space="preserve"> </v>
      </c>
      <c r="X493" s="288"/>
    </row>
    <row r="494" spans="1:24">
      <c r="A494" s="286">
        <v>68</v>
      </c>
      <c r="C494" s="286" t="s">
        <v>619</v>
      </c>
      <c r="D494" s="286" t="s">
        <v>670</v>
      </c>
      <c r="E494" s="286" t="s">
        <v>627</v>
      </c>
      <c r="F494" s="286">
        <v>27</v>
      </c>
      <c r="G494" s="425">
        <v>5039.32</v>
      </c>
      <c r="H494" s="425">
        <v>208</v>
      </c>
      <c r="J494" s="289"/>
      <c r="K494" s="289"/>
      <c r="L494" s="291"/>
      <c r="M494" s="291"/>
      <c r="N494" s="300"/>
      <c r="O494" s="296"/>
      <c r="P494" s="294"/>
      <c r="Q494" s="294"/>
      <c r="R494" s="295"/>
      <c r="S494" s="302">
        <f t="shared" si="29"/>
        <v>0</v>
      </c>
      <c r="T494" s="302"/>
      <c r="U494" s="303"/>
      <c r="V494" s="305">
        <f t="shared" si="30"/>
        <v>0</v>
      </c>
      <c r="W494" s="305" t="str">
        <f t="shared" si="28"/>
        <v xml:space="preserve"> </v>
      </c>
      <c r="X494" s="288"/>
    </row>
    <row r="495" spans="1:24">
      <c r="A495" s="286">
        <v>68</v>
      </c>
      <c r="C495" s="286" t="s">
        <v>619</v>
      </c>
      <c r="D495" s="286" t="s">
        <v>670</v>
      </c>
      <c r="E495" s="286" t="s">
        <v>630</v>
      </c>
      <c r="F495" s="286">
        <v>27</v>
      </c>
      <c r="G495" s="425">
        <v>1707.26</v>
      </c>
      <c r="H495" s="425">
        <v>68.13</v>
      </c>
      <c r="J495" s="289"/>
      <c r="K495" s="289"/>
      <c r="L495" s="291"/>
      <c r="M495" s="291"/>
      <c r="N495" s="300"/>
      <c r="O495" s="296"/>
      <c r="P495" s="294"/>
      <c r="Q495" s="294"/>
      <c r="R495" s="295"/>
      <c r="S495" s="302">
        <f t="shared" si="29"/>
        <v>0</v>
      </c>
      <c r="T495" s="302"/>
      <c r="U495" s="303"/>
      <c r="V495" s="305">
        <f t="shared" si="30"/>
        <v>0</v>
      </c>
      <c r="W495" s="305" t="str">
        <f t="shared" si="28"/>
        <v xml:space="preserve"> </v>
      </c>
      <c r="X495" s="288"/>
    </row>
    <row r="496" spans="1:24">
      <c r="A496" s="286">
        <v>68</v>
      </c>
      <c r="C496" s="286" t="s">
        <v>619</v>
      </c>
      <c r="D496" s="286" t="s">
        <v>670</v>
      </c>
      <c r="E496" s="286" t="s">
        <v>633</v>
      </c>
      <c r="F496" s="286">
        <v>27</v>
      </c>
      <c r="G496" s="425">
        <v>2741.04</v>
      </c>
      <c r="H496" s="425">
        <v>112</v>
      </c>
      <c r="J496" s="289"/>
      <c r="K496" s="289"/>
      <c r="L496" s="291"/>
      <c r="M496" s="291"/>
      <c r="N496" s="300"/>
      <c r="O496" s="296"/>
      <c r="P496" s="294"/>
      <c r="Q496" s="294"/>
      <c r="R496" s="295"/>
      <c r="S496" s="302">
        <f t="shared" si="29"/>
        <v>0</v>
      </c>
      <c r="T496" s="302"/>
      <c r="U496" s="303"/>
      <c r="V496" s="305">
        <f t="shared" si="30"/>
        <v>0</v>
      </c>
      <c r="W496" s="305" t="str">
        <f t="shared" si="28"/>
        <v xml:space="preserve"> </v>
      </c>
      <c r="X496" s="288"/>
    </row>
    <row r="497" spans="1:24">
      <c r="A497" s="286">
        <v>68</v>
      </c>
      <c r="C497" s="286" t="s">
        <v>619</v>
      </c>
      <c r="D497" s="286" t="s">
        <v>670</v>
      </c>
      <c r="E497" s="286" t="s">
        <v>634</v>
      </c>
      <c r="F497" s="286">
        <v>27</v>
      </c>
      <c r="G497" s="425">
        <v>610.1</v>
      </c>
      <c r="H497" s="425">
        <v>24.83</v>
      </c>
      <c r="J497" s="289"/>
      <c r="K497" s="289"/>
      <c r="L497" s="291"/>
      <c r="M497" s="291"/>
      <c r="N497" s="300"/>
      <c r="O497" s="296"/>
      <c r="P497" s="294"/>
      <c r="Q497" s="294"/>
      <c r="R497" s="295"/>
      <c r="S497" s="302">
        <f t="shared" si="29"/>
        <v>0</v>
      </c>
      <c r="T497" s="302"/>
      <c r="U497" s="303"/>
      <c r="V497" s="305">
        <f t="shared" si="30"/>
        <v>0</v>
      </c>
      <c r="W497" s="305" t="str">
        <f t="shared" si="28"/>
        <v xml:space="preserve"> </v>
      </c>
      <c r="X497" s="288"/>
    </row>
    <row r="498" spans="1:24">
      <c r="A498" s="286">
        <v>68</v>
      </c>
      <c r="C498" s="286" t="s">
        <v>619</v>
      </c>
      <c r="D498" s="286" t="s">
        <v>670</v>
      </c>
      <c r="E498" s="286" t="s">
        <v>623</v>
      </c>
      <c r="F498" s="286">
        <v>27</v>
      </c>
      <c r="G498" s="425">
        <v>250</v>
      </c>
      <c r="H498" s="425">
        <v>0</v>
      </c>
      <c r="J498" s="289"/>
      <c r="K498" s="289"/>
      <c r="L498" s="291"/>
      <c r="M498" s="291"/>
      <c r="N498" s="300"/>
      <c r="O498" s="296"/>
      <c r="P498" s="294"/>
      <c r="Q498" s="294"/>
      <c r="R498" s="295"/>
      <c r="S498" s="302">
        <f t="shared" si="29"/>
        <v>0</v>
      </c>
      <c r="T498" s="302"/>
      <c r="U498" s="303"/>
      <c r="V498" s="305">
        <f t="shared" si="30"/>
        <v>250</v>
      </c>
      <c r="W498" s="305" t="str">
        <f t="shared" si="28"/>
        <v xml:space="preserve"> </v>
      </c>
      <c r="X498" s="288"/>
    </row>
    <row r="499" spans="1:24">
      <c r="A499" s="286">
        <v>68</v>
      </c>
      <c r="C499" s="286" t="s">
        <v>619</v>
      </c>
      <c r="D499" s="286" t="s">
        <v>670</v>
      </c>
      <c r="E499" s="286" t="s">
        <v>625</v>
      </c>
      <c r="F499" s="286">
        <v>27</v>
      </c>
      <c r="G499" s="425">
        <v>6200</v>
      </c>
      <c r="H499" s="425">
        <v>0</v>
      </c>
      <c r="J499" s="289"/>
      <c r="K499" s="289"/>
      <c r="L499" s="291"/>
      <c r="M499" s="291"/>
      <c r="N499" s="300"/>
      <c r="O499" s="296"/>
      <c r="P499" s="294"/>
      <c r="Q499" s="294"/>
      <c r="R499" s="295"/>
      <c r="S499" s="302">
        <f t="shared" si="29"/>
        <v>0</v>
      </c>
      <c r="T499" s="302"/>
      <c r="U499" s="303"/>
      <c r="V499" s="305">
        <f t="shared" si="30"/>
        <v>6200</v>
      </c>
      <c r="W499" s="305">
        <f t="shared" si="28"/>
        <v>1550</v>
      </c>
      <c r="X499" s="288"/>
    </row>
    <row r="500" spans="1:24">
      <c r="A500" s="286">
        <v>68</v>
      </c>
      <c r="C500" s="286" t="s">
        <v>619</v>
      </c>
      <c r="D500" s="286" t="s">
        <v>670</v>
      </c>
      <c r="E500" s="286" t="s">
        <v>661</v>
      </c>
      <c r="F500" s="286">
        <v>27</v>
      </c>
      <c r="G500" s="425">
        <v>190.96</v>
      </c>
      <c r="H500" s="425">
        <v>8</v>
      </c>
      <c r="J500" s="289"/>
      <c r="K500" s="289"/>
      <c r="L500" s="291"/>
      <c r="M500" s="291"/>
      <c r="N500" s="300"/>
      <c r="O500" s="296"/>
      <c r="P500" s="294"/>
      <c r="Q500" s="294"/>
      <c r="R500" s="295"/>
      <c r="S500" s="302">
        <f t="shared" si="29"/>
        <v>0</v>
      </c>
      <c r="T500" s="302"/>
      <c r="U500" s="303"/>
      <c r="V500" s="305">
        <f t="shared" si="30"/>
        <v>0</v>
      </c>
      <c r="W500" s="305" t="str">
        <f t="shared" si="28"/>
        <v xml:space="preserve"> </v>
      </c>
      <c r="X500" s="288"/>
    </row>
    <row r="501" spans="1:24">
      <c r="A501" s="286">
        <v>68</v>
      </c>
      <c r="C501" s="286" t="s">
        <v>619</v>
      </c>
      <c r="D501" s="286" t="s">
        <v>670</v>
      </c>
      <c r="E501" s="286" t="s">
        <v>632</v>
      </c>
      <c r="F501" s="286">
        <v>27</v>
      </c>
      <c r="G501" s="425">
        <v>7669.59</v>
      </c>
      <c r="H501" s="425">
        <v>0</v>
      </c>
      <c r="J501" s="289"/>
      <c r="K501" s="289"/>
      <c r="L501" s="291"/>
      <c r="M501" s="291"/>
      <c r="N501" s="300"/>
      <c r="O501" s="296"/>
      <c r="P501" s="294"/>
      <c r="Q501" s="294"/>
      <c r="R501" s="295"/>
      <c r="S501" s="302">
        <f t="shared" si="29"/>
        <v>0</v>
      </c>
      <c r="T501" s="302"/>
      <c r="U501" s="303"/>
      <c r="V501" s="305">
        <f t="shared" si="30"/>
        <v>7669.59</v>
      </c>
      <c r="W501" s="305">
        <f t="shared" si="28"/>
        <v>-7669.59</v>
      </c>
      <c r="X501" s="288"/>
    </row>
    <row r="502" spans="1:24">
      <c r="A502" s="286">
        <v>69</v>
      </c>
      <c r="C502" s="286" t="s">
        <v>597</v>
      </c>
      <c r="D502" s="286"/>
      <c r="E502" s="286" t="s">
        <v>598</v>
      </c>
      <c r="F502" s="286">
        <f>IF(VLOOKUP(A502,'WP-5 Payroll Data'!$K$11:$O$151,3,FALSE)&gt;26,26,VLOOKUP(A502,'WP-5 Payroll Data'!$K$11:$O$151,3,FALSE))</f>
        <v>26</v>
      </c>
      <c r="G502" s="425">
        <v>3387.21</v>
      </c>
      <c r="H502" s="425">
        <v>173.78000000000006</v>
      </c>
      <c r="J502" s="289">
        <f>VLOOKUP(A502,'WP-5 Payroll Data'!$K$11:$O$151,4,FALSE)</f>
        <v>4052.55</v>
      </c>
      <c r="K502" s="289">
        <f>VLOOKUP(A502,'WP-5 Payroll Data'!$K$11:$O$151,5,FALSE)</f>
        <v>208.00000000000006</v>
      </c>
      <c r="L502" s="289">
        <f>J502/K502</f>
        <v>19.483413461538458</v>
      </c>
      <c r="M502" s="289"/>
      <c r="N502" s="300">
        <f>IF((K502/F502)*26&gt;1500,2080,IF((K502/F502)*26&gt;300,520,IF((K502/F502)*26&gt;100,260,K502)))</f>
        <v>260</v>
      </c>
      <c r="O502" s="296">
        <f>N502*L502</f>
        <v>5065.6874999999991</v>
      </c>
      <c r="P502" s="294"/>
      <c r="Q502" s="294">
        <f>O502*0.03</f>
        <v>151.97062499999996</v>
      </c>
      <c r="R502" s="295"/>
      <c r="S502" s="302">
        <f t="shared" si="29"/>
        <v>0</v>
      </c>
      <c r="T502" s="302"/>
      <c r="U502" s="303"/>
      <c r="V502" s="305">
        <f t="shared" si="30"/>
        <v>0</v>
      </c>
      <c r="W502" s="305" t="str">
        <f t="shared" si="28"/>
        <v xml:space="preserve"> </v>
      </c>
      <c r="X502" s="288"/>
    </row>
    <row r="503" spans="1:24">
      <c r="A503" s="286">
        <v>69</v>
      </c>
      <c r="C503" s="286" t="s">
        <v>597</v>
      </c>
      <c r="D503" s="286"/>
      <c r="E503" s="286" t="s">
        <v>599</v>
      </c>
      <c r="F503" s="286">
        <v>26</v>
      </c>
      <c r="G503" s="425">
        <v>92.3</v>
      </c>
      <c r="H503" s="425">
        <v>3.1500000000000004</v>
      </c>
      <c r="J503" s="289"/>
      <c r="K503" s="289"/>
      <c r="L503" s="291"/>
      <c r="M503" s="291"/>
      <c r="N503" s="300"/>
      <c r="O503" s="296"/>
      <c r="P503" s="294"/>
      <c r="Q503" s="294"/>
      <c r="R503" s="295"/>
      <c r="S503" s="302">
        <f t="shared" si="29"/>
        <v>92.3</v>
      </c>
      <c r="T503" s="302">
        <f t="shared" si="31"/>
        <v>2.7689999999999997</v>
      </c>
      <c r="U503" s="303"/>
      <c r="V503" s="305">
        <f t="shared" si="30"/>
        <v>0</v>
      </c>
      <c r="W503" s="305" t="str">
        <f t="shared" si="28"/>
        <v xml:space="preserve"> </v>
      </c>
      <c r="X503" s="288"/>
    </row>
    <row r="504" spans="1:24">
      <c r="A504" s="286">
        <v>69</v>
      </c>
      <c r="C504" s="286" t="s">
        <v>597</v>
      </c>
      <c r="D504" s="286"/>
      <c r="E504" s="286" t="s">
        <v>605</v>
      </c>
      <c r="F504" s="286">
        <v>26</v>
      </c>
      <c r="G504" s="425">
        <v>236.88</v>
      </c>
      <c r="H504" s="425">
        <v>12.14</v>
      </c>
      <c r="J504" s="289"/>
      <c r="K504" s="289"/>
      <c r="L504" s="291"/>
      <c r="M504" s="291"/>
      <c r="N504" s="300"/>
      <c r="O504" s="296"/>
      <c r="P504" s="294"/>
      <c r="Q504" s="294"/>
      <c r="R504" s="295"/>
      <c r="S504" s="302">
        <f t="shared" si="29"/>
        <v>0</v>
      </c>
      <c r="T504" s="302"/>
      <c r="U504" s="303"/>
      <c r="V504" s="305">
        <f t="shared" si="30"/>
        <v>0</v>
      </c>
      <c r="W504" s="305" t="str">
        <f t="shared" si="28"/>
        <v xml:space="preserve"> </v>
      </c>
      <c r="X504" s="288"/>
    </row>
    <row r="505" spans="1:24">
      <c r="A505" s="286">
        <v>69</v>
      </c>
      <c r="C505" s="286" t="s">
        <v>597</v>
      </c>
      <c r="D505" s="286"/>
      <c r="E505" s="286" t="s">
        <v>608</v>
      </c>
      <c r="F505" s="286">
        <v>26</v>
      </c>
      <c r="G505" s="425">
        <v>384.93999999999994</v>
      </c>
      <c r="H505" s="425">
        <v>19.850000000000001</v>
      </c>
      <c r="J505" s="289"/>
      <c r="K505" s="289"/>
      <c r="L505" s="291"/>
      <c r="M505" s="291"/>
      <c r="N505" s="300"/>
      <c r="O505" s="296"/>
      <c r="P505" s="294"/>
      <c r="Q505" s="294"/>
      <c r="R505" s="295"/>
      <c r="S505" s="302">
        <f t="shared" si="29"/>
        <v>0</v>
      </c>
      <c r="T505" s="302"/>
      <c r="U505" s="303"/>
      <c r="V505" s="305">
        <f t="shared" si="30"/>
        <v>0</v>
      </c>
      <c r="W505" s="305" t="str">
        <f t="shared" si="28"/>
        <v xml:space="preserve"> </v>
      </c>
      <c r="X505" s="288"/>
    </row>
    <row r="506" spans="1:24">
      <c r="A506" s="286">
        <v>69</v>
      </c>
      <c r="C506" s="286" t="s">
        <v>597</v>
      </c>
      <c r="D506" s="286"/>
      <c r="E506" s="286" t="s">
        <v>610</v>
      </c>
      <c r="F506" s="286">
        <v>26</v>
      </c>
      <c r="G506" s="425">
        <v>43.519999999999996</v>
      </c>
      <c r="H506" s="425">
        <v>2.23</v>
      </c>
      <c r="J506" s="289"/>
      <c r="K506" s="289"/>
      <c r="L506" s="291"/>
      <c r="M506" s="291"/>
      <c r="N506" s="300"/>
      <c r="O506" s="296"/>
      <c r="P506" s="294"/>
      <c r="Q506" s="294"/>
      <c r="R506" s="295"/>
      <c r="S506" s="302">
        <f t="shared" si="29"/>
        <v>0</v>
      </c>
      <c r="T506" s="302"/>
      <c r="U506" s="303"/>
      <c r="V506" s="305">
        <f t="shared" si="30"/>
        <v>0</v>
      </c>
      <c r="W506" s="305" t="str">
        <f t="shared" si="28"/>
        <v xml:space="preserve"> </v>
      </c>
      <c r="X506" s="288"/>
    </row>
    <row r="507" spans="1:24">
      <c r="A507" s="286">
        <v>69</v>
      </c>
      <c r="C507" s="286" t="s">
        <v>597</v>
      </c>
      <c r="D507" s="286"/>
      <c r="E507" s="286" t="s">
        <v>612</v>
      </c>
      <c r="F507" s="286">
        <v>26</v>
      </c>
      <c r="G507" s="425">
        <v>10</v>
      </c>
      <c r="H507" s="425">
        <v>0</v>
      </c>
      <c r="J507" s="289"/>
      <c r="K507" s="289"/>
      <c r="L507" s="291"/>
      <c r="M507" s="291"/>
      <c r="N507" s="300"/>
      <c r="O507" s="296"/>
      <c r="P507" s="294"/>
      <c r="Q507" s="294"/>
      <c r="R507" s="295"/>
      <c r="S507" s="302">
        <f t="shared" si="29"/>
        <v>0</v>
      </c>
      <c r="T507" s="302"/>
      <c r="U507" s="303"/>
      <c r="V507" s="305">
        <f t="shared" si="30"/>
        <v>10</v>
      </c>
      <c r="W507" s="305" t="str">
        <f t="shared" si="28"/>
        <v xml:space="preserve"> </v>
      </c>
      <c r="X507" s="288"/>
    </row>
    <row r="508" spans="1:24">
      <c r="A508" s="286">
        <v>69</v>
      </c>
      <c r="C508" s="286" t="s">
        <v>597</v>
      </c>
      <c r="D508" s="286"/>
      <c r="E508" s="286" t="s">
        <v>615</v>
      </c>
      <c r="F508" s="286">
        <v>26</v>
      </c>
      <c r="G508" s="425">
        <v>120</v>
      </c>
      <c r="H508" s="425">
        <v>0</v>
      </c>
      <c r="J508" s="289"/>
      <c r="K508" s="289"/>
      <c r="L508" s="291"/>
      <c r="M508" s="291"/>
      <c r="N508" s="300"/>
      <c r="O508" s="296"/>
      <c r="P508" s="294"/>
      <c r="Q508" s="294"/>
      <c r="R508" s="295"/>
      <c r="S508" s="302">
        <f t="shared" si="29"/>
        <v>0</v>
      </c>
      <c r="T508" s="302"/>
      <c r="U508" s="303"/>
      <c r="V508" s="305">
        <f t="shared" si="30"/>
        <v>120</v>
      </c>
      <c r="W508" s="305">
        <f t="shared" si="28"/>
        <v>30</v>
      </c>
      <c r="X508" s="288"/>
    </row>
    <row r="509" spans="1:24">
      <c r="A509" s="286">
        <v>70</v>
      </c>
      <c r="C509" s="286" t="s">
        <v>656</v>
      </c>
      <c r="D509" s="286"/>
      <c r="E509" s="286" t="s">
        <v>598</v>
      </c>
      <c r="F509" s="286">
        <f>IF(VLOOKUP(A509,'WP-5 Payroll Data'!$K$11:$O$151,3,FALSE)&gt;26,26,VLOOKUP(A509,'WP-5 Payroll Data'!$K$11:$O$151,3,FALSE))</f>
        <v>26</v>
      </c>
      <c r="G509" s="425">
        <v>2616.9200000000005</v>
      </c>
      <c r="H509" s="425">
        <v>3.3799999999999981</v>
      </c>
      <c r="J509" s="289">
        <f>VLOOKUP(A509,'WP-5 Payroll Data'!$K$11:$O$151,4,FALSE)</f>
        <v>2616.9200000000005</v>
      </c>
      <c r="K509" s="289">
        <f>VLOOKUP(A509,'WP-5 Payroll Data'!$K$11:$O$151,5,FALSE)</f>
        <v>3.3799999999999981</v>
      </c>
      <c r="L509" s="289">
        <f>J509/K509</f>
        <v>774.23668639053312</v>
      </c>
      <c r="M509" s="289"/>
      <c r="N509" s="300">
        <f>IF((K509/F509)*26&gt;1500,2080,IF((K509/F509)*26&gt;300,520,IF((K509/F509)*26&gt;100,260,K509)))</f>
        <v>3.3799999999999981</v>
      </c>
      <c r="O509" s="296">
        <f>N509*L509</f>
        <v>2616.9200000000005</v>
      </c>
      <c r="P509" s="294"/>
      <c r="Q509" s="294">
        <f>O509*0.03</f>
        <v>78.507600000000011</v>
      </c>
      <c r="R509" s="295"/>
      <c r="S509" s="302">
        <f t="shared" si="29"/>
        <v>0</v>
      </c>
      <c r="T509" s="302"/>
      <c r="U509" s="303"/>
      <c r="V509" s="305">
        <f t="shared" si="30"/>
        <v>0</v>
      </c>
      <c r="W509" s="305" t="str">
        <f t="shared" si="28"/>
        <v xml:space="preserve"> </v>
      </c>
      <c r="X509" s="288"/>
    </row>
    <row r="510" spans="1:24">
      <c r="A510" s="286">
        <v>71</v>
      </c>
      <c r="C510" s="286" t="s">
        <v>644</v>
      </c>
      <c r="D510" s="286"/>
      <c r="E510" s="286" t="s">
        <v>598</v>
      </c>
      <c r="F510" s="286">
        <f>IF(VLOOKUP(A510,'WP-5 Payroll Data'!$K$11:$O$151,3,FALSE)&gt;26,26,VLOOKUP(A510,'WP-5 Payroll Data'!$K$11:$O$151,3,FALSE))</f>
        <v>17</v>
      </c>
      <c r="G510" s="425">
        <v>4261.4000000000005</v>
      </c>
      <c r="H510" s="425">
        <v>294.39</v>
      </c>
      <c r="J510" s="289">
        <f>VLOOKUP(A510,'WP-5 Payroll Data'!$K$11:$O$151,4,FALSE)</f>
        <v>4828.83</v>
      </c>
      <c r="K510" s="289">
        <f>VLOOKUP(A510,'WP-5 Payroll Data'!$K$11:$O$151,5,FALSE)</f>
        <v>333.65</v>
      </c>
      <c r="L510" s="289">
        <f>J510/K510</f>
        <v>14.472740896148659</v>
      </c>
      <c r="M510" s="289"/>
      <c r="N510" s="300">
        <f>IF((K510/F510)*26&gt;1500,2080,IF((K510/F510)*26&gt;300,520,IF((K510/F510)*26&gt;100,260,K510)))</f>
        <v>520</v>
      </c>
      <c r="O510" s="296">
        <f>N510*L510</f>
        <v>7525.8252659973032</v>
      </c>
      <c r="P510" s="294"/>
      <c r="Q510" s="294">
        <f>O510*0.03</f>
        <v>225.77475797991909</v>
      </c>
      <c r="R510" s="295"/>
      <c r="S510" s="302">
        <f t="shared" si="29"/>
        <v>0</v>
      </c>
      <c r="T510" s="302"/>
      <c r="U510" s="303"/>
      <c r="V510" s="305">
        <f t="shared" si="30"/>
        <v>0</v>
      </c>
      <c r="W510" s="305" t="str">
        <f t="shared" si="28"/>
        <v xml:space="preserve"> </v>
      </c>
      <c r="X510" s="288"/>
    </row>
    <row r="511" spans="1:24">
      <c r="A511" s="286">
        <v>71</v>
      </c>
      <c r="C511" s="286" t="s">
        <v>644</v>
      </c>
      <c r="D511" s="286"/>
      <c r="E511" s="286" t="s">
        <v>599</v>
      </c>
      <c r="F511" s="286">
        <v>17</v>
      </c>
      <c r="G511" s="425">
        <v>181.55</v>
      </c>
      <c r="H511" s="425">
        <v>8.41</v>
      </c>
      <c r="J511" s="289"/>
      <c r="K511" s="289"/>
      <c r="L511" s="291"/>
      <c r="M511" s="291"/>
      <c r="N511" s="300"/>
      <c r="O511" s="296"/>
      <c r="P511" s="294"/>
      <c r="Q511" s="294"/>
      <c r="R511" s="295"/>
      <c r="S511" s="302">
        <f t="shared" si="29"/>
        <v>181.55</v>
      </c>
      <c r="T511" s="302">
        <f t="shared" si="31"/>
        <v>5.4465000000000003</v>
      </c>
      <c r="U511" s="303"/>
      <c r="V511" s="305">
        <f t="shared" si="30"/>
        <v>0</v>
      </c>
      <c r="W511" s="305" t="str">
        <f t="shared" si="28"/>
        <v xml:space="preserve"> </v>
      </c>
      <c r="X511" s="288"/>
    </row>
    <row r="512" spans="1:24">
      <c r="A512" s="286">
        <v>71</v>
      </c>
      <c r="C512" s="286" t="s">
        <v>644</v>
      </c>
      <c r="D512" s="286"/>
      <c r="E512" s="286" t="s">
        <v>605</v>
      </c>
      <c r="F512" s="286">
        <v>17</v>
      </c>
      <c r="G512" s="425">
        <v>144.99</v>
      </c>
      <c r="H512" s="425">
        <v>10</v>
      </c>
      <c r="J512" s="289"/>
      <c r="K512" s="289"/>
      <c r="L512" s="291"/>
      <c r="M512" s="291"/>
      <c r="N512" s="300"/>
      <c r="O512" s="296"/>
      <c r="P512" s="294"/>
      <c r="Q512" s="294"/>
      <c r="R512" s="295"/>
      <c r="S512" s="302">
        <f t="shared" si="29"/>
        <v>0</v>
      </c>
      <c r="T512" s="302"/>
      <c r="U512" s="303"/>
      <c r="V512" s="305">
        <f t="shared" si="30"/>
        <v>0</v>
      </c>
      <c r="W512" s="305" t="str">
        <f t="shared" si="28"/>
        <v xml:space="preserve"> </v>
      </c>
      <c r="X512" s="288"/>
    </row>
    <row r="513" spans="1:24">
      <c r="A513" s="286">
        <v>71</v>
      </c>
      <c r="C513" s="286" t="s">
        <v>644</v>
      </c>
      <c r="D513" s="286"/>
      <c r="E513" s="286" t="s">
        <v>608</v>
      </c>
      <c r="F513" s="286">
        <v>17</v>
      </c>
      <c r="G513" s="425">
        <v>286.37</v>
      </c>
      <c r="H513" s="425">
        <v>19.75</v>
      </c>
      <c r="J513" s="289"/>
      <c r="K513" s="289"/>
      <c r="L513" s="291"/>
      <c r="M513" s="291"/>
      <c r="N513" s="300"/>
      <c r="O513" s="296"/>
      <c r="P513" s="294"/>
      <c r="Q513" s="294"/>
      <c r="R513" s="295"/>
      <c r="S513" s="302">
        <f t="shared" si="29"/>
        <v>0</v>
      </c>
      <c r="T513" s="302"/>
      <c r="U513" s="303"/>
      <c r="V513" s="305">
        <f t="shared" si="30"/>
        <v>0</v>
      </c>
      <c r="W513" s="305" t="str">
        <f t="shared" si="28"/>
        <v xml:space="preserve"> </v>
      </c>
      <c r="X513" s="288"/>
    </row>
    <row r="514" spans="1:24">
      <c r="A514" s="286">
        <v>71</v>
      </c>
      <c r="C514" s="286" t="s">
        <v>644</v>
      </c>
      <c r="D514" s="286"/>
      <c r="E514" s="286" t="s">
        <v>610</v>
      </c>
      <c r="F514" s="286">
        <v>17</v>
      </c>
      <c r="G514" s="425">
        <v>143.31</v>
      </c>
      <c r="H514" s="425">
        <v>10.01</v>
      </c>
      <c r="J514" s="289"/>
      <c r="K514" s="289"/>
      <c r="L514" s="291"/>
      <c r="M514" s="291"/>
      <c r="N514" s="300"/>
      <c r="O514" s="296"/>
      <c r="P514" s="294"/>
      <c r="Q514" s="294"/>
      <c r="R514" s="295"/>
      <c r="S514" s="302">
        <f t="shared" si="29"/>
        <v>0</v>
      </c>
      <c r="T514" s="302"/>
      <c r="U514" s="303"/>
      <c r="V514" s="305">
        <f t="shared" si="30"/>
        <v>0</v>
      </c>
      <c r="W514" s="305" t="str">
        <f t="shared" si="28"/>
        <v xml:space="preserve"> </v>
      </c>
      <c r="X514" s="288"/>
    </row>
    <row r="515" spans="1:24">
      <c r="A515" s="286">
        <v>71</v>
      </c>
      <c r="C515" s="286" t="s">
        <v>644</v>
      </c>
      <c r="D515" s="286"/>
      <c r="E515" s="286" t="s">
        <v>638</v>
      </c>
      <c r="F515" s="286">
        <v>17</v>
      </c>
      <c r="G515" s="425">
        <v>85.19</v>
      </c>
      <c r="H515" s="425">
        <v>5.88</v>
      </c>
      <c r="J515" s="289"/>
      <c r="K515" s="289"/>
      <c r="L515" s="291"/>
      <c r="M515" s="291"/>
      <c r="N515" s="300"/>
      <c r="O515" s="296"/>
      <c r="P515" s="294"/>
      <c r="Q515" s="294"/>
      <c r="R515" s="295"/>
      <c r="S515" s="302">
        <f t="shared" si="29"/>
        <v>0</v>
      </c>
      <c r="T515" s="302"/>
      <c r="U515" s="303"/>
      <c r="V515" s="305">
        <f t="shared" si="30"/>
        <v>0</v>
      </c>
      <c r="W515" s="305" t="str">
        <f t="shared" si="28"/>
        <v xml:space="preserve"> </v>
      </c>
      <c r="X515" s="288"/>
    </row>
    <row r="516" spans="1:24">
      <c r="A516" s="286">
        <v>71</v>
      </c>
      <c r="C516" s="286" t="s">
        <v>644</v>
      </c>
      <c r="D516" s="286"/>
      <c r="E516" s="286" t="s">
        <v>643</v>
      </c>
      <c r="F516" s="286">
        <v>17</v>
      </c>
      <c r="G516" s="425">
        <v>-92.43</v>
      </c>
      <c r="H516" s="425">
        <v>-6.38</v>
      </c>
      <c r="J516" s="289"/>
      <c r="K516" s="289"/>
      <c r="L516" s="291"/>
      <c r="M516" s="291"/>
      <c r="N516" s="300"/>
      <c r="O516" s="296"/>
      <c r="P516" s="294"/>
      <c r="Q516" s="294"/>
      <c r="R516" s="295"/>
      <c r="S516" s="302">
        <f t="shared" si="29"/>
        <v>0</v>
      </c>
      <c r="T516" s="302"/>
      <c r="U516" s="303"/>
      <c r="V516" s="305">
        <f t="shared" si="30"/>
        <v>0</v>
      </c>
      <c r="W516" s="305" t="str">
        <f t="shared" si="28"/>
        <v xml:space="preserve"> </v>
      </c>
      <c r="X516" s="288"/>
    </row>
    <row r="517" spans="1:24">
      <c r="A517" s="286">
        <v>72</v>
      </c>
      <c r="C517" s="286" t="s">
        <v>597</v>
      </c>
      <c r="D517" s="286"/>
      <c r="E517" s="286" t="s">
        <v>598</v>
      </c>
      <c r="F517" s="286">
        <f>IF(VLOOKUP(A517,'WP-5 Payroll Data'!$K$11:$O$151,3,FALSE)&gt;26,26,VLOOKUP(A517,'WP-5 Payroll Data'!$K$11:$O$151,3,FALSE))</f>
        <v>26</v>
      </c>
      <c r="G517" s="425">
        <v>7081.1900000000005</v>
      </c>
      <c r="H517" s="425">
        <v>225.83000000000007</v>
      </c>
      <c r="J517" s="289">
        <f>VLOOKUP(A517,'WP-5 Payroll Data'!$K$11:$O$151,4,FALSE)</f>
        <v>7928.1900000000005</v>
      </c>
      <c r="K517" s="289">
        <f>VLOOKUP(A517,'WP-5 Payroll Data'!$K$11:$O$151,5,FALSE)</f>
        <v>252.85000000000008</v>
      </c>
      <c r="L517" s="289">
        <f>J517/K517</f>
        <v>31.355309472018977</v>
      </c>
      <c r="M517" s="289"/>
      <c r="N517" s="300">
        <f>IF((K517/F517)*26&gt;1500,2080,IF((K517/F517)*26&gt;300,520,IF((K517/F517)*26&gt;100,260,K517)))</f>
        <v>260</v>
      </c>
      <c r="O517" s="296">
        <f>N517*L517</f>
        <v>8152.3804627249337</v>
      </c>
      <c r="P517" s="294"/>
      <c r="Q517" s="294">
        <f>O517*0.03</f>
        <v>244.57141388174801</v>
      </c>
      <c r="R517" s="295"/>
      <c r="S517" s="302">
        <f t="shared" si="29"/>
        <v>0</v>
      </c>
      <c r="T517" s="302"/>
      <c r="U517" s="303"/>
      <c r="V517" s="305">
        <f t="shared" si="30"/>
        <v>0</v>
      </c>
      <c r="W517" s="305" t="str">
        <f t="shared" si="28"/>
        <v xml:space="preserve"> </v>
      </c>
      <c r="X517" s="288"/>
    </row>
    <row r="518" spans="1:24">
      <c r="A518" s="286">
        <v>72</v>
      </c>
      <c r="C518" s="286" t="s">
        <v>597</v>
      </c>
      <c r="D518" s="286"/>
      <c r="E518" s="286" t="s">
        <v>599</v>
      </c>
      <c r="F518" s="286">
        <v>26</v>
      </c>
      <c r="G518" s="425">
        <v>234.39999999999998</v>
      </c>
      <c r="H518" s="425">
        <v>5</v>
      </c>
      <c r="J518" s="289"/>
      <c r="K518" s="289"/>
      <c r="L518" s="291"/>
      <c r="M518" s="291"/>
      <c r="N518" s="300"/>
      <c r="O518" s="296"/>
      <c r="P518" s="294"/>
      <c r="Q518" s="294"/>
      <c r="R518" s="295"/>
      <c r="S518" s="302">
        <f t="shared" si="29"/>
        <v>234.39999999999998</v>
      </c>
      <c r="T518" s="302">
        <f t="shared" si="31"/>
        <v>7.0319999999999991</v>
      </c>
      <c r="U518" s="303"/>
      <c r="V518" s="305">
        <f t="shared" si="30"/>
        <v>0</v>
      </c>
      <c r="W518" s="305" t="str">
        <f t="shared" si="28"/>
        <v xml:space="preserve"> </v>
      </c>
      <c r="X518" s="288"/>
    </row>
    <row r="519" spans="1:24">
      <c r="A519" s="286">
        <v>72</v>
      </c>
      <c r="C519" s="286" t="s">
        <v>597</v>
      </c>
      <c r="D519" s="286"/>
      <c r="E519" s="286" t="s">
        <v>605</v>
      </c>
      <c r="F519" s="286">
        <v>26</v>
      </c>
      <c r="G519" s="425">
        <v>596.28</v>
      </c>
      <c r="H519" s="425">
        <v>19</v>
      </c>
      <c r="J519" s="289"/>
      <c r="K519" s="289"/>
      <c r="L519" s="291"/>
      <c r="M519" s="291"/>
      <c r="N519" s="300"/>
      <c r="O519" s="296"/>
      <c r="P519" s="294"/>
      <c r="Q519" s="294"/>
      <c r="R519" s="295"/>
      <c r="S519" s="302">
        <f t="shared" si="29"/>
        <v>0</v>
      </c>
      <c r="T519" s="302"/>
      <c r="U519" s="303"/>
      <c r="V519" s="305">
        <f t="shared" si="30"/>
        <v>0</v>
      </c>
      <c r="W519" s="305" t="str">
        <f t="shared" si="28"/>
        <v xml:space="preserve"> </v>
      </c>
      <c r="X519" s="288"/>
    </row>
    <row r="520" spans="1:24">
      <c r="A520" s="286">
        <v>72</v>
      </c>
      <c r="C520" s="286" t="s">
        <v>597</v>
      </c>
      <c r="D520" s="286"/>
      <c r="E520" s="286" t="s">
        <v>608</v>
      </c>
      <c r="F520" s="286">
        <v>26</v>
      </c>
      <c r="G520" s="425">
        <v>158.39000000000001</v>
      </c>
      <c r="H520" s="425">
        <v>5.08</v>
      </c>
      <c r="J520" s="289"/>
      <c r="K520" s="289"/>
      <c r="L520" s="291"/>
      <c r="M520" s="291"/>
      <c r="N520" s="300"/>
      <c r="O520" s="296"/>
      <c r="P520" s="294"/>
      <c r="Q520" s="294"/>
      <c r="R520" s="295"/>
      <c r="S520" s="302">
        <f t="shared" si="29"/>
        <v>0</v>
      </c>
      <c r="T520" s="302"/>
      <c r="U520" s="303"/>
      <c r="V520" s="305">
        <f t="shared" si="30"/>
        <v>0</v>
      </c>
      <c r="W520" s="305" t="str">
        <f t="shared" si="28"/>
        <v xml:space="preserve"> </v>
      </c>
      <c r="X520" s="288"/>
    </row>
    <row r="521" spans="1:24">
      <c r="A521" s="286">
        <v>72</v>
      </c>
      <c r="C521" s="286" t="s">
        <v>597</v>
      </c>
      <c r="D521" s="286"/>
      <c r="E521" s="286" t="s">
        <v>602</v>
      </c>
      <c r="F521" s="286">
        <v>26</v>
      </c>
      <c r="G521" s="425">
        <v>61.56</v>
      </c>
      <c r="H521" s="425">
        <v>1.96</v>
      </c>
      <c r="J521" s="289"/>
      <c r="K521" s="289"/>
      <c r="L521" s="291"/>
      <c r="M521" s="291"/>
      <c r="N521" s="300"/>
      <c r="O521" s="296"/>
      <c r="P521" s="294"/>
      <c r="Q521" s="294"/>
      <c r="R521" s="295"/>
      <c r="S521" s="302">
        <f t="shared" si="29"/>
        <v>0</v>
      </c>
      <c r="T521" s="302"/>
      <c r="U521" s="303"/>
      <c r="V521" s="305">
        <f t="shared" si="30"/>
        <v>61.56</v>
      </c>
      <c r="W521" s="305" t="str">
        <f t="shared" si="28"/>
        <v xml:space="preserve"> </v>
      </c>
      <c r="X521" s="288"/>
    </row>
    <row r="522" spans="1:24">
      <c r="A522" s="286">
        <v>72</v>
      </c>
      <c r="C522" s="286" t="s">
        <v>597</v>
      </c>
      <c r="D522" s="286"/>
      <c r="E522" s="286" t="s">
        <v>610</v>
      </c>
      <c r="F522" s="286">
        <v>26</v>
      </c>
      <c r="G522" s="425">
        <v>92.330000000000013</v>
      </c>
      <c r="H522" s="425">
        <v>2.94</v>
      </c>
      <c r="J522" s="289"/>
      <c r="K522" s="289"/>
      <c r="L522" s="291"/>
      <c r="M522" s="291"/>
      <c r="N522" s="300"/>
      <c r="O522" s="296"/>
      <c r="P522" s="294"/>
      <c r="Q522" s="294"/>
      <c r="R522" s="295"/>
      <c r="S522" s="302">
        <f t="shared" si="29"/>
        <v>0</v>
      </c>
      <c r="T522" s="302"/>
      <c r="U522" s="303"/>
      <c r="V522" s="305">
        <f t="shared" si="30"/>
        <v>0</v>
      </c>
      <c r="W522" s="305" t="str">
        <f t="shared" ref="W522:W585" si="32">IF($E522=$AA$29,-$V522,IF(OR($E522=$AA$18,$E522=$AA$23,$E522=$AA$24,$E522=$AA$26),(($V522/200)*50)," "))</f>
        <v xml:space="preserve"> </v>
      </c>
      <c r="X522" s="288"/>
    </row>
    <row r="523" spans="1:24">
      <c r="A523" s="286">
        <v>72</v>
      </c>
      <c r="C523" s="286" t="s">
        <v>597</v>
      </c>
      <c r="D523" s="286"/>
      <c r="E523" s="286" t="s">
        <v>624</v>
      </c>
      <c r="F523" s="286">
        <v>26</v>
      </c>
      <c r="G523" s="425">
        <v>183.75</v>
      </c>
      <c r="H523" s="425">
        <v>0</v>
      </c>
      <c r="J523" s="289"/>
      <c r="K523" s="289"/>
      <c r="L523" s="291"/>
      <c r="M523" s="291"/>
      <c r="N523" s="300"/>
      <c r="O523" s="296"/>
      <c r="P523" s="294"/>
      <c r="Q523" s="294"/>
      <c r="R523" s="295"/>
      <c r="S523" s="302">
        <f t="shared" ref="S523:S586" si="33">IF(OR($E523=$Y$10,$E523=$Y$11,$E523=$Y$12,$E523=$Y$13),$G523,0)</f>
        <v>0</v>
      </c>
      <c r="T523" s="302"/>
      <c r="U523" s="303"/>
      <c r="V523" s="305">
        <f t="shared" ref="V523:V586" si="34">IF(OR($E523=$AA$10,$E523=$AA$11,$E523=$AA$12,$E523=$AA$13,$E523=$AA$14,$E523=$AA$15,$E523=$AA$16,$E523=$AA$17,$E523=$AA$18,$E523=$AA$19,$E523=$AA$20,$E523=$AA$21,$E523=$AA$22,$E523=$AA$23,$E523=$AA$24,$E523=$AA$25,$E523=$AA$26,$E523=$AA$27,$E523=$AA$28,$E523=$AA$29),G523,0)</f>
        <v>183.75</v>
      </c>
      <c r="W523" s="305">
        <f t="shared" si="32"/>
        <v>45.9375</v>
      </c>
      <c r="X523" s="288"/>
    </row>
    <row r="524" spans="1:24">
      <c r="A524" s="286">
        <v>73</v>
      </c>
      <c r="C524" s="286" t="s">
        <v>656</v>
      </c>
      <c r="D524" s="286"/>
      <c r="E524" s="286" t="s">
        <v>598</v>
      </c>
      <c r="F524" s="286">
        <f>IF(VLOOKUP(A524,'WP-5 Payroll Data'!$K$11:$O$151,3,FALSE)&gt;26,26,VLOOKUP(A524,'WP-5 Payroll Data'!$K$11:$O$151,3,FALSE))</f>
        <v>26</v>
      </c>
      <c r="G524" s="425">
        <v>4593.63</v>
      </c>
      <c r="H524" s="425">
        <v>208</v>
      </c>
      <c r="J524" s="289">
        <f>VLOOKUP(A524,'WP-5 Payroll Data'!$K$11:$O$151,4,FALSE)</f>
        <v>4593.63</v>
      </c>
      <c r="K524" s="289">
        <f>VLOOKUP(A524,'WP-5 Payroll Data'!$K$11:$O$151,5,FALSE)</f>
        <v>208</v>
      </c>
      <c r="L524" s="289">
        <f>J524/K524</f>
        <v>22.084759615384616</v>
      </c>
      <c r="M524" s="289"/>
      <c r="N524" s="300">
        <f>IF((K524/F524)*26&gt;1500,2080,IF((K524/F524)*26&gt;300,520,IF((K524/F524)*26&gt;100,260,K524)))</f>
        <v>260</v>
      </c>
      <c r="O524" s="296">
        <f>N524*L524</f>
        <v>5742.0375000000004</v>
      </c>
      <c r="P524" s="294"/>
      <c r="Q524" s="294">
        <f>O524*0.03</f>
        <v>172.26112499999999</v>
      </c>
      <c r="R524" s="295"/>
      <c r="S524" s="302">
        <f t="shared" si="33"/>
        <v>0</v>
      </c>
      <c r="T524" s="302"/>
      <c r="U524" s="303"/>
      <c r="V524" s="305">
        <f t="shared" si="34"/>
        <v>0</v>
      </c>
      <c r="W524" s="305" t="str">
        <f t="shared" si="32"/>
        <v xml:space="preserve"> </v>
      </c>
      <c r="X524" s="288"/>
    </row>
    <row r="525" spans="1:24">
      <c r="A525" s="286">
        <v>74</v>
      </c>
      <c r="C525" s="286" t="s">
        <v>644</v>
      </c>
      <c r="D525" s="286"/>
      <c r="E525" s="286" t="s">
        <v>598</v>
      </c>
      <c r="F525" s="286">
        <f>IF(VLOOKUP(A525,'WP-5 Payroll Data'!$K$11:$O$151,3,FALSE)&gt;26,26,VLOOKUP(A525,'WP-5 Payroll Data'!$K$11:$O$151,3,FALSE))</f>
        <v>26</v>
      </c>
      <c r="G525" s="425">
        <v>8310.2200000000012</v>
      </c>
      <c r="H525" s="425">
        <v>434.75</v>
      </c>
      <c r="J525" s="289">
        <f>VLOOKUP(A525,'WP-5 Payroll Data'!$K$11:$O$151,4,FALSE)</f>
        <v>9915.2000000000025</v>
      </c>
      <c r="K525" s="289">
        <f>VLOOKUP(A525,'WP-5 Payroll Data'!$K$11:$O$151,5,FALSE)</f>
        <v>518.51</v>
      </c>
      <c r="L525" s="289">
        <f>J525/K525</f>
        <v>19.122485583691738</v>
      </c>
      <c r="M525" s="289"/>
      <c r="N525" s="300">
        <f>IF((K525/F525)*26&gt;1500,2080,IF((K525/F525)*26&gt;300,520,IF((K525/F525)*26&gt;100,260,K525)))</f>
        <v>520</v>
      </c>
      <c r="O525" s="296">
        <f>N525*L525</f>
        <v>9943.6925035197037</v>
      </c>
      <c r="P525" s="294"/>
      <c r="Q525" s="294">
        <f>O525*0.03</f>
        <v>298.31077510559112</v>
      </c>
      <c r="R525" s="295"/>
      <c r="S525" s="302">
        <f t="shared" si="33"/>
        <v>0</v>
      </c>
      <c r="T525" s="302"/>
      <c r="U525" s="303"/>
      <c r="V525" s="305">
        <f t="shared" si="34"/>
        <v>0</v>
      </c>
      <c r="W525" s="305" t="str">
        <f t="shared" si="32"/>
        <v xml:space="preserve"> </v>
      </c>
      <c r="X525" s="288"/>
    </row>
    <row r="526" spans="1:24">
      <c r="A526" s="286">
        <v>74</v>
      </c>
      <c r="C526" s="286" t="s">
        <v>644</v>
      </c>
      <c r="D526" s="286"/>
      <c r="E526" s="286" t="s">
        <v>599</v>
      </c>
      <c r="F526" s="286">
        <v>26</v>
      </c>
      <c r="G526" s="425">
        <v>78.280000000000015</v>
      </c>
      <c r="H526" s="425">
        <v>2.75</v>
      </c>
      <c r="J526" s="289"/>
      <c r="K526" s="289"/>
      <c r="L526" s="291"/>
      <c r="M526" s="291"/>
      <c r="N526" s="300"/>
      <c r="O526" s="296"/>
      <c r="P526" s="294"/>
      <c r="Q526" s="294"/>
      <c r="R526" s="295"/>
      <c r="S526" s="302">
        <f t="shared" si="33"/>
        <v>78.280000000000015</v>
      </c>
      <c r="T526" s="302">
        <f t="shared" ref="T526:T586" si="35">S526*0.03</f>
        <v>2.3484000000000003</v>
      </c>
      <c r="U526" s="303"/>
      <c r="V526" s="305">
        <f t="shared" si="34"/>
        <v>0</v>
      </c>
      <c r="W526" s="305" t="str">
        <f t="shared" si="32"/>
        <v xml:space="preserve"> </v>
      </c>
      <c r="X526" s="288"/>
    </row>
    <row r="527" spans="1:24">
      <c r="A527" s="286">
        <v>74</v>
      </c>
      <c r="C527" s="286" t="s">
        <v>644</v>
      </c>
      <c r="D527" s="286"/>
      <c r="E527" s="286" t="s">
        <v>605</v>
      </c>
      <c r="F527" s="286">
        <v>26</v>
      </c>
      <c r="G527" s="425">
        <v>1009.4499999999998</v>
      </c>
      <c r="H527" s="425">
        <v>52.82</v>
      </c>
      <c r="J527" s="289"/>
      <c r="K527" s="289"/>
      <c r="L527" s="291"/>
      <c r="M527" s="291"/>
      <c r="N527" s="300"/>
      <c r="O527" s="296"/>
      <c r="P527" s="294"/>
      <c r="Q527" s="294"/>
      <c r="R527" s="295"/>
      <c r="S527" s="302">
        <f t="shared" si="33"/>
        <v>0</v>
      </c>
      <c r="T527" s="302"/>
      <c r="U527" s="303"/>
      <c r="V527" s="305">
        <f t="shared" si="34"/>
        <v>0</v>
      </c>
      <c r="W527" s="305" t="str">
        <f t="shared" si="32"/>
        <v xml:space="preserve"> </v>
      </c>
      <c r="X527" s="288"/>
    </row>
    <row r="528" spans="1:24">
      <c r="A528" s="286">
        <v>74</v>
      </c>
      <c r="C528" s="286" t="s">
        <v>644</v>
      </c>
      <c r="D528" s="286"/>
      <c r="E528" s="286" t="s">
        <v>608</v>
      </c>
      <c r="F528" s="286">
        <v>26</v>
      </c>
      <c r="G528" s="425">
        <v>463.18999999999983</v>
      </c>
      <c r="H528" s="425">
        <v>23.94</v>
      </c>
      <c r="J528" s="289"/>
      <c r="K528" s="289"/>
      <c r="L528" s="291"/>
      <c r="M528" s="291"/>
      <c r="N528" s="300"/>
      <c r="O528" s="296"/>
      <c r="P528" s="294"/>
      <c r="Q528" s="294"/>
      <c r="R528" s="295"/>
      <c r="S528" s="302">
        <f t="shared" si="33"/>
        <v>0</v>
      </c>
      <c r="T528" s="302"/>
      <c r="U528" s="303"/>
      <c r="V528" s="305">
        <f t="shared" si="34"/>
        <v>0</v>
      </c>
      <c r="W528" s="305" t="str">
        <f t="shared" si="32"/>
        <v xml:space="preserve"> </v>
      </c>
      <c r="X528" s="288"/>
    </row>
    <row r="529" spans="1:24">
      <c r="A529" s="286">
        <v>74</v>
      </c>
      <c r="C529" s="286" t="s">
        <v>644</v>
      </c>
      <c r="D529" s="286"/>
      <c r="E529" s="286" t="s">
        <v>646</v>
      </c>
      <c r="F529" s="286">
        <v>26</v>
      </c>
      <c r="G529" s="425">
        <v>46.76</v>
      </c>
      <c r="H529" s="425">
        <v>2.5</v>
      </c>
      <c r="J529" s="289"/>
      <c r="K529" s="289"/>
      <c r="L529" s="291"/>
      <c r="M529" s="291"/>
      <c r="N529" s="300"/>
      <c r="O529" s="296"/>
      <c r="P529" s="294"/>
      <c r="Q529" s="294"/>
      <c r="R529" s="295"/>
      <c r="S529" s="302">
        <f t="shared" si="33"/>
        <v>0</v>
      </c>
      <c r="T529" s="302"/>
      <c r="U529" s="303"/>
      <c r="V529" s="305">
        <f t="shared" si="34"/>
        <v>0</v>
      </c>
      <c r="W529" s="305" t="str">
        <f t="shared" si="32"/>
        <v xml:space="preserve"> </v>
      </c>
      <c r="X529" s="288"/>
    </row>
    <row r="530" spans="1:24">
      <c r="A530" s="286">
        <v>74</v>
      </c>
      <c r="C530" s="286" t="s">
        <v>644</v>
      </c>
      <c r="D530" s="286"/>
      <c r="E530" s="286" t="s">
        <v>610</v>
      </c>
      <c r="F530" s="286">
        <v>26</v>
      </c>
      <c r="G530" s="425">
        <v>113.62999999999998</v>
      </c>
      <c r="H530" s="425">
        <v>5.9999999999999991</v>
      </c>
      <c r="J530" s="289"/>
      <c r="K530" s="289"/>
      <c r="L530" s="291"/>
      <c r="M530" s="291"/>
      <c r="N530" s="300"/>
      <c r="O530" s="296"/>
      <c r="P530" s="294"/>
      <c r="Q530" s="294"/>
      <c r="R530" s="295"/>
      <c r="S530" s="302">
        <f t="shared" si="33"/>
        <v>0</v>
      </c>
      <c r="T530" s="302"/>
      <c r="U530" s="303"/>
      <c r="V530" s="305">
        <f t="shared" si="34"/>
        <v>0</v>
      </c>
      <c r="W530" s="305" t="str">
        <f t="shared" si="32"/>
        <v xml:space="preserve"> </v>
      </c>
      <c r="X530" s="288"/>
    </row>
    <row r="531" spans="1:24">
      <c r="A531" s="286">
        <v>74</v>
      </c>
      <c r="C531" s="286" t="s">
        <v>644</v>
      </c>
      <c r="D531" s="286"/>
      <c r="E531" s="286" t="s">
        <v>614</v>
      </c>
      <c r="F531" s="286">
        <v>26</v>
      </c>
      <c r="G531" s="425">
        <v>62.5</v>
      </c>
      <c r="H531" s="425">
        <v>0</v>
      </c>
      <c r="J531" s="289"/>
      <c r="K531" s="289"/>
      <c r="L531" s="291"/>
      <c r="M531" s="291"/>
      <c r="N531" s="300"/>
      <c r="O531" s="296"/>
      <c r="P531" s="294"/>
      <c r="Q531" s="294"/>
      <c r="R531" s="295"/>
      <c r="S531" s="302">
        <f t="shared" si="33"/>
        <v>0</v>
      </c>
      <c r="T531" s="302"/>
      <c r="U531" s="303"/>
      <c r="V531" s="305">
        <f t="shared" si="34"/>
        <v>62.5</v>
      </c>
      <c r="W531" s="305" t="str">
        <f t="shared" si="32"/>
        <v xml:space="preserve"> </v>
      </c>
      <c r="X531" s="288"/>
    </row>
    <row r="532" spans="1:24">
      <c r="A532" s="286">
        <v>74</v>
      </c>
      <c r="C532" s="286" t="s">
        <v>644</v>
      </c>
      <c r="D532" s="286"/>
      <c r="E532" s="286" t="s">
        <v>616</v>
      </c>
      <c r="F532" s="286">
        <v>26</v>
      </c>
      <c r="G532" s="425">
        <v>1000</v>
      </c>
      <c r="H532" s="425">
        <v>0</v>
      </c>
      <c r="J532" s="289"/>
      <c r="K532" s="289"/>
      <c r="L532" s="291"/>
      <c r="M532" s="291"/>
      <c r="N532" s="300"/>
      <c r="O532" s="296"/>
      <c r="P532" s="294"/>
      <c r="Q532" s="294"/>
      <c r="R532" s="295"/>
      <c r="S532" s="302">
        <f t="shared" si="33"/>
        <v>0</v>
      </c>
      <c r="T532" s="302"/>
      <c r="U532" s="303"/>
      <c r="V532" s="305">
        <f t="shared" si="34"/>
        <v>1000</v>
      </c>
      <c r="W532" s="305">
        <f t="shared" si="32"/>
        <v>250</v>
      </c>
      <c r="X532" s="288"/>
    </row>
    <row r="533" spans="1:24">
      <c r="A533" s="286">
        <v>74</v>
      </c>
      <c r="C533" s="286" t="s">
        <v>644</v>
      </c>
      <c r="D533" s="286"/>
      <c r="E533" s="286" t="s">
        <v>671</v>
      </c>
      <c r="F533" s="286">
        <v>26</v>
      </c>
      <c r="G533" s="425">
        <v>-28.05</v>
      </c>
      <c r="H533" s="425">
        <v>-1.5</v>
      </c>
      <c r="J533" s="289"/>
      <c r="K533" s="289"/>
      <c r="L533" s="291"/>
      <c r="M533" s="291"/>
      <c r="N533" s="300"/>
      <c r="O533" s="296"/>
      <c r="P533" s="294"/>
      <c r="Q533" s="294"/>
      <c r="R533" s="295"/>
      <c r="S533" s="302">
        <f t="shared" si="33"/>
        <v>0</v>
      </c>
      <c r="T533" s="302"/>
      <c r="U533" s="303"/>
      <c r="V533" s="305">
        <f t="shared" si="34"/>
        <v>0</v>
      </c>
      <c r="W533" s="305" t="str">
        <f t="shared" si="32"/>
        <v xml:space="preserve"> </v>
      </c>
      <c r="X533" s="288"/>
    </row>
    <row r="534" spans="1:24">
      <c r="A534" s="286">
        <v>75</v>
      </c>
      <c r="C534" s="286" t="s">
        <v>619</v>
      </c>
      <c r="D534" s="286" t="s">
        <v>672</v>
      </c>
      <c r="E534" s="286" t="s">
        <v>621</v>
      </c>
      <c r="F534" s="286">
        <f>IF(VLOOKUP(A534,'WP-5 Payroll Data'!$K$11:$O$151,3,FALSE)&gt;26,26,VLOOKUP(A534,'WP-5 Payroll Data'!$K$11:$O$151,3,FALSE))</f>
        <v>26</v>
      </c>
      <c r="G534" s="425">
        <v>10780.659999999998</v>
      </c>
      <c r="H534" s="425">
        <v>424</v>
      </c>
      <c r="J534" s="289">
        <f>VLOOKUP(A534,'WP-5 Payroll Data'!$K$11:$O$151,4,FALSE)</f>
        <v>12949.619999999999</v>
      </c>
      <c r="K534" s="289">
        <f>VLOOKUP(A534,'WP-5 Payroll Data'!$K$11:$O$151,5,FALSE)</f>
        <v>510</v>
      </c>
      <c r="L534" s="289">
        <f>J534/K534</f>
        <v>25.391411764705879</v>
      </c>
      <c r="M534" s="289"/>
      <c r="N534" s="300">
        <f>IF((K534/F534)*26&gt;1500,2080,IF((K534/F534)*26&gt;300,520,IF((K534/F534)*26&gt;100,260,K534)))</f>
        <v>520</v>
      </c>
      <c r="O534" s="296">
        <f>N534*L534</f>
        <v>13203.534117647057</v>
      </c>
      <c r="P534" s="294"/>
      <c r="Q534" s="294">
        <f>O534*0.03</f>
        <v>396.10602352941169</v>
      </c>
      <c r="R534" s="295"/>
      <c r="S534" s="302">
        <f t="shared" si="33"/>
        <v>0</v>
      </c>
      <c r="T534" s="302"/>
      <c r="U534" s="303"/>
      <c r="V534" s="305">
        <f t="shared" si="34"/>
        <v>0</v>
      </c>
      <c r="W534" s="305" t="str">
        <f t="shared" si="32"/>
        <v xml:space="preserve"> </v>
      </c>
      <c r="X534" s="288"/>
    </row>
    <row r="535" spans="1:24">
      <c r="A535" s="286">
        <v>75</v>
      </c>
      <c r="C535" s="286" t="s">
        <v>619</v>
      </c>
      <c r="D535" s="286" t="s">
        <v>672</v>
      </c>
      <c r="E535" s="286" t="s">
        <v>599</v>
      </c>
      <c r="F535" s="286">
        <v>27</v>
      </c>
      <c r="G535" s="425">
        <v>731.71</v>
      </c>
      <c r="H535" s="425">
        <v>19.090000000000003</v>
      </c>
      <c r="J535" s="289"/>
      <c r="K535" s="289"/>
      <c r="L535" s="291"/>
      <c r="M535" s="291"/>
      <c r="N535" s="300"/>
      <c r="O535" s="296"/>
      <c r="P535" s="294"/>
      <c r="Q535" s="294"/>
      <c r="R535" s="295"/>
      <c r="S535" s="302">
        <f t="shared" si="33"/>
        <v>731.71</v>
      </c>
      <c r="T535" s="302">
        <f t="shared" si="35"/>
        <v>21.9513</v>
      </c>
      <c r="U535" s="303"/>
      <c r="V535" s="305">
        <f t="shared" si="34"/>
        <v>0</v>
      </c>
      <c r="W535" s="305" t="str">
        <f t="shared" si="32"/>
        <v xml:space="preserve"> </v>
      </c>
      <c r="X535" s="288"/>
    </row>
    <row r="536" spans="1:24">
      <c r="A536" s="286">
        <v>75</v>
      </c>
      <c r="C536" s="286" t="s">
        <v>619</v>
      </c>
      <c r="D536" s="286" t="s">
        <v>672</v>
      </c>
      <c r="E536" s="286" t="s">
        <v>600</v>
      </c>
      <c r="F536" s="286">
        <v>27</v>
      </c>
      <c r="G536" s="425">
        <v>1029.4000000000001</v>
      </c>
      <c r="H536" s="425">
        <v>40</v>
      </c>
      <c r="J536" s="289"/>
      <c r="K536" s="289"/>
      <c r="L536" s="291"/>
      <c r="M536" s="291"/>
      <c r="N536" s="300"/>
      <c r="O536" s="296"/>
      <c r="P536" s="294"/>
      <c r="Q536" s="294"/>
      <c r="R536" s="295"/>
      <c r="S536" s="302">
        <f t="shared" si="33"/>
        <v>0</v>
      </c>
      <c r="T536" s="302"/>
      <c r="U536" s="303"/>
      <c r="V536" s="305">
        <f t="shared" si="34"/>
        <v>1029.4000000000001</v>
      </c>
      <c r="W536" s="305" t="str">
        <f t="shared" si="32"/>
        <v xml:space="preserve"> </v>
      </c>
      <c r="X536" s="288"/>
    </row>
    <row r="537" spans="1:24">
      <c r="A537" s="286">
        <v>75</v>
      </c>
      <c r="C537" s="286" t="s">
        <v>619</v>
      </c>
      <c r="D537" s="286" t="s">
        <v>672</v>
      </c>
      <c r="E537" s="286" t="s">
        <v>627</v>
      </c>
      <c r="F537" s="286">
        <v>27</v>
      </c>
      <c r="G537" s="425">
        <v>546.69999999999993</v>
      </c>
      <c r="H537" s="425">
        <v>22</v>
      </c>
      <c r="J537" s="289"/>
      <c r="K537" s="289"/>
      <c r="L537" s="291"/>
      <c r="M537" s="291"/>
      <c r="N537" s="300"/>
      <c r="O537" s="296"/>
      <c r="P537" s="294"/>
      <c r="Q537" s="294"/>
      <c r="R537" s="295"/>
      <c r="S537" s="302">
        <f t="shared" si="33"/>
        <v>0</v>
      </c>
      <c r="T537" s="302"/>
      <c r="U537" s="303"/>
      <c r="V537" s="305">
        <f t="shared" si="34"/>
        <v>0</v>
      </c>
      <c r="W537" s="305" t="str">
        <f t="shared" si="32"/>
        <v xml:space="preserve"> </v>
      </c>
      <c r="X537" s="288"/>
    </row>
    <row r="538" spans="1:24">
      <c r="A538" s="286">
        <v>75</v>
      </c>
      <c r="C538" s="286" t="s">
        <v>619</v>
      </c>
      <c r="D538" s="286" t="s">
        <v>672</v>
      </c>
      <c r="E538" s="286" t="s">
        <v>630</v>
      </c>
      <c r="F538" s="286">
        <v>27</v>
      </c>
      <c r="G538" s="425">
        <v>749.04000000000008</v>
      </c>
      <c r="H538" s="425">
        <v>30</v>
      </c>
      <c r="J538" s="289"/>
      <c r="K538" s="289"/>
      <c r="L538" s="291"/>
      <c r="M538" s="291"/>
      <c r="N538" s="300"/>
      <c r="O538" s="296"/>
      <c r="P538" s="294"/>
      <c r="Q538" s="294"/>
      <c r="R538" s="295"/>
      <c r="S538" s="302">
        <f t="shared" si="33"/>
        <v>0</v>
      </c>
      <c r="T538" s="302"/>
      <c r="U538" s="303"/>
      <c r="V538" s="305">
        <f t="shared" si="34"/>
        <v>0</v>
      </c>
      <c r="W538" s="305" t="str">
        <f t="shared" si="32"/>
        <v xml:space="preserve"> </v>
      </c>
      <c r="X538" s="288"/>
    </row>
    <row r="539" spans="1:24">
      <c r="A539" s="286">
        <v>75</v>
      </c>
      <c r="C539" s="286" t="s">
        <v>619</v>
      </c>
      <c r="D539" s="286" t="s">
        <v>672</v>
      </c>
      <c r="E539" s="286" t="s">
        <v>633</v>
      </c>
      <c r="F539" s="286">
        <v>27</v>
      </c>
      <c r="G539" s="425">
        <v>713.50000000000011</v>
      </c>
      <c r="H539" s="425">
        <v>28</v>
      </c>
      <c r="J539" s="289"/>
      <c r="K539" s="289"/>
      <c r="L539" s="291"/>
      <c r="M539" s="291"/>
      <c r="N539" s="300"/>
      <c r="O539" s="296"/>
      <c r="P539" s="294"/>
      <c r="Q539" s="294"/>
      <c r="R539" s="295"/>
      <c r="S539" s="302">
        <f t="shared" si="33"/>
        <v>0</v>
      </c>
      <c r="T539" s="302"/>
      <c r="U539" s="303"/>
      <c r="V539" s="305">
        <f t="shared" si="34"/>
        <v>0</v>
      </c>
      <c r="W539" s="305" t="str">
        <f t="shared" si="32"/>
        <v xml:space="preserve"> </v>
      </c>
      <c r="X539" s="288"/>
    </row>
    <row r="540" spans="1:24">
      <c r="A540" s="286">
        <v>75</v>
      </c>
      <c r="C540" s="286" t="s">
        <v>619</v>
      </c>
      <c r="D540" s="286" t="s">
        <v>672</v>
      </c>
      <c r="E540" s="286" t="s">
        <v>604</v>
      </c>
      <c r="F540" s="286">
        <v>27</v>
      </c>
      <c r="G540" s="425">
        <v>255.58</v>
      </c>
      <c r="H540" s="425">
        <v>10</v>
      </c>
      <c r="J540" s="289"/>
      <c r="K540" s="289"/>
      <c r="L540" s="291"/>
      <c r="M540" s="291"/>
      <c r="N540" s="300"/>
      <c r="O540" s="296"/>
      <c r="P540" s="294"/>
      <c r="Q540" s="294"/>
      <c r="R540" s="295"/>
      <c r="S540" s="302">
        <f t="shared" si="33"/>
        <v>0</v>
      </c>
      <c r="T540" s="302"/>
      <c r="U540" s="303"/>
      <c r="V540" s="305">
        <f t="shared" si="34"/>
        <v>255.58</v>
      </c>
      <c r="W540" s="305" t="str">
        <f t="shared" si="32"/>
        <v xml:space="preserve"> </v>
      </c>
      <c r="X540" s="288"/>
    </row>
    <row r="541" spans="1:24">
      <c r="A541" s="286">
        <v>75</v>
      </c>
      <c r="C541" s="286" t="s">
        <v>619</v>
      </c>
      <c r="D541" s="286" t="s">
        <v>672</v>
      </c>
      <c r="E541" s="286" t="s">
        <v>634</v>
      </c>
      <c r="F541" s="286">
        <v>27</v>
      </c>
      <c r="G541" s="425">
        <v>159.72</v>
      </c>
      <c r="H541" s="425">
        <v>6</v>
      </c>
      <c r="J541" s="289"/>
      <c r="K541" s="289"/>
      <c r="L541" s="291"/>
      <c r="M541" s="291"/>
      <c r="N541" s="300"/>
      <c r="O541" s="296"/>
      <c r="P541" s="294"/>
      <c r="Q541" s="294"/>
      <c r="R541" s="295"/>
      <c r="S541" s="302">
        <f t="shared" si="33"/>
        <v>0</v>
      </c>
      <c r="T541" s="302"/>
      <c r="U541" s="303"/>
      <c r="V541" s="305">
        <f t="shared" si="34"/>
        <v>0</v>
      </c>
      <c r="W541" s="305" t="str">
        <f t="shared" si="32"/>
        <v xml:space="preserve"> </v>
      </c>
      <c r="X541" s="288"/>
    </row>
    <row r="542" spans="1:24">
      <c r="A542" s="286">
        <v>75</v>
      </c>
      <c r="C542" s="286" t="s">
        <v>619</v>
      </c>
      <c r="D542" s="286" t="s">
        <v>672</v>
      </c>
      <c r="E542" s="286" t="s">
        <v>623</v>
      </c>
      <c r="F542" s="286">
        <v>27</v>
      </c>
      <c r="G542" s="425">
        <v>62.5</v>
      </c>
      <c r="H542" s="425">
        <v>0</v>
      </c>
      <c r="J542" s="289"/>
      <c r="K542" s="289"/>
      <c r="L542" s="291"/>
      <c r="M542" s="291"/>
      <c r="N542" s="300"/>
      <c r="O542" s="296"/>
      <c r="P542" s="294"/>
      <c r="Q542" s="294"/>
      <c r="R542" s="295"/>
      <c r="S542" s="302">
        <f t="shared" si="33"/>
        <v>0</v>
      </c>
      <c r="T542" s="302"/>
      <c r="U542" s="303"/>
      <c r="V542" s="305">
        <f t="shared" si="34"/>
        <v>62.5</v>
      </c>
      <c r="W542" s="305" t="str">
        <f t="shared" si="32"/>
        <v xml:space="preserve"> </v>
      </c>
      <c r="X542" s="288"/>
    </row>
    <row r="543" spans="1:24">
      <c r="A543" s="286">
        <v>75</v>
      </c>
      <c r="C543" s="286" t="s">
        <v>619</v>
      </c>
      <c r="D543" s="286" t="s">
        <v>672</v>
      </c>
      <c r="E543" s="286" t="s">
        <v>625</v>
      </c>
      <c r="F543" s="286">
        <v>27</v>
      </c>
      <c r="G543" s="425">
        <v>1400</v>
      </c>
      <c r="H543" s="425">
        <v>0</v>
      </c>
      <c r="J543" s="289"/>
      <c r="K543" s="289"/>
      <c r="L543" s="291"/>
      <c r="M543" s="291"/>
      <c r="N543" s="300"/>
      <c r="O543" s="296"/>
      <c r="P543" s="294"/>
      <c r="Q543" s="294"/>
      <c r="R543" s="295"/>
      <c r="S543" s="302">
        <f t="shared" si="33"/>
        <v>0</v>
      </c>
      <c r="T543" s="302"/>
      <c r="U543" s="303"/>
      <c r="V543" s="305">
        <f t="shared" si="34"/>
        <v>1400</v>
      </c>
      <c r="W543" s="305">
        <f t="shared" si="32"/>
        <v>350</v>
      </c>
      <c r="X543" s="288"/>
    </row>
    <row r="544" spans="1:24">
      <c r="A544" s="286">
        <v>75</v>
      </c>
      <c r="C544" s="286" t="s">
        <v>619</v>
      </c>
      <c r="D544" s="286" t="s">
        <v>672</v>
      </c>
      <c r="E544" s="286" t="s">
        <v>626</v>
      </c>
      <c r="F544" s="286">
        <v>27</v>
      </c>
      <c r="G544" s="425">
        <v>1394.6000000000001</v>
      </c>
      <c r="H544" s="425">
        <v>0</v>
      </c>
      <c r="J544" s="289"/>
      <c r="K544" s="289"/>
      <c r="L544" s="291"/>
      <c r="M544" s="291"/>
      <c r="N544" s="300"/>
      <c r="O544" s="296"/>
      <c r="P544" s="294"/>
      <c r="Q544" s="294"/>
      <c r="R544" s="295"/>
      <c r="S544" s="302">
        <f t="shared" si="33"/>
        <v>0</v>
      </c>
      <c r="T544" s="302"/>
      <c r="U544" s="303"/>
      <c r="V544" s="305">
        <f t="shared" si="34"/>
        <v>1394.6000000000001</v>
      </c>
      <c r="W544" s="305" t="str">
        <f t="shared" si="32"/>
        <v xml:space="preserve"> </v>
      </c>
      <c r="X544" s="288"/>
    </row>
    <row r="545" spans="1:24">
      <c r="A545" s="286">
        <v>75</v>
      </c>
      <c r="C545" s="286" t="s">
        <v>619</v>
      </c>
      <c r="D545" s="286" t="s">
        <v>672</v>
      </c>
      <c r="E545" s="286" t="s">
        <v>632</v>
      </c>
      <c r="F545" s="286">
        <v>27</v>
      </c>
      <c r="G545" s="425">
        <v>4337.75</v>
      </c>
      <c r="H545" s="425">
        <v>0</v>
      </c>
      <c r="J545" s="289"/>
      <c r="K545" s="289"/>
      <c r="L545" s="291"/>
      <c r="M545" s="291"/>
      <c r="N545" s="300"/>
      <c r="O545" s="296"/>
      <c r="P545" s="294"/>
      <c r="Q545" s="294"/>
      <c r="R545" s="295"/>
      <c r="S545" s="302">
        <f t="shared" si="33"/>
        <v>0</v>
      </c>
      <c r="T545" s="302"/>
      <c r="U545" s="303"/>
      <c r="V545" s="305">
        <f t="shared" si="34"/>
        <v>4337.75</v>
      </c>
      <c r="W545" s="305">
        <f t="shared" si="32"/>
        <v>-4337.75</v>
      </c>
      <c r="X545" s="288"/>
    </row>
    <row r="546" spans="1:24">
      <c r="A546" s="286">
        <v>76</v>
      </c>
      <c r="C546" s="286" t="s">
        <v>644</v>
      </c>
      <c r="D546" s="286"/>
      <c r="E546" s="286" t="s">
        <v>598</v>
      </c>
      <c r="F546" s="286">
        <f>IF(VLOOKUP(A546,'WP-5 Payroll Data'!$K$11:$O$151,3,FALSE)&gt;26,26,VLOOKUP(A546,'WP-5 Payroll Data'!$K$11:$O$151,3,FALSE))</f>
        <v>4</v>
      </c>
      <c r="G546" s="425">
        <v>964.18000000000006</v>
      </c>
      <c r="H546" s="425">
        <v>66.5</v>
      </c>
      <c r="J546" s="289">
        <f>VLOOKUP(A546,'WP-5 Payroll Data'!$K$11:$O$151,4,FALSE)</f>
        <v>1014.94</v>
      </c>
      <c r="K546" s="289">
        <f>VLOOKUP(A546,'WP-5 Payroll Data'!$K$11:$O$151,5,FALSE)</f>
        <v>70</v>
      </c>
      <c r="L546" s="289">
        <f>J546/K546</f>
        <v>14.499142857142857</v>
      </c>
      <c r="M546" s="289"/>
      <c r="N546" s="300">
        <f>IF((K546/F546)*26&gt;1500,2080,IF((K546/F546)*26&gt;300,520,IF((K546/F546)*26&gt;100,260,K546)))</f>
        <v>520</v>
      </c>
      <c r="O546" s="296">
        <f>N546*L546</f>
        <v>7539.5542857142855</v>
      </c>
      <c r="P546" s="294"/>
      <c r="Q546" s="294">
        <f>O546*0.03</f>
        <v>226.18662857142854</v>
      </c>
      <c r="R546" s="295"/>
      <c r="S546" s="302">
        <f t="shared" si="33"/>
        <v>0</v>
      </c>
      <c r="T546" s="302"/>
      <c r="U546" s="303"/>
      <c r="V546" s="305">
        <f t="shared" si="34"/>
        <v>0</v>
      </c>
      <c r="W546" s="305" t="str">
        <f t="shared" si="32"/>
        <v xml:space="preserve"> </v>
      </c>
      <c r="X546" s="288"/>
    </row>
    <row r="547" spans="1:24">
      <c r="A547" s="286">
        <v>76</v>
      </c>
      <c r="C547" s="286" t="s">
        <v>644</v>
      </c>
      <c r="D547" s="286"/>
      <c r="E547" s="286" t="s">
        <v>599</v>
      </c>
      <c r="F547" s="286">
        <v>4</v>
      </c>
      <c r="G547" s="425">
        <v>70.150000000000006</v>
      </c>
      <c r="H547" s="425">
        <v>3.2399999999999998</v>
      </c>
      <c r="J547" s="289"/>
      <c r="K547" s="289"/>
      <c r="L547" s="291"/>
      <c r="M547" s="291"/>
      <c r="N547" s="300"/>
      <c r="O547" s="296"/>
      <c r="P547" s="294"/>
      <c r="Q547" s="294"/>
      <c r="R547" s="295"/>
      <c r="S547" s="302">
        <f t="shared" si="33"/>
        <v>70.150000000000006</v>
      </c>
      <c r="T547" s="302">
        <f t="shared" si="35"/>
        <v>2.1045000000000003</v>
      </c>
      <c r="U547" s="303"/>
      <c r="V547" s="305">
        <f t="shared" si="34"/>
        <v>0</v>
      </c>
      <c r="W547" s="305" t="str">
        <f t="shared" si="32"/>
        <v xml:space="preserve"> </v>
      </c>
      <c r="X547" s="288"/>
    </row>
    <row r="548" spans="1:24">
      <c r="A548" s="286">
        <v>76</v>
      </c>
      <c r="C548" s="286" t="s">
        <v>644</v>
      </c>
      <c r="D548" s="286"/>
      <c r="E548" s="286" t="s">
        <v>610</v>
      </c>
      <c r="F548" s="286">
        <v>4</v>
      </c>
      <c r="G548" s="425">
        <v>50.760000000000005</v>
      </c>
      <c r="H548" s="425">
        <v>3.5</v>
      </c>
      <c r="J548" s="289"/>
      <c r="K548" s="289"/>
      <c r="L548" s="291"/>
      <c r="M548" s="291"/>
      <c r="N548" s="300"/>
      <c r="O548" s="296"/>
      <c r="P548" s="294"/>
      <c r="Q548" s="294"/>
      <c r="R548" s="295"/>
      <c r="S548" s="302">
        <f t="shared" si="33"/>
        <v>0</v>
      </c>
      <c r="T548" s="302"/>
      <c r="U548" s="303"/>
      <c r="V548" s="305">
        <f t="shared" si="34"/>
        <v>0</v>
      </c>
      <c r="W548" s="305" t="str">
        <f t="shared" si="32"/>
        <v xml:space="preserve"> </v>
      </c>
      <c r="X548" s="288"/>
    </row>
    <row r="549" spans="1:24">
      <c r="A549" s="286">
        <v>77</v>
      </c>
      <c r="C549" s="286" t="s">
        <v>619</v>
      </c>
      <c r="D549" s="286" t="s">
        <v>620</v>
      </c>
      <c r="E549" s="286" t="s">
        <v>621</v>
      </c>
      <c r="F549" s="286">
        <f>IF(VLOOKUP(A549,'WP-5 Payroll Data'!$K$11:$O$151,3,FALSE)&gt;26,26,VLOOKUP(A549,'WP-5 Payroll Data'!$K$11:$O$151,3,FALSE))</f>
        <v>26</v>
      </c>
      <c r="G549" s="425">
        <v>36870.44</v>
      </c>
      <c r="H549" s="425">
        <v>1619.1</v>
      </c>
      <c r="J549" s="289">
        <f>VLOOKUP(A549,'WP-5 Payroll Data'!$K$11:$O$151,4,FALSE)</f>
        <v>47860.130000000005</v>
      </c>
      <c r="K549" s="289">
        <f>VLOOKUP(A549,'WP-5 Payroll Data'!$K$11:$O$151,5,FALSE)</f>
        <v>2079.1</v>
      </c>
      <c r="L549" s="289">
        <f>J549/K549</f>
        <v>23.019638305035837</v>
      </c>
      <c r="M549" s="289"/>
      <c r="N549" s="300">
        <f>IF((K549/F549)*26&gt;1500,2080,IF((K549/F549)*26&gt;300,520,IF((K549/F549)*26&gt;100,260,K549)))</f>
        <v>2080</v>
      </c>
      <c r="O549" s="296">
        <f>N549*L549</f>
        <v>47880.847674474542</v>
      </c>
      <c r="P549" s="294"/>
      <c r="Q549" s="294">
        <f>O549*0.03</f>
        <v>1436.4254302342363</v>
      </c>
      <c r="R549" s="295"/>
      <c r="S549" s="302">
        <f t="shared" si="33"/>
        <v>0</v>
      </c>
      <c r="T549" s="302"/>
      <c r="U549" s="303"/>
      <c r="V549" s="305">
        <f t="shared" si="34"/>
        <v>0</v>
      </c>
      <c r="W549" s="305" t="str">
        <f t="shared" si="32"/>
        <v xml:space="preserve"> </v>
      </c>
      <c r="X549" s="288"/>
    </row>
    <row r="550" spans="1:24">
      <c r="A550" s="286">
        <v>77</v>
      </c>
      <c r="C550" s="286" t="s">
        <v>619</v>
      </c>
      <c r="D550" s="286" t="s">
        <v>620</v>
      </c>
      <c r="E550" s="286" t="s">
        <v>622</v>
      </c>
      <c r="F550" s="286">
        <v>27</v>
      </c>
      <c r="G550" s="425">
        <v>2848.7200000000003</v>
      </c>
      <c r="H550" s="425">
        <v>116</v>
      </c>
      <c r="J550" s="289"/>
      <c r="K550" s="289"/>
      <c r="L550" s="291"/>
      <c r="M550" s="291"/>
      <c r="N550" s="300"/>
      <c r="O550" s="296"/>
      <c r="P550" s="294"/>
      <c r="Q550" s="294"/>
      <c r="R550" s="295"/>
      <c r="S550" s="302">
        <f t="shared" si="33"/>
        <v>0</v>
      </c>
      <c r="T550" s="302"/>
      <c r="U550" s="303"/>
      <c r="V550" s="305">
        <f t="shared" si="34"/>
        <v>0</v>
      </c>
      <c r="W550" s="305" t="str">
        <f t="shared" si="32"/>
        <v xml:space="preserve"> </v>
      </c>
      <c r="X550" s="288"/>
    </row>
    <row r="551" spans="1:24">
      <c r="A551" s="286">
        <v>77</v>
      </c>
      <c r="C551" s="286" t="s">
        <v>619</v>
      </c>
      <c r="D551" s="286" t="s">
        <v>620</v>
      </c>
      <c r="E551" s="286" t="s">
        <v>599</v>
      </c>
      <c r="F551" s="286">
        <v>27</v>
      </c>
      <c r="G551" s="425">
        <v>3757.4400000000005</v>
      </c>
      <c r="H551" s="425">
        <v>111.9</v>
      </c>
      <c r="J551" s="289"/>
      <c r="K551" s="289"/>
      <c r="L551" s="291"/>
      <c r="M551" s="291"/>
      <c r="N551" s="300"/>
      <c r="O551" s="296"/>
      <c r="P551" s="294"/>
      <c r="Q551" s="294"/>
      <c r="R551" s="295"/>
      <c r="S551" s="302">
        <f t="shared" si="33"/>
        <v>3757.4400000000005</v>
      </c>
      <c r="T551" s="302">
        <f t="shared" si="35"/>
        <v>112.72320000000001</v>
      </c>
      <c r="U551" s="303"/>
      <c r="V551" s="305">
        <f t="shared" si="34"/>
        <v>0</v>
      </c>
      <c r="W551" s="305" t="str">
        <f t="shared" si="32"/>
        <v xml:space="preserve"> </v>
      </c>
      <c r="X551" s="288"/>
    </row>
    <row r="552" spans="1:24">
      <c r="A552" s="286">
        <v>77</v>
      </c>
      <c r="C552" s="286" t="s">
        <v>619</v>
      </c>
      <c r="D552" s="286" t="s">
        <v>620</v>
      </c>
      <c r="E552" s="286" t="s">
        <v>601</v>
      </c>
      <c r="F552" s="286">
        <v>27</v>
      </c>
      <c r="G552" s="425">
        <v>4978.09</v>
      </c>
      <c r="H552" s="425">
        <v>110.30000000000001</v>
      </c>
      <c r="J552" s="289"/>
      <c r="K552" s="289"/>
      <c r="L552" s="291"/>
      <c r="M552" s="291"/>
      <c r="N552" s="300"/>
      <c r="O552" s="296"/>
      <c r="P552" s="294"/>
      <c r="Q552" s="294"/>
      <c r="R552" s="295"/>
      <c r="S552" s="302">
        <f t="shared" si="33"/>
        <v>4978.09</v>
      </c>
      <c r="T552" s="302">
        <f t="shared" si="35"/>
        <v>149.34270000000001</v>
      </c>
      <c r="U552" s="303"/>
      <c r="V552" s="305">
        <f t="shared" si="34"/>
        <v>0</v>
      </c>
      <c r="W552" s="305" t="str">
        <f t="shared" si="32"/>
        <v xml:space="preserve"> </v>
      </c>
      <c r="X552" s="288"/>
    </row>
    <row r="553" spans="1:24">
      <c r="A553" s="286">
        <v>77</v>
      </c>
      <c r="C553" s="286" t="s">
        <v>619</v>
      </c>
      <c r="D553" s="286" t="s">
        <v>620</v>
      </c>
      <c r="E553" s="286" t="s">
        <v>603</v>
      </c>
      <c r="F553" s="286">
        <v>27</v>
      </c>
      <c r="G553" s="425">
        <v>952.89</v>
      </c>
      <c r="H553" s="425">
        <v>25.7</v>
      </c>
      <c r="J553" s="289"/>
      <c r="K553" s="289"/>
      <c r="L553" s="291"/>
      <c r="M553" s="291"/>
      <c r="N553" s="300"/>
      <c r="O553" s="296"/>
      <c r="P553" s="294"/>
      <c r="Q553" s="294"/>
      <c r="R553" s="295"/>
      <c r="S553" s="302">
        <f t="shared" si="33"/>
        <v>952.89</v>
      </c>
      <c r="T553" s="302">
        <f t="shared" si="35"/>
        <v>28.586699999999997</v>
      </c>
      <c r="U553" s="303"/>
      <c r="V553" s="305">
        <f t="shared" si="34"/>
        <v>0</v>
      </c>
      <c r="W553" s="305" t="str">
        <f t="shared" si="32"/>
        <v xml:space="preserve"> </v>
      </c>
      <c r="X553" s="288"/>
    </row>
    <row r="554" spans="1:24">
      <c r="A554" s="286">
        <v>77</v>
      </c>
      <c r="C554" s="286" t="s">
        <v>619</v>
      </c>
      <c r="D554" s="286" t="s">
        <v>620</v>
      </c>
      <c r="E554" s="286" t="s">
        <v>627</v>
      </c>
      <c r="F554" s="286">
        <v>27</v>
      </c>
      <c r="G554" s="425">
        <v>2155.1999999999998</v>
      </c>
      <c r="H554" s="425">
        <v>96</v>
      </c>
      <c r="J554" s="289"/>
      <c r="K554" s="289"/>
      <c r="L554" s="291"/>
      <c r="M554" s="291"/>
      <c r="N554" s="300"/>
      <c r="O554" s="296"/>
      <c r="P554" s="294"/>
      <c r="Q554" s="294"/>
      <c r="R554" s="295"/>
      <c r="S554" s="302">
        <f t="shared" si="33"/>
        <v>0</v>
      </c>
      <c r="T554" s="302"/>
      <c r="U554" s="303"/>
      <c r="V554" s="305">
        <f t="shared" si="34"/>
        <v>0</v>
      </c>
      <c r="W554" s="305" t="str">
        <f t="shared" si="32"/>
        <v xml:space="preserve"> </v>
      </c>
      <c r="X554" s="288"/>
    </row>
    <row r="555" spans="1:24">
      <c r="A555" s="286">
        <v>77</v>
      </c>
      <c r="C555" s="286" t="s">
        <v>619</v>
      </c>
      <c r="D555" s="286" t="s">
        <v>620</v>
      </c>
      <c r="E555" s="286" t="s">
        <v>630</v>
      </c>
      <c r="F555" s="286">
        <v>27</v>
      </c>
      <c r="G555" s="425">
        <v>2751.3599999999997</v>
      </c>
      <c r="H555" s="425">
        <v>120</v>
      </c>
      <c r="J555" s="289"/>
      <c r="K555" s="289"/>
      <c r="L555" s="291"/>
      <c r="M555" s="291"/>
      <c r="N555" s="300"/>
      <c r="O555" s="296"/>
      <c r="P555" s="294"/>
      <c r="Q555" s="294"/>
      <c r="R555" s="295"/>
      <c r="S555" s="302">
        <f t="shared" si="33"/>
        <v>0</v>
      </c>
      <c r="T555" s="302"/>
      <c r="U555" s="303"/>
      <c r="V555" s="305">
        <f t="shared" si="34"/>
        <v>0</v>
      </c>
      <c r="W555" s="305" t="str">
        <f t="shared" si="32"/>
        <v xml:space="preserve"> </v>
      </c>
      <c r="X555" s="288"/>
    </row>
    <row r="556" spans="1:24">
      <c r="A556" s="286">
        <v>77</v>
      </c>
      <c r="C556" s="286" t="s">
        <v>619</v>
      </c>
      <c r="D556" s="286" t="s">
        <v>620</v>
      </c>
      <c r="E556" s="286" t="s">
        <v>633</v>
      </c>
      <c r="F556" s="286">
        <v>27</v>
      </c>
      <c r="G556" s="425">
        <v>2574.6400000000003</v>
      </c>
      <c r="H556" s="425">
        <v>112</v>
      </c>
      <c r="J556" s="289"/>
      <c r="K556" s="289"/>
      <c r="L556" s="291"/>
      <c r="M556" s="291"/>
      <c r="N556" s="300"/>
      <c r="O556" s="296"/>
      <c r="P556" s="294"/>
      <c r="Q556" s="294"/>
      <c r="R556" s="295"/>
      <c r="S556" s="302">
        <f t="shared" si="33"/>
        <v>0</v>
      </c>
      <c r="T556" s="302"/>
      <c r="U556" s="303"/>
      <c r="V556" s="305">
        <f t="shared" si="34"/>
        <v>0</v>
      </c>
      <c r="W556" s="305" t="str">
        <f t="shared" si="32"/>
        <v xml:space="preserve"> </v>
      </c>
      <c r="X556" s="288"/>
    </row>
    <row r="557" spans="1:24">
      <c r="A557" s="286">
        <v>77</v>
      </c>
      <c r="C557" s="286" t="s">
        <v>619</v>
      </c>
      <c r="D557" s="286" t="s">
        <v>620</v>
      </c>
      <c r="E557" s="286" t="s">
        <v>634</v>
      </c>
      <c r="F557" s="286">
        <v>27</v>
      </c>
      <c r="G557" s="425">
        <v>353.44</v>
      </c>
      <c r="H557" s="425">
        <v>16</v>
      </c>
      <c r="J557" s="289"/>
      <c r="K557" s="289"/>
      <c r="L557" s="291"/>
      <c r="M557" s="291"/>
      <c r="N557" s="300"/>
      <c r="O557" s="296"/>
      <c r="P557" s="294"/>
      <c r="Q557" s="294"/>
      <c r="R557" s="295"/>
      <c r="S557" s="302">
        <f t="shared" si="33"/>
        <v>0</v>
      </c>
      <c r="T557" s="302"/>
      <c r="U557" s="303"/>
      <c r="V557" s="305">
        <f t="shared" si="34"/>
        <v>0</v>
      </c>
      <c r="W557" s="305" t="str">
        <f t="shared" si="32"/>
        <v xml:space="preserve"> </v>
      </c>
      <c r="X557" s="288"/>
    </row>
    <row r="558" spans="1:24">
      <c r="A558" s="286">
        <v>77</v>
      </c>
      <c r="C558" s="286" t="s">
        <v>619</v>
      </c>
      <c r="D558" s="286" t="s">
        <v>620</v>
      </c>
      <c r="E558" s="286" t="s">
        <v>623</v>
      </c>
      <c r="F558" s="286">
        <v>27</v>
      </c>
      <c r="G558" s="425">
        <v>250</v>
      </c>
      <c r="H558" s="425">
        <v>0</v>
      </c>
      <c r="J558" s="289"/>
      <c r="K558" s="289"/>
      <c r="L558" s="291"/>
      <c r="M558" s="291"/>
      <c r="N558" s="300"/>
      <c r="O558" s="296"/>
      <c r="P558" s="294"/>
      <c r="Q558" s="294"/>
      <c r="R558" s="295"/>
      <c r="S558" s="302">
        <f t="shared" si="33"/>
        <v>0</v>
      </c>
      <c r="T558" s="302"/>
      <c r="U558" s="303"/>
      <c r="V558" s="305">
        <f t="shared" si="34"/>
        <v>250</v>
      </c>
      <c r="W558" s="305" t="str">
        <f t="shared" si="32"/>
        <v xml:space="preserve"> </v>
      </c>
      <c r="X558" s="288"/>
    </row>
    <row r="559" spans="1:24">
      <c r="A559" s="286">
        <v>77</v>
      </c>
      <c r="C559" s="286" t="s">
        <v>619</v>
      </c>
      <c r="D559" s="286" t="s">
        <v>620</v>
      </c>
      <c r="E559" s="286" t="s">
        <v>625</v>
      </c>
      <c r="F559" s="286">
        <v>27</v>
      </c>
      <c r="G559" s="425">
        <v>400</v>
      </c>
      <c r="H559" s="425">
        <v>0</v>
      </c>
      <c r="J559" s="289"/>
      <c r="K559" s="289"/>
      <c r="L559" s="291"/>
      <c r="M559" s="291"/>
      <c r="N559" s="300"/>
      <c r="O559" s="296"/>
      <c r="P559" s="294"/>
      <c r="Q559" s="294"/>
      <c r="R559" s="295"/>
      <c r="S559" s="302">
        <f t="shared" si="33"/>
        <v>0</v>
      </c>
      <c r="T559" s="302"/>
      <c r="U559" s="303"/>
      <c r="V559" s="305">
        <f t="shared" si="34"/>
        <v>400</v>
      </c>
      <c r="W559" s="305">
        <f t="shared" si="32"/>
        <v>100</v>
      </c>
      <c r="X559" s="288"/>
    </row>
    <row r="560" spans="1:24">
      <c r="A560" s="286">
        <v>77</v>
      </c>
      <c r="C560" s="286" t="s">
        <v>619</v>
      </c>
      <c r="D560" s="286" t="s">
        <v>620</v>
      </c>
      <c r="E560" s="286" t="s">
        <v>629</v>
      </c>
      <c r="F560" s="286">
        <v>27</v>
      </c>
      <c r="G560" s="425">
        <v>3875</v>
      </c>
      <c r="H560" s="425">
        <v>0</v>
      </c>
      <c r="J560" s="289"/>
      <c r="K560" s="289"/>
      <c r="L560" s="291"/>
      <c r="M560" s="291"/>
      <c r="N560" s="300"/>
      <c r="O560" s="296"/>
      <c r="P560" s="294"/>
      <c r="Q560" s="294"/>
      <c r="R560" s="295"/>
      <c r="S560" s="302">
        <f t="shared" si="33"/>
        <v>0</v>
      </c>
      <c r="T560" s="302"/>
      <c r="U560" s="303"/>
      <c r="V560" s="305">
        <f t="shared" si="34"/>
        <v>3875</v>
      </c>
      <c r="W560" s="305" t="str">
        <f t="shared" si="32"/>
        <v xml:space="preserve"> </v>
      </c>
      <c r="X560" s="288"/>
    </row>
    <row r="561" spans="1:24">
      <c r="A561" s="286">
        <v>77</v>
      </c>
      <c r="C561" s="286" t="s">
        <v>619</v>
      </c>
      <c r="D561" s="286" t="s">
        <v>620</v>
      </c>
      <c r="E561" s="286" t="s">
        <v>636</v>
      </c>
      <c r="F561" s="286">
        <v>27</v>
      </c>
      <c r="G561" s="425">
        <v>306.33</v>
      </c>
      <c r="H561" s="425">
        <v>0</v>
      </c>
      <c r="J561" s="289"/>
      <c r="K561" s="289"/>
      <c r="L561" s="291"/>
      <c r="M561" s="291"/>
      <c r="N561" s="300"/>
      <c r="O561" s="296"/>
      <c r="P561" s="294"/>
      <c r="Q561" s="294"/>
      <c r="R561" s="295"/>
      <c r="S561" s="302">
        <f t="shared" si="33"/>
        <v>0</v>
      </c>
      <c r="T561" s="302"/>
      <c r="U561" s="303"/>
      <c r="V561" s="305">
        <f t="shared" si="34"/>
        <v>0</v>
      </c>
      <c r="W561" s="305" t="str">
        <f t="shared" si="32"/>
        <v xml:space="preserve"> </v>
      </c>
      <c r="X561" s="288"/>
    </row>
    <row r="562" spans="1:24">
      <c r="A562" s="286">
        <v>77</v>
      </c>
      <c r="C562" s="286" t="s">
        <v>619</v>
      </c>
      <c r="D562" s="286" t="s">
        <v>620</v>
      </c>
      <c r="E562" s="286" t="s">
        <v>632</v>
      </c>
      <c r="F562" s="286">
        <v>27</v>
      </c>
      <c r="G562" s="425">
        <v>7620.05</v>
      </c>
      <c r="H562" s="425">
        <v>0</v>
      </c>
      <c r="J562" s="289"/>
      <c r="K562" s="289"/>
      <c r="L562" s="291"/>
      <c r="M562" s="291"/>
      <c r="N562" s="300"/>
      <c r="O562" s="296"/>
      <c r="P562" s="294"/>
      <c r="Q562" s="294"/>
      <c r="R562" s="295"/>
      <c r="S562" s="302">
        <f t="shared" si="33"/>
        <v>0</v>
      </c>
      <c r="T562" s="302"/>
      <c r="U562" s="303"/>
      <c r="V562" s="305">
        <f t="shared" si="34"/>
        <v>7620.05</v>
      </c>
      <c r="W562" s="305">
        <f t="shared" si="32"/>
        <v>-7620.05</v>
      </c>
      <c r="X562" s="288"/>
    </row>
    <row r="563" spans="1:24">
      <c r="A563" s="286">
        <v>78</v>
      </c>
      <c r="C563" s="286" t="s">
        <v>619</v>
      </c>
      <c r="D563" s="286" t="s">
        <v>659</v>
      </c>
      <c r="E563" s="286" t="s">
        <v>621</v>
      </c>
      <c r="F563" s="286">
        <f>IF(VLOOKUP(A563,'WP-5 Payroll Data'!$K$11:$O$151,3,FALSE)&gt;26,26,VLOOKUP(A563,'WP-5 Payroll Data'!$K$11:$O$151,3,FALSE))</f>
        <v>26</v>
      </c>
      <c r="G563" s="425">
        <v>40021.239999999991</v>
      </c>
      <c r="H563" s="425">
        <v>1670.2</v>
      </c>
      <c r="J563" s="289">
        <f>VLOOKUP(A563,'WP-5 Payroll Data'!$K$11:$O$151,4,FALSE)</f>
        <v>49361.039999999994</v>
      </c>
      <c r="K563" s="289">
        <f>VLOOKUP(A563,'WP-5 Payroll Data'!$K$11:$O$151,5,FALSE)</f>
        <v>2053.1999999999998</v>
      </c>
      <c r="L563" s="289">
        <f>J563/K563</f>
        <v>24.04102863822326</v>
      </c>
      <c r="M563" s="289"/>
      <c r="N563" s="300">
        <f>IF((K563/F563)*26&gt;1500,2080,IF((K563/F563)*26&gt;300,520,IF((K563/F563)*26&gt;100,260,K563)))</f>
        <v>2080</v>
      </c>
      <c r="O563" s="296">
        <f>N563*L563</f>
        <v>50005.339567504379</v>
      </c>
      <c r="P563" s="294"/>
      <c r="Q563" s="294">
        <f>O563*0.03</f>
        <v>1500.1601870251313</v>
      </c>
      <c r="R563" s="295"/>
      <c r="S563" s="302">
        <f t="shared" si="33"/>
        <v>0</v>
      </c>
      <c r="T563" s="302"/>
      <c r="U563" s="303"/>
      <c r="V563" s="305">
        <f t="shared" si="34"/>
        <v>0</v>
      </c>
      <c r="W563" s="305" t="str">
        <f t="shared" si="32"/>
        <v xml:space="preserve"> </v>
      </c>
      <c r="X563" s="288"/>
    </row>
    <row r="564" spans="1:24">
      <c r="A564" s="286">
        <v>78</v>
      </c>
      <c r="C564" s="286" t="s">
        <v>619</v>
      </c>
      <c r="D564" s="286" t="s">
        <v>659</v>
      </c>
      <c r="E564" s="286" t="s">
        <v>599</v>
      </c>
      <c r="F564" s="286">
        <v>27</v>
      </c>
      <c r="G564" s="425">
        <v>1458.3600000000001</v>
      </c>
      <c r="H564" s="425">
        <v>40.5</v>
      </c>
      <c r="J564" s="289"/>
      <c r="K564" s="289"/>
      <c r="L564" s="291"/>
      <c r="M564" s="291"/>
      <c r="N564" s="300"/>
      <c r="O564" s="296"/>
      <c r="P564" s="294"/>
      <c r="Q564" s="294"/>
      <c r="R564" s="295"/>
      <c r="S564" s="302">
        <f t="shared" si="33"/>
        <v>1458.3600000000001</v>
      </c>
      <c r="T564" s="302">
        <f t="shared" si="35"/>
        <v>43.750800000000005</v>
      </c>
      <c r="U564" s="303"/>
      <c r="V564" s="305">
        <f t="shared" si="34"/>
        <v>0</v>
      </c>
      <c r="W564" s="305" t="str">
        <f t="shared" si="32"/>
        <v xml:space="preserve"> </v>
      </c>
      <c r="X564" s="288"/>
    </row>
    <row r="565" spans="1:24">
      <c r="A565" s="286">
        <v>78</v>
      </c>
      <c r="C565" s="286" t="s">
        <v>619</v>
      </c>
      <c r="D565" s="286" t="s">
        <v>659</v>
      </c>
      <c r="E565" s="286" t="s">
        <v>601</v>
      </c>
      <c r="F565" s="286">
        <v>27</v>
      </c>
      <c r="G565" s="425">
        <v>2037.1100000000001</v>
      </c>
      <c r="H565" s="425">
        <v>41.900000000000006</v>
      </c>
      <c r="J565" s="289"/>
      <c r="K565" s="289"/>
      <c r="L565" s="291"/>
      <c r="M565" s="291"/>
      <c r="N565" s="300"/>
      <c r="O565" s="296"/>
      <c r="P565" s="294"/>
      <c r="Q565" s="294"/>
      <c r="R565" s="295"/>
      <c r="S565" s="302">
        <f t="shared" si="33"/>
        <v>2037.1100000000001</v>
      </c>
      <c r="T565" s="302">
        <f t="shared" si="35"/>
        <v>61.113300000000002</v>
      </c>
      <c r="U565" s="303"/>
      <c r="V565" s="305">
        <f t="shared" si="34"/>
        <v>0</v>
      </c>
      <c r="W565" s="305" t="str">
        <f t="shared" si="32"/>
        <v xml:space="preserve"> </v>
      </c>
      <c r="X565" s="288"/>
    </row>
    <row r="566" spans="1:24">
      <c r="A566" s="286">
        <v>78</v>
      </c>
      <c r="C566" s="286" t="s">
        <v>619</v>
      </c>
      <c r="D566" s="286" t="s">
        <v>659</v>
      </c>
      <c r="E566" s="286" t="s">
        <v>627</v>
      </c>
      <c r="F566" s="286">
        <v>27</v>
      </c>
      <c r="G566" s="425">
        <v>3940.08</v>
      </c>
      <c r="H566" s="425">
        <v>160</v>
      </c>
      <c r="J566" s="289"/>
      <c r="K566" s="289"/>
      <c r="L566" s="291"/>
      <c r="M566" s="291"/>
      <c r="N566" s="300"/>
      <c r="O566" s="296"/>
      <c r="P566" s="294"/>
      <c r="Q566" s="294"/>
      <c r="R566" s="295"/>
      <c r="S566" s="302">
        <f t="shared" si="33"/>
        <v>0</v>
      </c>
      <c r="T566" s="302"/>
      <c r="U566" s="303"/>
      <c r="V566" s="305">
        <f t="shared" si="34"/>
        <v>0</v>
      </c>
      <c r="W566" s="305" t="str">
        <f t="shared" si="32"/>
        <v xml:space="preserve"> </v>
      </c>
      <c r="X566" s="288"/>
    </row>
    <row r="567" spans="1:24">
      <c r="A567" s="286">
        <v>78</v>
      </c>
      <c r="C567" s="286" t="s">
        <v>619</v>
      </c>
      <c r="D567" s="286" t="s">
        <v>659</v>
      </c>
      <c r="E567" s="286" t="s">
        <v>630</v>
      </c>
      <c r="F567" s="286">
        <v>27</v>
      </c>
      <c r="G567" s="425">
        <v>2114.7799999999997</v>
      </c>
      <c r="H567" s="425">
        <v>87</v>
      </c>
      <c r="J567" s="289"/>
      <c r="K567" s="289"/>
      <c r="L567" s="291"/>
      <c r="M567" s="291"/>
      <c r="N567" s="300"/>
      <c r="O567" s="296"/>
      <c r="P567" s="294"/>
      <c r="Q567" s="294"/>
      <c r="R567" s="295"/>
      <c r="S567" s="302">
        <f t="shared" si="33"/>
        <v>0</v>
      </c>
      <c r="T567" s="302"/>
      <c r="U567" s="303"/>
      <c r="V567" s="305">
        <f t="shared" si="34"/>
        <v>0</v>
      </c>
      <c r="W567" s="305" t="str">
        <f t="shared" si="32"/>
        <v xml:space="preserve"> </v>
      </c>
      <c r="X567" s="288"/>
    </row>
    <row r="568" spans="1:24">
      <c r="A568" s="286">
        <v>78</v>
      </c>
      <c r="C568" s="286" t="s">
        <v>619</v>
      </c>
      <c r="D568" s="286" t="s">
        <v>659</v>
      </c>
      <c r="E568" s="286" t="s">
        <v>633</v>
      </c>
      <c r="F568" s="286">
        <v>27</v>
      </c>
      <c r="G568" s="425">
        <v>2703.2799999999997</v>
      </c>
      <c r="H568" s="425">
        <v>112</v>
      </c>
      <c r="J568" s="289"/>
      <c r="K568" s="289"/>
      <c r="L568" s="291"/>
      <c r="M568" s="291"/>
      <c r="N568" s="300"/>
      <c r="O568" s="296"/>
      <c r="P568" s="294"/>
      <c r="Q568" s="294"/>
      <c r="R568" s="295"/>
      <c r="S568" s="302">
        <f t="shared" si="33"/>
        <v>0</v>
      </c>
      <c r="T568" s="302"/>
      <c r="U568" s="303"/>
      <c r="V568" s="305">
        <f t="shared" si="34"/>
        <v>0</v>
      </c>
      <c r="W568" s="305" t="str">
        <f t="shared" si="32"/>
        <v xml:space="preserve"> </v>
      </c>
      <c r="X568" s="288"/>
    </row>
    <row r="569" spans="1:24">
      <c r="A569" s="286">
        <v>78</v>
      </c>
      <c r="C569" s="286" t="s">
        <v>619</v>
      </c>
      <c r="D569" s="286" t="s">
        <v>659</v>
      </c>
      <c r="E569" s="286" t="s">
        <v>604</v>
      </c>
      <c r="F569" s="286">
        <v>27</v>
      </c>
      <c r="G569" s="425">
        <v>605.04</v>
      </c>
      <c r="H569" s="425">
        <v>24</v>
      </c>
      <c r="J569" s="289"/>
      <c r="K569" s="289"/>
      <c r="L569" s="291"/>
      <c r="M569" s="291"/>
      <c r="N569" s="300"/>
      <c r="O569" s="296"/>
      <c r="P569" s="294"/>
      <c r="Q569" s="294"/>
      <c r="R569" s="295"/>
      <c r="S569" s="302">
        <f t="shared" si="33"/>
        <v>0</v>
      </c>
      <c r="T569" s="302"/>
      <c r="U569" s="303"/>
      <c r="V569" s="305">
        <f t="shared" si="34"/>
        <v>605.04</v>
      </c>
      <c r="W569" s="305" t="str">
        <f t="shared" si="32"/>
        <v xml:space="preserve"> </v>
      </c>
      <c r="X569" s="288"/>
    </row>
    <row r="570" spans="1:24">
      <c r="A570" s="286">
        <v>78</v>
      </c>
      <c r="C570" s="286" t="s">
        <v>619</v>
      </c>
      <c r="D570" s="286" t="s">
        <v>659</v>
      </c>
      <c r="E570" s="286" t="s">
        <v>634</v>
      </c>
      <c r="F570" s="286">
        <v>27</v>
      </c>
      <c r="G570" s="425">
        <v>581.66</v>
      </c>
      <c r="H570" s="425">
        <v>24</v>
      </c>
      <c r="J570" s="289"/>
      <c r="K570" s="289"/>
      <c r="L570" s="291"/>
      <c r="M570" s="291"/>
      <c r="N570" s="300"/>
      <c r="O570" s="296"/>
      <c r="P570" s="294"/>
      <c r="Q570" s="294"/>
      <c r="R570" s="295"/>
      <c r="S570" s="302">
        <f t="shared" si="33"/>
        <v>0</v>
      </c>
      <c r="T570" s="302"/>
      <c r="U570" s="303"/>
      <c r="V570" s="305">
        <f t="shared" si="34"/>
        <v>0</v>
      </c>
      <c r="W570" s="305" t="str">
        <f t="shared" si="32"/>
        <v xml:space="preserve"> </v>
      </c>
      <c r="X570" s="288"/>
    </row>
    <row r="571" spans="1:24">
      <c r="A571" s="286">
        <v>78</v>
      </c>
      <c r="C571" s="286" t="s">
        <v>619</v>
      </c>
      <c r="D571" s="286" t="s">
        <v>659</v>
      </c>
      <c r="E571" s="286" t="s">
        <v>623</v>
      </c>
      <c r="F571" s="286">
        <v>27</v>
      </c>
      <c r="G571" s="425">
        <v>250</v>
      </c>
      <c r="H571" s="425">
        <v>0</v>
      </c>
      <c r="J571" s="289"/>
      <c r="K571" s="289"/>
      <c r="L571" s="291"/>
      <c r="M571" s="291"/>
      <c r="N571" s="300"/>
      <c r="O571" s="296"/>
      <c r="P571" s="294"/>
      <c r="Q571" s="294"/>
      <c r="R571" s="295"/>
      <c r="S571" s="302">
        <f t="shared" si="33"/>
        <v>0</v>
      </c>
      <c r="T571" s="302"/>
      <c r="U571" s="303"/>
      <c r="V571" s="305">
        <f t="shared" si="34"/>
        <v>250</v>
      </c>
      <c r="W571" s="305" t="str">
        <f t="shared" si="32"/>
        <v xml:space="preserve"> </v>
      </c>
      <c r="X571" s="288"/>
    </row>
    <row r="572" spans="1:24">
      <c r="A572" s="286">
        <v>78</v>
      </c>
      <c r="C572" s="286" t="s">
        <v>619</v>
      </c>
      <c r="D572" s="286" t="s">
        <v>659</v>
      </c>
      <c r="E572" s="286" t="s">
        <v>625</v>
      </c>
      <c r="F572" s="286">
        <v>27</v>
      </c>
      <c r="G572" s="425">
        <v>5600</v>
      </c>
      <c r="H572" s="425">
        <v>0</v>
      </c>
      <c r="J572" s="289"/>
      <c r="K572" s="289"/>
      <c r="L572" s="291"/>
      <c r="M572" s="291"/>
      <c r="N572" s="300"/>
      <c r="O572" s="296"/>
      <c r="P572" s="294"/>
      <c r="Q572" s="294"/>
      <c r="R572" s="295"/>
      <c r="S572" s="302">
        <f t="shared" si="33"/>
        <v>0</v>
      </c>
      <c r="T572" s="302"/>
      <c r="U572" s="303"/>
      <c r="V572" s="305">
        <f t="shared" si="34"/>
        <v>5600</v>
      </c>
      <c r="W572" s="305">
        <f t="shared" si="32"/>
        <v>1400</v>
      </c>
      <c r="X572" s="288"/>
    </row>
    <row r="573" spans="1:24">
      <c r="A573" s="286">
        <v>78</v>
      </c>
      <c r="C573" s="286" t="s">
        <v>619</v>
      </c>
      <c r="D573" s="286" t="s">
        <v>659</v>
      </c>
      <c r="E573" s="286" t="s">
        <v>629</v>
      </c>
      <c r="F573" s="286">
        <v>27</v>
      </c>
      <c r="G573" s="425">
        <v>3125</v>
      </c>
      <c r="H573" s="425">
        <v>0</v>
      </c>
      <c r="J573" s="289"/>
      <c r="K573" s="289"/>
      <c r="L573" s="291"/>
      <c r="M573" s="291"/>
      <c r="N573" s="300"/>
      <c r="O573" s="296"/>
      <c r="P573" s="294"/>
      <c r="Q573" s="294"/>
      <c r="R573" s="295"/>
      <c r="S573" s="302">
        <f t="shared" si="33"/>
        <v>0</v>
      </c>
      <c r="T573" s="302"/>
      <c r="U573" s="303"/>
      <c r="V573" s="305">
        <f t="shared" si="34"/>
        <v>3125</v>
      </c>
      <c r="W573" s="305" t="str">
        <f t="shared" si="32"/>
        <v xml:space="preserve"> </v>
      </c>
      <c r="X573" s="288"/>
    </row>
    <row r="574" spans="1:24">
      <c r="A574" s="286">
        <v>78</v>
      </c>
      <c r="C574" s="286" t="s">
        <v>619</v>
      </c>
      <c r="D574" s="286" t="s">
        <v>659</v>
      </c>
      <c r="E574" s="286" t="s">
        <v>632</v>
      </c>
      <c r="F574" s="286">
        <v>27</v>
      </c>
      <c r="G574" s="425">
        <v>11397.17</v>
      </c>
      <c r="H574" s="425">
        <v>0</v>
      </c>
      <c r="J574" s="289"/>
      <c r="K574" s="289"/>
      <c r="L574" s="291"/>
      <c r="M574" s="291"/>
      <c r="N574" s="300"/>
      <c r="O574" s="296"/>
      <c r="P574" s="294"/>
      <c r="Q574" s="294"/>
      <c r="R574" s="295"/>
      <c r="S574" s="302">
        <f t="shared" si="33"/>
        <v>0</v>
      </c>
      <c r="T574" s="302"/>
      <c r="U574" s="303"/>
      <c r="V574" s="305">
        <f t="shared" si="34"/>
        <v>11397.17</v>
      </c>
      <c r="W574" s="305">
        <f t="shared" si="32"/>
        <v>-11397.17</v>
      </c>
      <c r="X574" s="288"/>
    </row>
    <row r="575" spans="1:24">
      <c r="A575" s="286">
        <v>79</v>
      </c>
      <c r="C575" s="286" t="s">
        <v>644</v>
      </c>
      <c r="D575" s="286"/>
      <c r="E575" s="286" t="s">
        <v>598</v>
      </c>
      <c r="F575" s="286">
        <f>IF(VLOOKUP(A575,'WP-5 Payroll Data'!$K$11:$O$151,3,FALSE)&gt;26,26,VLOOKUP(A575,'WP-5 Payroll Data'!$K$11:$O$151,3,FALSE))</f>
        <v>26</v>
      </c>
      <c r="G575" s="425">
        <v>7366.9200000000019</v>
      </c>
      <c r="H575" s="425">
        <v>467.01</v>
      </c>
      <c r="J575" s="289">
        <f>VLOOKUP(A575,'WP-5 Payroll Data'!$K$11:$O$151,4,FALSE)</f>
        <v>8203.9300000000021</v>
      </c>
      <c r="K575" s="289">
        <f>VLOOKUP(A575,'WP-5 Payroll Data'!$K$11:$O$151,5,FALSE)</f>
        <v>520.01</v>
      </c>
      <c r="L575" s="289">
        <f>J575/K575</f>
        <v>15.776485067594859</v>
      </c>
      <c r="M575" s="289"/>
      <c r="N575" s="300">
        <f>IF((K575/F575)*26&gt;1500,2080,IF((K575/F575)*26&gt;300,520,IF((K575/F575)*26&gt;100,260,K575)))</f>
        <v>520</v>
      </c>
      <c r="O575" s="296">
        <f>N575*L575</f>
        <v>8203.7722351493267</v>
      </c>
      <c r="P575" s="294"/>
      <c r="Q575" s="294">
        <f>O575*0.03</f>
        <v>246.11316705447979</v>
      </c>
      <c r="R575" s="295"/>
      <c r="S575" s="302">
        <f t="shared" si="33"/>
        <v>0</v>
      </c>
      <c r="T575" s="302"/>
      <c r="U575" s="303"/>
      <c r="V575" s="305">
        <f t="shared" si="34"/>
        <v>0</v>
      </c>
      <c r="W575" s="305" t="str">
        <f t="shared" si="32"/>
        <v xml:space="preserve"> </v>
      </c>
      <c r="X575" s="288"/>
    </row>
    <row r="576" spans="1:24">
      <c r="A576" s="286">
        <v>79</v>
      </c>
      <c r="C576" s="286" t="s">
        <v>644</v>
      </c>
      <c r="D576" s="286"/>
      <c r="E576" s="286" t="s">
        <v>599</v>
      </c>
      <c r="F576" s="286">
        <v>26</v>
      </c>
      <c r="G576" s="425">
        <v>19.84</v>
      </c>
      <c r="H576" s="425">
        <v>0.89000000000000012</v>
      </c>
      <c r="J576" s="289"/>
      <c r="K576" s="289"/>
      <c r="L576" s="291"/>
      <c r="M576" s="291"/>
      <c r="N576" s="300"/>
      <c r="O576" s="296"/>
      <c r="P576" s="294"/>
      <c r="Q576" s="294"/>
      <c r="R576" s="295"/>
      <c r="S576" s="302">
        <f t="shared" si="33"/>
        <v>19.84</v>
      </c>
      <c r="T576" s="302">
        <f t="shared" si="35"/>
        <v>0.59519999999999995</v>
      </c>
      <c r="U576" s="303"/>
      <c r="V576" s="305">
        <f t="shared" si="34"/>
        <v>0</v>
      </c>
      <c r="W576" s="305" t="str">
        <f t="shared" si="32"/>
        <v xml:space="preserve"> </v>
      </c>
      <c r="X576" s="288"/>
    </row>
    <row r="577" spans="1:24">
      <c r="A577" s="286">
        <v>79</v>
      </c>
      <c r="C577" s="286" t="s">
        <v>644</v>
      </c>
      <c r="D577" s="286"/>
      <c r="E577" s="286" t="s">
        <v>605</v>
      </c>
      <c r="F577" s="286">
        <v>26</v>
      </c>
      <c r="G577" s="425">
        <v>386.97999999999996</v>
      </c>
      <c r="H577" s="425">
        <v>24.5</v>
      </c>
      <c r="J577" s="289"/>
      <c r="K577" s="289"/>
      <c r="L577" s="291"/>
      <c r="M577" s="291"/>
      <c r="N577" s="300"/>
      <c r="O577" s="296"/>
      <c r="P577" s="294"/>
      <c r="Q577" s="294"/>
      <c r="R577" s="295"/>
      <c r="S577" s="302">
        <f t="shared" si="33"/>
        <v>0</v>
      </c>
      <c r="T577" s="302"/>
      <c r="U577" s="303"/>
      <c r="V577" s="305">
        <f t="shared" si="34"/>
        <v>0</v>
      </c>
      <c r="W577" s="305" t="str">
        <f t="shared" si="32"/>
        <v xml:space="preserve"> </v>
      </c>
      <c r="X577" s="288"/>
    </row>
    <row r="578" spans="1:24">
      <c r="A578" s="286">
        <v>79</v>
      </c>
      <c r="C578" s="286" t="s">
        <v>644</v>
      </c>
      <c r="D578" s="286"/>
      <c r="E578" s="286" t="s">
        <v>608</v>
      </c>
      <c r="F578" s="286">
        <v>26</v>
      </c>
      <c r="G578" s="425">
        <v>230.02</v>
      </c>
      <c r="H578" s="425">
        <v>14.56</v>
      </c>
      <c r="J578" s="289"/>
      <c r="K578" s="289"/>
      <c r="L578" s="291"/>
      <c r="M578" s="291"/>
      <c r="N578" s="300"/>
      <c r="O578" s="296"/>
      <c r="P578" s="294"/>
      <c r="Q578" s="294"/>
      <c r="R578" s="295"/>
      <c r="S578" s="302">
        <f t="shared" si="33"/>
        <v>0</v>
      </c>
      <c r="T578" s="302"/>
      <c r="U578" s="303"/>
      <c r="V578" s="305">
        <f t="shared" si="34"/>
        <v>0</v>
      </c>
      <c r="W578" s="305" t="str">
        <f t="shared" si="32"/>
        <v xml:space="preserve"> </v>
      </c>
      <c r="X578" s="288"/>
    </row>
    <row r="579" spans="1:24">
      <c r="A579" s="286">
        <v>79</v>
      </c>
      <c r="C579" s="286" t="s">
        <v>644</v>
      </c>
      <c r="D579" s="286"/>
      <c r="E579" s="286" t="s">
        <v>646</v>
      </c>
      <c r="F579" s="286">
        <v>26</v>
      </c>
      <c r="G579" s="425">
        <v>122.41</v>
      </c>
      <c r="H579" s="425">
        <v>7.75</v>
      </c>
      <c r="J579" s="289"/>
      <c r="K579" s="289"/>
      <c r="L579" s="291"/>
      <c r="M579" s="291"/>
      <c r="N579" s="300"/>
      <c r="O579" s="296"/>
      <c r="P579" s="294"/>
      <c r="Q579" s="294"/>
      <c r="R579" s="295"/>
      <c r="S579" s="302">
        <f t="shared" si="33"/>
        <v>0</v>
      </c>
      <c r="T579" s="302"/>
      <c r="U579" s="303"/>
      <c r="V579" s="305">
        <f t="shared" si="34"/>
        <v>0</v>
      </c>
      <c r="W579" s="305" t="str">
        <f t="shared" si="32"/>
        <v xml:space="preserve"> </v>
      </c>
      <c r="X579" s="288"/>
    </row>
    <row r="580" spans="1:24">
      <c r="A580" s="286">
        <v>79</v>
      </c>
      <c r="C580" s="286" t="s">
        <v>644</v>
      </c>
      <c r="D580" s="286"/>
      <c r="E580" s="286" t="s">
        <v>610</v>
      </c>
      <c r="F580" s="286">
        <v>26</v>
      </c>
      <c r="G580" s="425">
        <v>97.600000000000009</v>
      </c>
      <c r="H580" s="425">
        <v>6.1899999999999995</v>
      </c>
      <c r="J580" s="289"/>
      <c r="K580" s="289"/>
      <c r="L580" s="291"/>
      <c r="M580" s="291"/>
      <c r="N580" s="300"/>
      <c r="O580" s="296"/>
      <c r="P580" s="294"/>
      <c r="Q580" s="294"/>
      <c r="R580" s="295"/>
      <c r="S580" s="302">
        <f t="shared" si="33"/>
        <v>0</v>
      </c>
      <c r="T580" s="302"/>
      <c r="U580" s="303"/>
      <c r="V580" s="305">
        <f t="shared" si="34"/>
        <v>0</v>
      </c>
      <c r="W580" s="305" t="str">
        <f t="shared" si="32"/>
        <v xml:space="preserve"> </v>
      </c>
      <c r="X580" s="288"/>
    </row>
    <row r="581" spans="1:24">
      <c r="A581" s="286">
        <v>79</v>
      </c>
      <c r="C581" s="286" t="s">
        <v>644</v>
      </c>
      <c r="D581" s="286"/>
      <c r="E581" s="286" t="s">
        <v>614</v>
      </c>
      <c r="F581" s="286">
        <v>26</v>
      </c>
      <c r="G581" s="425">
        <v>62.5</v>
      </c>
      <c r="H581" s="425">
        <v>0</v>
      </c>
      <c r="J581" s="289"/>
      <c r="K581" s="289"/>
      <c r="L581" s="291"/>
      <c r="M581" s="291"/>
      <c r="N581" s="300"/>
      <c r="O581" s="296"/>
      <c r="P581" s="294"/>
      <c r="Q581" s="294"/>
      <c r="R581" s="295"/>
      <c r="S581" s="302">
        <f t="shared" si="33"/>
        <v>0</v>
      </c>
      <c r="T581" s="302"/>
      <c r="U581" s="303"/>
      <c r="V581" s="305">
        <f t="shared" si="34"/>
        <v>62.5</v>
      </c>
      <c r="W581" s="305" t="str">
        <f t="shared" si="32"/>
        <v xml:space="preserve"> </v>
      </c>
      <c r="X581" s="288"/>
    </row>
    <row r="582" spans="1:24">
      <c r="A582" s="286">
        <v>79</v>
      </c>
      <c r="C582" s="286" t="s">
        <v>644</v>
      </c>
      <c r="D582" s="286"/>
      <c r="E582" s="286" t="s">
        <v>616</v>
      </c>
      <c r="F582" s="286">
        <v>26</v>
      </c>
      <c r="G582" s="425">
        <v>350</v>
      </c>
      <c r="H582" s="425">
        <v>0</v>
      </c>
      <c r="J582" s="289"/>
      <c r="K582" s="289"/>
      <c r="L582" s="291"/>
      <c r="M582" s="291"/>
      <c r="N582" s="300"/>
      <c r="O582" s="296"/>
      <c r="P582" s="294"/>
      <c r="Q582" s="294"/>
      <c r="R582" s="295"/>
      <c r="S582" s="302">
        <f t="shared" si="33"/>
        <v>0</v>
      </c>
      <c r="T582" s="302"/>
      <c r="U582" s="303"/>
      <c r="V582" s="305">
        <f t="shared" si="34"/>
        <v>350</v>
      </c>
      <c r="W582" s="305">
        <f t="shared" si="32"/>
        <v>87.5</v>
      </c>
      <c r="X582" s="288"/>
    </row>
    <row r="583" spans="1:24">
      <c r="A583" s="286">
        <v>80</v>
      </c>
      <c r="C583" s="286" t="s">
        <v>619</v>
      </c>
      <c r="D583" s="286" t="s">
        <v>673</v>
      </c>
      <c r="E583" s="286" t="s">
        <v>621</v>
      </c>
      <c r="F583" s="286">
        <f>IF(VLOOKUP(A583,'WP-5 Payroll Data'!$K$11:$O$151,3,FALSE)&gt;26,26,VLOOKUP(A583,'WP-5 Payroll Data'!$K$11:$O$151,3,FALSE))</f>
        <v>26</v>
      </c>
      <c r="G583" s="425">
        <v>37396.910000000003</v>
      </c>
      <c r="H583" s="425">
        <v>1578.3</v>
      </c>
      <c r="J583" s="289">
        <f>VLOOKUP(A583,'WP-5 Payroll Data'!$K$11:$O$151,4,FALSE)</f>
        <v>49304.249999999993</v>
      </c>
      <c r="K583" s="289">
        <f>VLOOKUP(A583,'WP-5 Payroll Data'!$K$11:$O$151,5,FALSE)</f>
        <v>2080</v>
      </c>
      <c r="L583" s="289">
        <f>J583/K583</f>
        <v>23.703966346153841</v>
      </c>
      <c r="M583" s="289"/>
      <c r="N583" s="300">
        <f>IF((K583/F583)*26&gt;1500,2080,IF((K583/F583)*26&gt;300,520,IF((K583/F583)*26&gt;100,260,K583)))</f>
        <v>2080</v>
      </c>
      <c r="O583" s="296">
        <f>N583*L583</f>
        <v>49304.249999999993</v>
      </c>
      <c r="P583" s="294"/>
      <c r="Q583" s="294">
        <f>O583*0.03</f>
        <v>1479.1274999999998</v>
      </c>
      <c r="R583" s="295"/>
      <c r="S583" s="302">
        <f t="shared" si="33"/>
        <v>0</v>
      </c>
      <c r="T583" s="302"/>
      <c r="U583" s="303"/>
      <c r="V583" s="305">
        <f t="shared" si="34"/>
        <v>0</v>
      </c>
      <c r="W583" s="305" t="str">
        <f t="shared" si="32"/>
        <v xml:space="preserve"> </v>
      </c>
      <c r="X583" s="288"/>
    </row>
    <row r="584" spans="1:24">
      <c r="A584" s="286">
        <v>80</v>
      </c>
      <c r="C584" s="286" t="s">
        <v>619</v>
      </c>
      <c r="D584" s="286" t="s">
        <v>673</v>
      </c>
      <c r="E584" s="286" t="s">
        <v>622</v>
      </c>
      <c r="F584" s="286">
        <v>27</v>
      </c>
      <c r="G584" s="425">
        <v>198.56</v>
      </c>
      <c r="H584" s="425">
        <v>8</v>
      </c>
      <c r="J584" s="289"/>
      <c r="K584" s="289"/>
      <c r="L584" s="291"/>
      <c r="M584" s="291"/>
      <c r="N584" s="300"/>
      <c r="O584" s="296"/>
      <c r="P584" s="294"/>
      <c r="Q584" s="294"/>
      <c r="R584" s="295"/>
      <c r="S584" s="302">
        <f t="shared" si="33"/>
        <v>0</v>
      </c>
      <c r="T584" s="302"/>
      <c r="U584" s="303"/>
      <c r="V584" s="305">
        <f t="shared" si="34"/>
        <v>0</v>
      </c>
      <c r="W584" s="305" t="str">
        <f t="shared" si="32"/>
        <v xml:space="preserve"> </v>
      </c>
      <c r="X584" s="288"/>
    </row>
    <row r="585" spans="1:24">
      <c r="A585" s="286">
        <v>80</v>
      </c>
      <c r="C585" s="286" t="s">
        <v>619</v>
      </c>
      <c r="D585" s="286" t="s">
        <v>673</v>
      </c>
      <c r="E585" s="286" t="s">
        <v>599</v>
      </c>
      <c r="F585" s="286">
        <v>27</v>
      </c>
      <c r="G585" s="425">
        <v>579.63</v>
      </c>
      <c r="H585" s="425">
        <v>16.399999999999999</v>
      </c>
      <c r="J585" s="289"/>
      <c r="K585" s="289"/>
      <c r="L585" s="291"/>
      <c r="M585" s="291"/>
      <c r="N585" s="300"/>
      <c r="O585" s="296"/>
      <c r="P585" s="294"/>
      <c r="Q585" s="294"/>
      <c r="R585" s="295"/>
      <c r="S585" s="302">
        <f t="shared" si="33"/>
        <v>579.63</v>
      </c>
      <c r="T585" s="302">
        <f t="shared" si="35"/>
        <v>17.3889</v>
      </c>
      <c r="U585" s="303"/>
      <c r="V585" s="305">
        <f t="shared" si="34"/>
        <v>0</v>
      </c>
      <c r="W585" s="305" t="str">
        <f t="shared" si="32"/>
        <v xml:space="preserve"> </v>
      </c>
      <c r="X585" s="288"/>
    </row>
    <row r="586" spans="1:24">
      <c r="A586" s="286">
        <v>80</v>
      </c>
      <c r="C586" s="286" t="s">
        <v>619</v>
      </c>
      <c r="D586" s="286" t="s">
        <v>673</v>
      </c>
      <c r="E586" s="286" t="s">
        <v>601</v>
      </c>
      <c r="F586" s="286">
        <v>27</v>
      </c>
      <c r="G586" s="425">
        <v>566.45999999999992</v>
      </c>
      <c r="H586" s="425">
        <v>12</v>
      </c>
      <c r="J586" s="289"/>
      <c r="K586" s="289"/>
      <c r="L586" s="291"/>
      <c r="M586" s="291"/>
      <c r="N586" s="300"/>
      <c r="O586" s="296"/>
      <c r="P586" s="294"/>
      <c r="Q586" s="294"/>
      <c r="R586" s="295"/>
      <c r="S586" s="302">
        <f t="shared" si="33"/>
        <v>566.45999999999992</v>
      </c>
      <c r="T586" s="302">
        <f t="shared" si="35"/>
        <v>16.993799999999997</v>
      </c>
      <c r="U586" s="303"/>
      <c r="V586" s="305">
        <f t="shared" si="34"/>
        <v>0</v>
      </c>
      <c r="W586" s="305" t="str">
        <f t="shared" ref="W586:W649" si="36">IF($E586=$AA$29,-$V586,IF(OR($E586=$AA$18,$E586=$AA$23,$E586=$AA$24,$E586=$AA$26),(($V586/200)*50)," "))</f>
        <v xml:space="preserve"> </v>
      </c>
      <c r="X586" s="288"/>
    </row>
    <row r="587" spans="1:24">
      <c r="A587" s="286">
        <v>80</v>
      </c>
      <c r="C587" s="286" t="s">
        <v>619</v>
      </c>
      <c r="D587" s="286" t="s">
        <v>673</v>
      </c>
      <c r="E587" s="286" t="s">
        <v>627</v>
      </c>
      <c r="F587" s="286">
        <v>27</v>
      </c>
      <c r="G587" s="425">
        <v>2835.6</v>
      </c>
      <c r="H587" s="425">
        <v>120</v>
      </c>
      <c r="J587" s="289"/>
      <c r="K587" s="289"/>
      <c r="L587" s="291"/>
      <c r="M587" s="291"/>
      <c r="N587" s="300"/>
      <c r="O587" s="296"/>
      <c r="P587" s="294"/>
      <c r="Q587" s="294"/>
      <c r="R587" s="295"/>
      <c r="S587" s="302">
        <f t="shared" ref="S587:S650" si="37">IF(OR($E587=$Y$10,$E587=$Y$11,$E587=$Y$12,$E587=$Y$13),$G587,0)</f>
        <v>0</v>
      </c>
      <c r="T587" s="302"/>
      <c r="U587" s="303"/>
      <c r="V587" s="305">
        <f t="shared" ref="V587:V650" si="38">IF(OR($E587=$AA$10,$E587=$AA$11,$E587=$AA$12,$E587=$AA$13,$E587=$AA$14,$E587=$AA$15,$E587=$AA$16,$E587=$AA$17,$E587=$AA$18,$E587=$AA$19,$E587=$AA$20,$E587=$AA$21,$E587=$AA$22,$E587=$AA$23,$E587=$AA$24,$E587=$AA$25,$E587=$AA$26,$E587=$AA$27,$E587=$AA$28,$E587=$AA$29),G587,0)</f>
        <v>0</v>
      </c>
      <c r="W587" s="305" t="str">
        <f t="shared" si="36"/>
        <v xml:space="preserve"> </v>
      </c>
      <c r="X587" s="288"/>
    </row>
    <row r="588" spans="1:24">
      <c r="A588" s="286">
        <v>80</v>
      </c>
      <c r="C588" s="286" t="s">
        <v>619</v>
      </c>
      <c r="D588" s="286" t="s">
        <v>673</v>
      </c>
      <c r="E588" s="286" t="s">
        <v>630</v>
      </c>
      <c r="F588" s="286">
        <v>27</v>
      </c>
      <c r="G588" s="425">
        <v>5092.1400000000003</v>
      </c>
      <c r="H588" s="425">
        <v>213.5</v>
      </c>
      <c r="J588" s="289"/>
      <c r="K588" s="289"/>
      <c r="L588" s="291"/>
      <c r="M588" s="291"/>
      <c r="N588" s="300"/>
      <c r="O588" s="296"/>
      <c r="P588" s="294"/>
      <c r="Q588" s="294"/>
      <c r="R588" s="295"/>
      <c r="S588" s="302">
        <f t="shared" si="37"/>
        <v>0</v>
      </c>
      <c r="T588" s="302"/>
      <c r="U588" s="303"/>
      <c r="V588" s="305">
        <f t="shared" si="38"/>
        <v>0</v>
      </c>
      <c r="W588" s="305" t="str">
        <f t="shared" si="36"/>
        <v xml:space="preserve"> </v>
      </c>
      <c r="X588" s="288"/>
    </row>
    <row r="589" spans="1:24">
      <c r="A589" s="286">
        <v>80</v>
      </c>
      <c r="C589" s="286" t="s">
        <v>619</v>
      </c>
      <c r="D589" s="286" t="s">
        <v>673</v>
      </c>
      <c r="E589" s="286" t="s">
        <v>633</v>
      </c>
      <c r="F589" s="286">
        <v>27</v>
      </c>
      <c r="G589" s="425">
        <v>2663.28</v>
      </c>
      <c r="H589" s="425">
        <v>112</v>
      </c>
      <c r="J589" s="289"/>
      <c r="K589" s="289"/>
      <c r="L589" s="291"/>
      <c r="M589" s="291"/>
      <c r="N589" s="300"/>
      <c r="O589" s="296"/>
      <c r="P589" s="294"/>
      <c r="Q589" s="294"/>
      <c r="R589" s="295"/>
      <c r="S589" s="302">
        <f t="shared" si="37"/>
        <v>0</v>
      </c>
      <c r="T589" s="302"/>
      <c r="U589" s="303"/>
      <c r="V589" s="305">
        <f t="shared" si="38"/>
        <v>0</v>
      </c>
      <c r="W589" s="305" t="str">
        <f t="shared" si="36"/>
        <v xml:space="preserve"> </v>
      </c>
      <c r="X589" s="288"/>
    </row>
    <row r="590" spans="1:24">
      <c r="A590" s="286">
        <v>80</v>
      </c>
      <c r="C590" s="286" t="s">
        <v>619</v>
      </c>
      <c r="D590" s="286" t="s">
        <v>673</v>
      </c>
      <c r="E590" s="286" t="s">
        <v>634</v>
      </c>
      <c r="F590" s="286">
        <v>27</v>
      </c>
      <c r="G590" s="425">
        <v>561.20000000000005</v>
      </c>
      <c r="H590" s="425">
        <v>24.2</v>
      </c>
      <c r="J590" s="289"/>
      <c r="K590" s="289"/>
      <c r="L590" s="291"/>
      <c r="M590" s="291"/>
      <c r="N590" s="300"/>
      <c r="O590" s="296"/>
      <c r="P590" s="294"/>
      <c r="Q590" s="294"/>
      <c r="R590" s="295"/>
      <c r="S590" s="302">
        <f t="shared" si="37"/>
        <v>0</v>
      </c>
      <c r="T590" s="302"/>
      <c r="U590" s="303"/>
      <c r="V590" s="305">
        <f t="shared" si="38"/>
        <v>0</v>
      </c>
      <c r="W590" s="305" t="str">
        <f t="shared" si="36"/>
        <v xml:space="preserve"> </v>
      </c>
      <c r="X590" s="288"/>
    </row>
    <row r="591" spans="1:24">
      <c r="A591" s="286">
        <v>80</v>
      </c>
      <c r="C591" s="286" t="s">
        <v>619</v>
      </c>
      <c r="D591" s="286" t="s">
        <v>673</v>
      </c>
      <c r="E591" s="286" t="s">
        <v>635</v>
      </c>
      <c r="F591" s="286">
        <v>27</v>
      </c>
      <c r="G591" s="425">
        <v>556.55999999999995</v>
      </c>
      <c r="H591" s="425">
        <v>24</v>
      </c>
      <c r="J591" s="289"/>
      <c r="K591" s="289"/>
      <c r="L591" s="291"/>
      <c r="M591" s="291"/>
      <c r="N591" s="300"/>
      <c r="O591" s="296"/>
      <c r="P591" s="294"/>
      <c r="Q591" s="294"/>
      <c r="R591" s="295"/>
      <c r="S591" s="302">
        <f t="shared" si="37"/>
        <v>0</v>
      </c>
      <c r="T591" s="302"/>
      <c r="U591" s="303"/>
      <c r="V591" s="305">
        <f t="shared" si="38"/>
        <v>0</v>
      </c>
      <c r="W591" s="305" t="str">
        <f t="shared" si="36"/>
        <v xml:space="preserve"> </v>
      </c>
      <c r="X591" s="288"/>
    </row>
    <row r="592" spans="1:24">
      <c r="A592" s="286">
        <v>80</v>
      </c>
      <c r="C592" s="286" t="s">
        <v>619</v>
      </c>
      <c r="D592" s="286" t="s">
        <v>673</v>
      </c>
      <c r="E592" s="286" t="s">
        <v>612</v>
      </c>
      <c r="F592" s="286">
        <v>27</v>
      </c>
      <c r="G592" s="425">
        <v>100</v>
      </c>
      <c r="H592" s="425">
        <v>0</v>
      </c>
      <c r="J592" s="289"/>
      <c r="K592" s="289"/>
      <c r="L592" s="291"/>
      <c r="M592" s="291"/>
      <c r="N592" s="300"/>
      <c r="O592" s="296"/>
      <c r="P592" s="294"/>
      <c r="Q592" s="294"/>
      <c r="R592" s="295"/>
      <c r="S592" s="302">
        <f t="shared" si="37"/>
        <v>0</v>
      </c>
      <c r="T592" s="302"/>
      <c r="U592" s="303"/>
      <c r="V592" s="305">
        <f t="shared" si="38"/>
        <v>100</v>
      </c>
      <c r="W592" s="305" t="str">
        <f t="shared" si="36"/>
        <v xml:space="preserve"> </v>
      </c>
      <c r="X592" s="288"/>
    </row>
    <row r="593" spans="1:24">
      <c r="A593" s="286">
        <v>80</v>
      </c>
      <c r="C593" s="286" t="s">
        <v>619</v>
      </c>
      <c r="D593" s="286" t="s">
        <v>673</v>
      </c>
      <c r="E593" s="286" t="s">
        <v>623</v>
      </c>
      <c r="F593" s="286">
        <v>27</v>
      </c>
      <c r="G593" s="425">
        <v>250</v>
      </c>
      <c r="H593" s="425">
        <v>0</v>
      </c>
      <c r="J593" s="289"/>
      <c r="K593" s="289"/>
      <c r="L593" s="291"/>
      <c r="M593" s="291"/>
      <c r="N593" s="300"/>
      <c r="O593" s="296"/>
      <c r="P593" s="294"/>
      <c r="Q593" s="294"/>
      <c r="R593" s="295"/>
      <c r="S593" s="302">
        <f t="shared" si="37"/>
        <v>0</v>
      </c>
      <c r="T593" s="302"/>
      <c r="U593" s="303"/>
      <c r="V593" s="305">
        <f t="shared" si="38"/>
        <v>250</v>
      </c>
      <c r="W593" s="305" t="str">
        <f t="shared" si="36"/>
        <v xml:space="preserve"> </v>
      </c>
      <c r="X593" s="288"/>
    </row>
    <row r="594" spans="1:24">
      <c r="A594" s="286">
        <v>80</v>
      </c>
      <c r="C594" s="286" t="s">
        <v>619</v>
      </c>
      <c r="D594" s="286" t="s">
        <v>673</v>
      </c>
      <c r="E594" s="286" t="s">
        <v>625</v>
      </c>
      <c r="F594" s="286">
        <v>27</v>
      </c>
      <c r="G594" s="425">
        <v>1000</v>
      </c>
      <c r="H594" s="425">
        <v>0</v>
      </c>
      <c r="J594" s="289"/>
      <c r="K594" s="289"/>
      <c r="L594" s="291"/>
      <c r="M594" s="291"/>
      <c r="N594" s="300"/>
      <c r="O594" s="296"/>
      <c r="P594" s="294"/>
      <c r="Q594" s="294"/>
      <c r="R594" s="295"/>
      <c r="S594" s="302">
        <f t="shared" si="37"/>
        <v>0</v>
      </c>
      <c r="T594" s="302"/>
      <c r="U594" s="303"/>
      <c r="V594" s="305">
        <f t="shared" si="38"/>
        <v>1000</v>
      </c>
      <c r="W594" s="305">
        <f t="shared" si="36"/>
        <v>250</v>
      </c>
      <c r="X594" s="288"/>
    </row>
    <row r="595" spans="1:24">
      <c r="A595" s="286">
        <v>80</v>
      </c>
      <c r="C595" s="286" t="s">
        <v>619</v>
      </c>
      <c r="D595" s="286" t="s">
        <v>673</v>
      </c>
      <c r="E595" s="286" t="s">
        <v>629</v>
      </c>
      <c r="F595" s="286">
        <v>27</v>
      </c>
      <c r="G595" s="425">
        <v>1125</v>
      </c>
      <c r="H595" s="425">
        <v>0</v>
      </c>
      <c r="J595" s="289"/>
      <c r="K595" s="289"/>
      <c r="L595" s="291"/>
      <c r="M595" s="291"/>
      <c r="N595" s="300"/>
      <c r="O595" s="296"/>
      <c r="P595" s="294"/>
      <c r="Q595" s="294"/>
      <c r="R595" s="295"/>
      <c r="S595" s="302">
        <f t="shared" si="37"/>
        <v>0</v>
      </c>
      <c r="T595" s="302"/>
      <c r="U595" s="303"/>
      <c r="V595" s="305">
        <f t="shared" si="38"/>
        <v>1125</v>
      </c>
      <c r="W595" s="305" t="str">
        <f t="shared" si="36"/>
        <v xml:space="preserve"> </v>
      </c>
      <c r="X595" s="288"/>
    </row>
    <row r="596" spans="1:24">
      <c r="A596" s="286">
        <v>80</v>
      </c>
      <c r="C596" s="286" t="s">
        <v>619</v>
      </c>
      <c r="D596" s="286" t="s">
        <v>673</v>
      </c>
      <c r="E596" s="286" t="s">
        <v>632</v>
      </c>
      <c r="F596" s="286">
        <v>27</v>
      </c>
      <c r="G596" s="425">
        <v>6222.54</v>
      </c>
      <c r="H596" s="425">
        <v>0</v>
      </c>
      <c r="J596" s="289"/>
      <c r="K596" s="289"/>
      <c r="L596" s="291"/>
      <c r="M596" s="291"/>
      <c r="N596" s="300"/>
      <c r="O596" s="296"/>
      <c r="P596" s="294"/>
      <c r="Q596" s="294"/>
      <c r="R596" s="295"/>
      <c r="S596" s="302">
        <f t="shared" si="37"/>
        <v>0</v>
      </c>
      <c r="T596" s="302"/>
      <c r="U596" s="303"/>
      <c r="V596" s="305">
        <f t="shared" si="38"/>
        <v>6222.54</v>
      </c>
      <c r="W596" s="305">
        <f t="shared" si="36"/>
        <v>-6222.54</v>
      </c>
      <c r="X596" s="288"/>
    </row>
    <row r="597" spans="1:24">
      <c r="A597" s="286">
        <v>81</v>
      </c>
      <c r="C597" s="286" t="s">
        <v>644</v>
      </c>
      <c r="D597" s="286"/>
      <c r="E597" s="286" t="s">
        <v>598</v>
      </c>
      <c r="F597" s="286">
        <f>IF(VLOOKUP(A597,'WP-5 Payroll Data'!$K$11:$O$151,3,FALSE)&gt;26,26,VLOOKUP(A597,'WP-5 Payroll Data'!$K$11:$O$151,3,FALSE))</f>
        <v>26</v>
      </c>
      <c r="G597" s="425">
        <v>9059.2199999999975</v>
      </c>
      <c r="H597" s="425">
        <v>432.84000000000003</v>
      </c>
      <c r="J597" s="289">
        <f>VLOOKUP(A597,'WP-5 Payroll Data'!$K$11:$O$151,4,FALSE)</f>
        <v>10876.139999999998</v>
      </c>
      <c r="K597" s="289">
        <f>VLOOKUP(A597,'WP-5 Payroll Data'!$K$11:$O$151,5,FALSE)</f>
        <v>520.03</v>
      </c>
      <c r="L597" s="289">
        <f>J597/K597</f>
        <v>20.91444724342826</v>
      </c>
      <c r="M597" s="289"/>
      <c r="N597" s="300">
        <f>IF((K597/F597)*26&gt;1500,2080,IF((K597/F597)*26&gt;300,520,IF((K597/F597)*26&gt;100,260,K597)))</f>
        <v>520</v>
      </c>
      <c r="O597" s="296">
        <f>N597*L597</f>
        <v>10875.512566582694</v>
      </c>
      <c r="P597" s="294"/>
      <c r="Q597" s="294">
        <f>O597*0.03</f>
        <v>326.26537699748081</v>
      </c>
      <c r="R597" s="295"/>
      <c r="S597" s="302">
        <f t="shared" si="37"/>
        <v>0</v>
      </c>
      <c r="T597" s="302"/>
      <c r="U597" s="303"/>
      <c r="V597" s="305">
        <f t="shared" si="38"/>
        <v>0</v>
      </c>
      <c r="W597" s="305" t="str">
        <f t="shared" si="36"/>
        <v xml:space="preserve"> </v>
      </c>
      <c r="X597" s="288"/>
    </row>
    <row r="598" spans="1:24">
      <c r="A598" s="286">
        <v>81</v>
      </c>
      <c r="C598" s="286" t="s">
        <v>644</v>
      </c>
      <c r="D598" s="286"/>
      <c r="E598" s="286" t="s">
        <v>599</v>
      </c>
      <c r="F598" s="286">
        <v>26</v>
      </c>
      <c r="G598" s="425">
        <v>233.21999999999994</v>
      </c>
      <c r="H598" s="425">
        <v>7.49</v>
      </c>
      <c r="J598" s="289"/>
      <c r="K598" s="289"/>
      <c r="L598" s="291"/>
      <c r="M598" s="291"/>
      <c r="N598" s="300"/>
      <c r="O598" s="296"/>
      <c r="P598" s="294"/>
      <c r="Q598" s="294"/>
      <c r="R598" s="295"/>
      <c r="S598" s="302">
        <f t="shared" si="37"/>
        <v>233.21999999999994</v>
      </c>
      <c r="T598" s="302">
        <f t="shared" ref="T598:T648" si="39">S598*0.03</f>
        <v>6.9965999999999982</v>
      </c>
      <c r="U598" s="303"/>
      <c r="V598" s="305">
        <f t="shared" si="38"/>
        <v>0</v>
      </c>
      <c r="W598" s="305" t="str">
        <f t="shared" si="36"/>
        <v xml:space="preserve"> </v>
      </c>
      <c r="X598" s="288"/>
    </row>
    <row r="599" spans="1:24">
      <c r="A599" s="286">
        <v>81</v>
      </c>
      <c r="C599" s="286" t="s">
        <v>644</v>
      </c>
      <c r="D599" s="286"/>
      <c r="E599" s="286" t="s">
        <v>605</v>
      </c>
      <c r="F599" s="286">
        <v>26</v>
      </c>
      <c r="G599" s="425">
        <v>1242.75</v>
      </c>
      <c r="H599" s="425">
        <v>59.75</v>
      </c>
      <c r="J599" s="289"/>
      <c r="K599" s="289"/>
      <c r="L599" s="291"/>
      <c r="M599" s="291"/>
      <c r="N599" s="300"/>
      <c r="O599" s="296"/>
      <c r="P599" s="294"/>
      <c r="Q599" s="294"/>
      <c r="R599" s="295"/>
      <c r="S599" s="302">
        <f t="shared" si="37"/>
        <v>0</v>
      </c>
      <c r="T599" s="302"/>
      <c r="U599" s="303"/>
      <c r="V599" s="305">
        <f t="shared" si="38"/>
        <v>0</v>
      </c>
      <c r="W599" s="305" t="str">
        <f t="shared" si="36"/>
        <v xml:space="preserve"> </v>
      </c>
      <c r="X599" s="288"/>
    </row>
    <row r="600" spans="1:24">
      <c r="A600" s="286">
        <v>81</v>
      </c>
      <c r="C600" s="286" t="s">
        <v>644</v>
      </c>
      <c r="D600" s="286"/>
      <c r="E600" s="286" t="s">
        <v>608</v>
      </c>
      <c r="F600" s="286">
        <v>26</v>
      </c>
      <c r="G600" s="425">
        <v>444.97</v>
      </c>
      <c r="H600" s="425">
        <v>21.259999999999998</v>
      </c>
      <c r="J600" s="289"/>
      <c r="K600" s="289"/>
      <c r="L600" s="291"/>
      <c r="M600" s="291"/>
      <c r="N600" s="300"/>
      <c r="O600" s="296"/>
      <c r="P600" s="294"/>
      <c r="Q600" s="294"/>
      <c r="R600" s="295"/>
      <c r="S600" s="302">
        <f t="shared" si="37"/>
        <v>0</v>
      </c>
      <c r="T600" s="302"/>
      <c r="U600" s="303"/>
      <c r="V600" s="305">
        <f t="shared" si="38"/>
        <v>0</v>
      </c>
      <c r="W600" s="305" t="str">
        <f t="shared" si="36"/>
        <v xml:space="preserve"> </v>
      </c>
      <c r="X600" s="288"/>
    </row>
    <row r="601" spans="1:24">
      <c r="A601" s="286">
        <v>81</v>
      </c>
      <c r="C601" s="286" t="s">
        <v>644</v>
      </c>
      <c r="D601" s="286"/>
      <c r="E601" s="286" t="s">
        <v>610</v>
      </c>
      <c r="F601" s="286">
        <v>26</v>
      </c>
      <c r="G601" s="425">
        <v>129.20000000000002</v>
      </c>
      <c r="H601" s="425">
        <v>6.18</v>
      </c>
      <c r="J601" s="289"/>
      <c r="K601" s="289"/>
      <c r="L601" s="291"/>
      <c r="M601" s="291"/>
      <c r="N601" s="300"/>
      <c r="O601" s="296"/>
      <c r="P601" s="294"/>
      <c r="Q601" s="294"/>
      <c r="R601" s="295"/>
      <c r="S601" s="302">
        <f t="shared" si="37"/>
        <v>0</v>
      </c>
      <c r="T601" s="302"/>
      <c r="U601" s="303"/>
      <c r="V601" s="305">
        <f t="shared" si="38"/>
        <v>0</v>
      </c>
      <c r="W601" s="305" t="str">
        <f t="shared" si="36"/>
        <v xml:space="preserve"> </v>
      </c>
      <c r="X601" s="288"/>
    </row>
    <row r="602" spans="1:24">
      <c r="A602" s="286">
        <v>81</v>
      </c>
      <c r="C602" s="286" t="s">
        <v>644</v>
      </c>
      <c r="D602" s="286"/>
      <c r="E602" s="286" t="s">
        <v>614</v>
      </c>
      <c r="F602" s="286">
        <v>26</v>
      </c>
      <c r="G602" s="425">
        <v>62.5</v>
      </c>
      <c r="H602" s="425">
        <v>0</v>
      </c>
      <c r="J602" s="289"/>
      <c r="K602" s="289"/>
      <c r="L602" s="291"/>
      <c r="M602" s="291"/>
      <c r="N602" s="300"/>
      <c r="O602" s="296"/>
      <c r="P602" s="294"/>
      <c r="Q602" s="294"/>
      <c r="R602" s="295"/>
      <c r="S602" s="302">
        <f t="shared" si="37"/>
        <v>0</v>
      </c>
      <c r="T602" s="302"/>
      <c r="U602" s="303"/>
      <c r="V602" s="305">
        <f t="shared" si="38"/>
        <v>62.5</v>
      </c>
      <c r="W602" s="305" t="str">
        <f t="shared" si="36"/>
        <v xml:space="preserve"> </v>
      </c>
      <c r="X602" s="288"/>
    </row>
    <row r="603" spans="1:24">
      <c r="A603" s="286">
        <v>81</v>
      </c>
      <c r="C603" s="286" t="s">
        <v>644</v>
      </c>
      <c r="D603" s="286"/>
      <c r="E603" s="286" t="s">
        <v>616</v>
      </c>
      <c r="F603" s="286">
        <v>26</v>
      </c>
      <c r="G603" s="425">
        <v>1250</v>
      </c>
      <c r="H603" s="425">
        <v>0</v>
      </c>
      <c r="J603" s="289"/>
      <c r="K603" s="289"/>
      <c r="L603" s="291"/>
      <c r="M603" s="291"/>
      <c r="N603" s="300"/>
      <c r="O603" s="296"/>
      <c r="P603" s="294"/>
      <c r="Q603" s="294"/>
      <c r="R603" s="295"/>
      <c r="S603" s="302">
        <f t="shared" si="37"/>
        <v>0</v>
      </c>
      <c r="T603" s="302"/>
      <c r="U603" s="303"/>
      <c r="V603" s="305">
        <f t="shared" si="38"/>
        <v>1250</v>
      </c>
      <c r="W603" s="305">
        <f t="shared" si="36"/>
        <v>312.5</v>
      </c>
      <c r="X603" s="288"/>
    </row>
    <row r="604" spans="1:24">
      <c r="A604" s="286">
        <v>82</v>
      </c>
      <c r="C604" s="286" t="s">
        <v>619</v>
      </c>
      <c r="D604" s="286" t="s">
        <v>620</v>
      </c>
      <c r="E604" s="286" t="s">
        <v>621</v>
      </c>
      <c r="F604" s="286">
        <f>IF(VLOOKUP(A604,'WP-5 Payroll Data'!$K$11:$O$151,3,FALSE)&gt;26,26,VLOOKUP(A604,'WP-5 Payroll Data'!$K$11:$O$151,3,FALSE))</f>
        <v>26</v>
      </c>
      <c r="G604" s="425">
        <v>37287.619999999988</v>
      </c>
      <c r="H604" s="425">
        <v>1638.5</v>
      </c>
      <c r="J604" s="289">
        <f>VLOOKUP(A604,'WP-5 Payroll Data'!$K$11:$O$151,4,FALSE)</f>
        <v>47836.569999999992</v>
      </c>
      <c r="K604" s="289">
        <f>VLOOKUP(A604,'WP-5 Payroll Data'!$K$11:$O$151,5,FALSE)</f>
        <v>2079.9</v>
      </c>
      <c r="L604" s="289">
        <f>J604/K604</f>
        <v>22.999456704649258</v>
      </c>
      <c r="M604" s="289"/>
      <c r="N604" s="300">
        <f>IF((K604/F604)*26&gt;1500,2080,IF((K604/F604)*26&gt;300,520,IF((K604/F604)*26&gt;100,260,K604)))</f>
        <v>2080</v>
      </c>
      <c r="O604" s="296">
        <f>N604*L604</f>
        <v>47838.869945670456</v>
      </c>
      <c r="P604" s="294"/>
      <c r="Q604" s="294">
        <f>O604*0.03</f>
        <v>1435.1660983701136</v>
      </c>
      <c r="R604" s="295"/>
      <c r="S604" s="302">
        <f t="shared" si="37"/>
        <v>0</v>
      </c>
      <c r="T604" s="302"/>
      <c r="U604" s="303"/>
      <c r="V604" s="305">
        <f t="shared" si="38"/>
        <v>0</v>
      </c>
      <c r="W604" s="305" t="str">
        <f t="shared" si="36"/>
        <v xml:space="preserve"> </v>
      </c>
      <c r="X604" s="288"/>
    </row>
    <row r="605" spans="1:24">
      <c r="A605" s="286">
        <v>82</v>
      </c>
      <c r="C605" s="286" t="s">
        <v>619</v>
      </c>
      <c r="D605" s="286" t="s">
        <v>620</v>
      </c>
      <c r="E605" s="286" t="s">
        <v>622</v>
      </c>
      <c r="F605" s="286">
        <v>27</v>
      </c>
      <c r="G605" s="425">
        <v>1688.96</v>
      </c>
      <c r="H605" s="425">
        <v>68</v>
      </c>
      <c r="J605" s="289"/>
      <c r="K605" s="289"/>
      <c r="L605" s="291"/>
      <c r="M605" s="291"/>
      <c r="N605" s="300"/>
      <c r="O605" s="296"/>
      <c r="P605" s="294"/>
      <c r="Q605" s="294"/>
      <c r="R605" s="295"/>
      <c r="S605" s="302">
        <f t="shared" si="37"/>
        <v>0</v>
      </c>
      <c r="T605" s="302"/>
      <c r="U605" s="303"/>
      <c r="V605" s="305">
        <f t="shared" si="38"/>
        <v>0</v>
      </c>
      <c r="W605" s="305" t="str">
        <f t="shared" si="36"/>
        <v xml:space="preserve"> </v>
      </c>
      <c r="X605" s="288"/>
    </row>
    <row r="606" spans="1:24">
      <c r="A606" s="286">
        <v>82</v>
      </c>
      <c r="C606" s="286" t="s">
        <v>619</v>
      </c>
      <c r="D606" s="286" t="s">
        <v>620</v>
      </c>
      <c r="E606" s="286" t="s">
        <v>599</v>
      </c>
      <c r="F606" s="286">
        <v>27</v>
      </c>
      <c r="G606" s="425">
        <v>1465.9000000000003</v>
      </c>
      <c r="H606" s="425">
        <v>43.499999999999993</v>
      </c>
      <c r="J606" s="289"/>
      <c r="K606" s="289"/>
      <c r="L606" s="291"/>
      <c r="M606" s="291"/>
      <c r="N606" s="300"/>
      <c r="O606" s="296"/>
      <c r="P606" s="294"/>
      <c r="Q606" s="294"/>
      <c r="R606" s="295"/>
      <c r="S606" s="302">
        <f t="shared" si="37"/>
        <v>1465.9000000000003</v>
      </c>
      <c r="T606" s="302">
        <f t="shared" si="39"/>
        <v>43.977000000000011</v>
      </c>
      <c r="U606" s="303"/>
      <c r="V606" s="305">
        <f t="shared" si="38"/>
        <v>0</v>
      </c>
      <c r="W606" s="305" t="str">
        <f t="shared" si="36"/>
        <v xml:space="preserve"> </v>
      </c>
      <c r="X606" s="288"/>
    </row>
    <row r="607" spans="1:24">
      <c r="A607" s="286">
        <v>82</v>
      </c>
      <c r="C607" s="286" t="s">
        <v>619</v>
      </c>
      <c r="D607" s="286" t="s">
        <v>620</v>
      </c>
      <c r="E607" s="286" t="s">
        <v>601</v>
      </c>
      <c r="F607" s="286">
        <v>27</v>
      </c>
      <c r="G607" s="425">
        <v>5156.66</v>
      </c>
      <c r="H607" s="425">
        <v>110.7</v>
      </c>
      <c r="J607" s="289"/>
      <c r="K607" s="289"/>
      <c r="L607" s="291"/>
      <c r="M607" s="291"/>
      <c r="N607" s="300"/>
      <c r="O607" s="296"/>
      <c r="P607" s="294"/>
      <c r="Q607" s="294"/>
      <c r="R607" s="295"/>
      <c r="S607" s="302">
        <f t="shared" si="37"/>
        <v>5156.66</v>
      </c>
      <c r="T607" s="302">
        <f t="shared" si="39"/>
        <v>154.69979999999998</v>
      </c>
      <c r="U607" s="303"/>
      <c r="V607" s="305">
        <f t="shared" si="38"/>
        <v>0</v>
      </c>
      <c r="W607" s="305" t="str">
        <f t="shared" si="36"/>
        <v xml:space="preserve"> </v>
      </c>
      <c r="X607" s="288"/>
    </row>
    <row r="608" spans="1:24">
      <c r="A608" s="286">
        <v>82</v>
      </c>
      <c r="C608" s="286" t="s">
        <v>619</v>
      </c>
      <c r="D608" s="286" t="s">
        <v>620</v>
      </c>
      <c r="E608" s="286" t="s">
        <v>603</v>
      </c>
      <c r="F608" s="286">
        <v>27</v>
      </c>
      <c r="G608" s="425">
        <v>216.1</v>
      </c>
      <c r="H608" s="425">
        <v>5.8000000000000007</v>
      </c>
      <c r="J608" s="289"/>
      <c r="K608" s="289"/>
      <c r="L608" s="291"/>
      <c r="M608" s="291"/>
      <c r="N608" s="300"/>
      <c r="O608" s="296"/>
      <c r="P608" s="294"/>
      <c r="Q608" s="294"/>
      <c r="R608" s="295"/>
      <c r="S608" s="302">
        <f t="shared" si="37"/>
        <v>216.1</v>
      </c>
      <c r="T608" s="302">
        <f t="shared" si="39"/>
        <v>6.4829999999999997</v>
      </c>
      <c r="U608" s="303"/>
      <c r="V608" s="305">
        <f t="shared" si="38"/>
        <v>0</v>
      </c>
      <c r="W608" s="305" t="str">
        <f t="shared" si="36"/>
        <v xml:space="preserve"> </v>
      </c>
      <c r="X608" s="288"/>
    </row>
    <row r="609" spans="1:24">
      <c r="A609" s="286">
        <v>82</v>
      </c>
      <c r="C609" s="286" t="s">
        <v>619</v>
      </c>
      <c r="D609" s="286" t="s">
        <v>620</v>
      </c>
      <c r="E609" s="286" t="s">
        <v>627</v>
      </c>
      <c r="F609" s="286">
        <v>27</v>
      </c>
      <c r="G609" s="425">
        <v>1796.26</v>
      </c>
      <c r="H609" s="425">
        <v>80</v>
      </c>
      <c r="J609" s="289"/>
      <c r="K609" s="289"/>
      <c r="L609" s="291"/>
      <c r="M609" s="291"/>
      <c r="N609" s="300"/>
      <c r="O609" s="296"/>
      <c r="P609" s="294"/>
      <c r="Q609" s="294"/>
      <c r="R609" s="295"/>
      <c r="S609" s="302">
        <f t="shared" si="37"/>
        <v>0</v>
      </c>
      <c r="T609" s="302"/>
      <c r="U609" s="303"/>
      <c r="V609" s="305">
        <f t="shared" si="38"/>
        <v>0</v>
      </c>
      <c r="W609" s="305" t="str">
        <f t="shared" si="36"/>
        <v xml:space="preserve"> </v>
      </c>
      <c r="X609" s="288"/>
    </row>
    <row r="610" spans="1:24">
      <c r="A610" s="286">
        <v>82</v>
      </c>
      <c r="C610" s="286" t="s">
        <v>619</v>
      </c>
      <c r="D610" s="286" t="s">
        <v>620</v>
      </c>
      <c r="E610" s="286" t="s">
        <v>630</v>
      </c>
      <c r="F610" s="286">
        <v>27</v>
      </c>
      <c r="G610" s="425">
        <v>3417.6699999999992</v>
      </c>
      <c r="H610" s="425">
        <v>149.4</v>
      </c>
      <c r="J610" s="289"/>
      <c r="K610" s="289"/>
      <c r="L610" s="291"/>
      <c r="M610" s="291"/>
      <c r="N610" s="300"/>
      <c r="O610" s="296"/>
      <c r="P610" s="294"/>
      <c r="Q610" s="294"/>
      <c r="R610" s="295"/>
      <c r="S610" s="302">
        <f t="shared" si="37"/>
        <v>0</v>
      </c>
      <c r="T610" s="302"/>
      <c r="U610" s="303"/>
      <c r="V610" s="305">
        <f t="shared" si="38"/>
        <v>0</v>
      </c>
      <c r="W610" s="305" t="str">
        <f t="shared" si="36"/>
        <v xml:space="preserve"> </v>
      </c>
      <c r="X610" s="288"/>
    </row>
    <row r="611" spans="1:24">
      <c r="A611" s="286">
        <v>82</v>
      </c>
      <c r="C611" s="286" t="s">
        <v>619</v>
      </c>
      <c r="D611" s="286" t="s">
        <v>620</v>
      </c>
      <c r="E611" s="286" t="s">
        <v>631</v>
      </c>
      <c r="F611" s="286">
        <v>27</v>
      </c>
      <c r="G611" s="425">
        <v>198.72</v>
      </c>
      <c r="H611" s="425">
        <v>8</v>
      </c>
      <c r="J611" s="289"/>
      <c r="K611" s="289"/>
      <c r="L611" s="291"/>
      <c r="M611" s="291"/>
      <c r="N611" s="300"/>
      <c r="O611" s="296"/>
      <c r="P611" s="294"/>
      <c r="Q611" s="294"/>
      <c r="R611" s="295"/>
      <c r="S611" s="302">
        <f t="shared" si="37"/>
        <v>0</v>
      </c>
      <c r="T611" s="302"/>
      <c r="U611" s="303"/>
      <c r="V611" s="305">
        <f t="shared" si="38"/>
        <v>0</v>
      </c>
      <c r="W611" s="305" t="str">
        <f t="shared" si="36"/>
        <v xml:space="preserve"> </v>
      </c>
      <c r="X611" s="288"/>
    </row>
    <row r="612" spans="1:24">
      <c r="A612" s="286">
        <v>82</v>
      </c>
      <c r="C612" s="286" t="s">
        <v>619</v>
      </c>
      <c r="D612" s="286" t="s">
        <v>620</v>
      </c>
      <c r="E612" s="286" t="s">
        <v>633</v>
      </c>
      <c r="F612" s="286">
        <v>27</v>
      </c>
      <c r="G612" s="425">
        <v>2574.6400000000003</v>
      </c>
      <c r="H612" s="425">
        <v>112</v>
      </c>
      <c r="J612" s="289"/>
      <c r="K612" s="289"/>
      <c r="L612" s="291"/>
      <c r="M612" s="291"/>
      <c r="N612" s="300"/>
      <c r="O612" s="296"/>
      <c r="P612" s="294"/>
      <c r="Q612" s="294"/>
      <c r="R612" s="295"/>
      <c r="S612" s="302">
        <f t="shared" si="37"/>
        <v>0</v>
      </c>
      <c r="T612" s="302"/>
      <c r="U612" s="303"/>
      <c r="V612" s="305">
        <f t="shared" si="38"/>
        <v>0</v>
      </c>
      <c r="W612" s="305" t="str">
        <f t="shared" si="36"/>
        <v xml:space="preserve"> </v>
      </c>
      <c r="X612" s="288"/>
    </row>
    <row r="613" spans="1:24">
      <c r="A613" s="286">
        <v>82</v>
      </c>
      <c r="C613" s="286" t="s">
        <v>619</v>
      </c>
      <c r="D613" s="286" t="s">
        <v>620</v>
      </c>
      <c r="E613" s="286" t="s">
        <v>634</v>
      </c>
      <c r="F613" s="286">
        <v>27</v>
      </c>
      <c r="G613" s="425">
        <v>574.16</v>
      </c>
      <c r="H613" s="425">
        <v>24</v>
      </c>
      <c r="J613" s="289"/>
      <c r="K613" s="289"/>
      <c r="L613" s="291"/>
      <c r="M613" s="291"/>
      <c r="N613" s="300"/>
      <c r="O613" s="296"/>
      <c r="P613" s="294"/>
      <c r="Q613" s="294"/>
      <c r="R613" s="295"/>
      <c r="S613" s="302">
        <f t="shared" si="37"/>
        <v>0</v>
      </c>
      <c r="T613" s="302"/>
      <c r="U613" s="303"/>
      <c r="V613" s="305">
        <f t="shared" si="38"/>
        <v>0</v>
      </c>
      <c r="W613" s="305" t="str">
        <f t="shared" si="36"/>
        <v xml:space="preserve"> </v>
      </c>
      <c r="X613" s="288"/>
    </row>
    <row r="614" spans="1:24">
      <c r="A614" s="286">
        <v>82</v>
      </c>
      <c r="C614" s="286" t="s">
        <v>619</v>
      </c>
      <c r="D614" s="286" t="s">
        <v>620</v>
      </c>
      <c r="E614" s="286" t="s">
        <v>623</v>
      </c>
      <c r="F614" s="286">
        <v>27</v>
      </c>
      <c r="G614" s="425">
        <v>250</v>
      </c>
      <c r="H614" s="425">
        <v>0</v>
      </c>
      <c r="J614" s="289"/>
      <c r="K614" s="289"/>
      <c r="L614" s="291"/>
      <c r="M614" s="291"/>
      <c r="N614" s="300"/>
      <c r="O614" s="296"/>
      <c r="P614" s="294"/>
      <c r="Q614" s="294"/>
      <c r="R614" s="295"/>
      <c r="S614" s="302">
        <f t="shared" si="37"/>
        <v>0</v>
      </c>
      <c r="T614" s="302"/>
      <c r="U614" s="303"/>
      <c r="V614" s="305">
        <f t="shared" si="38"/>
        <v>250</v>
      </c>
      <c r="W614" s="305" t="str">
        <f t="shared" si="36"/>
        <v xml:space="preserve"> </v>
      </c>
      <c r="X614" s="288"/>
    </row>
    <row r="615" spans="1:24">
      <c r="A615" s="286">
        <v>82</v>
      </c>
      <c r="C615" s="286" t="s">
        <v>619</v>
      </c>
      <c r="D615" s="286" t="s">
        <v>620</v>
      </c>
      <c r="E615" s="286" t="s">
        <v>625</v>
      </c>
      <c r="F615" s="286">
        <v>27</v>
      </c>
      <c r="G615" s="425">
        <v>400</v>
      </c>
      <c r="H615" s="425">
        <v>0</v>
      </c>
      <c r="J615" s="289"/>
      <c r="K615" s="289"/>
      <c r="L615" s="291"/>
      <c r="M615" s="291"/>
      <c r="N615" s="300"/>
      <c r="O615" s="296"/>
      <c r="P615" s="294"/>
      <c r="Q615" s="294"/>
      <c r="R615" s="295"/>
      <c r="S615" s="302">
        <f t="shared" si="37"/>
        <v>0</v>
      </c>
      <c r="T615" s="302"/>
      <c r="U615" s="303"/>
      <c r="V615" s="305">
        <f t="shared" si="38"/>
        <v>400</v>
      </c>
      <c r="W615" s="305">
        <f t="shared" si="36"/>
        <v>100</v>
      </c>
      <c r="X615" s="288"/>
    </row>
    <row r="616" spans="1:24">
      <c r="A616" s="286">
        <v>82</v>
      </c>
      <c r="C616" s="286" t="s">
        <v>619</v>
      </c>
      <c r="D616" s="286" t="s">
        <v>620</v>
      </c>
      <c r="E616" s="286" t="s">
        <v>629</v>
      </c>
      <c r="F616" s="286">
        <v>27</v>
      </c>
      <c r="G616" s="425">
        <v>4750</v>
      </c>
      <c r="H616" s="425">
        <v>0</v>
      </c>
      <c r="J616" s="289"/>
      <c r="K616" s="289"/>
      <c r="L616" s="291"/>
      <c r="M616" s="291"/>
      <c r="N616" s="300"/>
      <c r="O616" s="296"/>
      <c r="P616" s="294"/>
      <c r="Q616" s="294"/>
      <c r="R616" s="295"/>
      <c r="S616" s="302">
        <f t="shared" si="37"/>
        <v>0</v>
      </c>
      <c r="T616" s="302"/>
      <c r="U616" s="303"/>
      <c r="V616" s="305">
        <f t="shared" si="38"/>
        <v>4750</v>
      </c>
      <c r="W616" s="305" t="str">
        <f t="shared" si="36"/>
        <v xml:space="preserve"> </v>
      </c>
      <c r="X616" s="288"/>
    </row>
    <row r="617" spans="1:24">
      <c r="A617" s="286">
        <v>82</v>
      </c>
      <c r="C617" s="286" t="s">
        <v>619</v>
      </c>
      <c r="D617" s="286" t="s">
        <v>620</v>
      </c>
      <c r="E617" s="286" t="s">
        <v>636</v>
      </c>
      <c r="F617" s="286">
        <v>27</v>
      </c>
      <c r="G617" s="425">
        <v>298.54000000000002</v>
      </c>
      <c r="H617" s="425">
        <v>0</v>
      </c>
      <c r="J617" s="289"/>
      <c r="K617" s="289"/>
      <c r="L617" s="291"/>
      <c r="M617" s="291"/>
      <c r="N617" s="300"/>
      <c r="O617" s="296"/>
      <c r="P617" s="294"/>
      <c r="Q617" s="294"/>
      <c r="R617" s="295"/>
      <c r="S617" s="302">
        <f t="shared" si="37"/>
        <v>0</v>
      </c>
      <c r="T617" s="302"/>
      <c r="U617" s="303"/>
      <c r="V617" s="305">
        <f t="shared" si="38"/>
        <v>0</v>
      </c>
      <c r="W617" s="305" t="str">
        <f t="shared" si="36"/>
        <v xml:space="preserve"> </v>
      </c>
      <c r="X617" s="288"/>
    </row>
    <row r="618" spans="1:24">
      <c r="A618" s="286">
        <v>82</v>
      </c>
      <c r="C618" s="286" t="s">
        <v>619</v>
      </c>
      <c r="D618" s="286" t="s">
        <v>620</v>
      </c>
      <c r="E618" s="286" t="s">
        <v>632</v>
      </c>
      <c r="F618" s="286">
        <v>27</v>
      </c>
      <c r="G618" s="425">
        <v>7559.15</v>
      </c>
      <c r="H618" s="425">
        <v>0</v>
      </c>
      <c r="J618" s="289"/>
      <c r="K618" s="289"/>
      <c r="L618" s="291"/>
      <c r="M618" s="291"/>
      <c r="N618" s="300"/>
      <c r="O618" s="296"/>
      <c r="P618" s="294"/>
      <c r="Q618" s="294"/>
      <c r="R618" s="295"/>
      <c r="S618" s="302">
        <f t="shared" si="37"/>
        <v>0</v>
      </c>
      <c r="T618" s="302"/>
      <c r="U618" s="303"/>
      <c r="V618" s="305">
        <f t="shared" si="38"/>
        <v>7559.15</v>
      </c>
      <c r="W618" s="305">
        <f t="shared" si="36"/>
        <v>-7559.15</v>
      </c>
      <c r="X618" s="288"/>
    </row>
    <row r="619" spans="1:24">
      <c r="A619" s="286">
        <v>83</v>
      </c>
      <c r="C619" s="286" t="s">
        <v>650</v>
      </c>
      <c r="D619" s="286" t="s">
        <v>674</v>
      </c>
      <c r="E619" s="286" t="s">
        <v>598</v>
      </c>
      <c r="F619" s="286">
        <f>IF(VLOOKUP(A619,'WP-5 Payroll Data'!$K$11:$O$151,3,FALSE)&gt;26,26,VLOOKUP(A619,'WP-5 Payroll Data'!$K$11:$O$151,3,FALSE))</f>
        <v>26</v>
      </c>
      <c r="G619" s="425">
        <v>113577.07999999999</v>
      </c>
      <c r="H619" s="425">
        <v>1789.7</v>
      </c>
      <c r="J619" s="289">
        <f>VLOOKUP(A619,'WP-5 Payroll Data'!$K$11:$O$151,4,FALSE)</f>
        <v>131999.92000000001</v>
      </c>
      <c r="K619" s="289">
        <f>VLOOKUP(A619,'WP-5 Payroll Data'!$K$11:$O$151,5,FALSE)</f>
        <v>2080</v>
      </c>
      <c r="L619" s="289">
        <f>J619/K619</f>
        <v>63.461500000000008</v>
      </c>
      <c r="M619" s="289"/>
      <c r="N619" s="300">
        <f>IF((K619/F619)*26&gt;1500,2080,IF((K619/F619)*26&gt;300,520,IF((K619/F619)*26&gt;100,260,K619)))</f>
        <v>2080</v>
      </c>
      <c r="O619" s="296">
        <f>N619*L619</f>
        <v>131999.92000000001</v>
      </c>
      <c r="P619" s="294"/>
      <c r="Q619" s="294">
        <f>O619*0.03</f>
        <v>3959.9976000000001</v>
      </c>
      <c r="R619" s="295"/>
      <c r="S619" s="302">
        <f t="shared" si="37"/>
        <v>0</v>
      </c>
      <c r="T619" s="302"/>
      <c r="U619" s="303"/>
      <c r="V619" s="305">
        <f t="shared" si="38"/>
        <v>0</v>
      </c>
      <c r="W619" s="305" t="str">
        <f t="shared" si="36"/>
        <v xml:space="preserve"> </v>
      </c>
      <c r="X619" s="288"/>
    </row>
    <row r="620" spans="1:24">
      <c r="A620" s="286">
        <v>83</v>
      </c>
      <c r="C620" s="286" t="s">
        <v>650</v>
      </c>
      <c r="D620" s="286" t="s">
        <v>674</v>
      </c>
      <c r="E620" s="286" t="s">
        <v>675</v>
      </c>
      <c r="F620" s="286">
        <v>26</v>
      </c>
      <c r="G620" s="425">
        <v>507.69</v>
      </c>
      <c r="H620" s="425">
        <v>8</v>
      </c>
      <c r="J620" s="289"/>
      <c r="K620" s="289"/>
      <c r="L620" s="291"/>
      <c r="M620" s="291"/>
      <c r="N620" s="300"/>
      <c r="O620" s="296"/>
      <c r="P620" s="294"/>
      <c r="Q620" s="294"/>
      <c r="R620" s="295"/>
      <c r="S620" s="302">
        <f t="shared" si="37"/>
        <v>0</v>
      </c>
      <c r="T620" s="302"/>
      <c r="U620" s="303"/>
      <c r="V620" s="305">
        <f t="shared" si="38"/>
        <v>0</v>
      </c>
      <c r="W620" s="305" t="str">
        <f t="shared" si="36"/>
        <v xml:space="preserve"> </v>
      </c>
      <c r="X620" s="288"/>
    </row>
    <row r="621" spans="1:24">
      <c r="A621" s="286">
        <v>83</v>
      </c>
      <c r="C621" s="286" t="s">
        <v>650</v>
      </c>
      <c r="D621" s="286" t="s">
        <v>674</v>
      </c>
      <c r="E621" s="286" t="s">
        <v>605</v>
      </c>
      <c r="F621" s="286">
        <v>26</v>
      </c>
      <c r="G621" s="425">
        <v>10788.44</v>
      </c>
      <c r="H621" s="425">
        <v>170</v>
      </c>
      <c r="J621" s="289"/>
      <c r="K621" s="289"/>
      <c r="L621" s="291"/>
      <c r="M621" s="291"/>
      <c r="N621" s="300"/>
      <c r="O621" s="296"/>
      <c r="P621" s="294"/>
      <c r="Q621" s="294"/>
      <c r="R621" s="295"/>
      <c r="S621" s="302">
        <f t="shared" si="37"/>
        <v>0</v>
      </c>
      <c r="T621" s="302"/>
      <c r="U621" s="303"/>
      <c r="V621" s="305">
        <f t="shared" si="38"/>
        <v>0</v>
      </c>
      <c r="W621" s="305" t="str">
        <f t="shared" si="36"/>
        <v xml:space="preserve"> </v>
      </c>
      <c r="X621" s="288"/>
    </row>
    <row r="622" spans="1:24">
      <c r="A622" s="286">
        <v>83</v>
      </c>
      <c r="C622" s="286" t="s">
        <v>650</v>
      </c>
      <c r="D622" s="286" t="s">
        <v>674</v>
      </c>
      <c r="E622" s="286" t="s">
        <v>608</v>
      </c>
      <c r="F622" s="286">
        <v>26</v>
      </c>
      <c r="G622" s="425">
        <v>2773.2599999999998</v>
      </c>
      <c r="H622" s="425">
        <v>43.7</v>
      </c>
      <c r="J622" s="289"/>
      <c r="K622" s="289"/>
      <c r="L622" s="291"/>
      <c r="M622" s="291"/>
      <c r="N622" s="300"/>
      <c r="O622" s="296"/>
      <c r="P622" s="294"/>
      <c r="Q622" s="294"/>
      <c r="R622" s="295"/>
      <c r="S622" s="302">
        <f t="shared" si="37"/>
        <v>0</v>
      </c>
      <c r="T622" s="302"/>
      <c r="U622" s="303"/>
      <c r="V622" s="305">
        <f t="shared" si="38"/>
        <v>0</v>
      </c>
      <c r="W622" s="305" t="str">
        <f t="shared" si="36"/>
        <v xml:space="preserve"> </v>
      </c>
      <c r="X622" s="288"/>
    </row>
    <row r="623" spans="1:24">
      <c r="A623" s="286">
        <v>83</v>
      </c>
      <c r="C623" s="286" t="s">
        <v>650</v>
      </c>
      <c r="D623" s="286" t="s">
        <v>674</v>
      </c>
      <c r="E623" s="286" t="s">
        <v>610</v>
      </c>
      <c r="F623" s="286">
        <v>26</v>
      </c>
      <c r="G623" s="425">
        <v>1523.07</v>
      </c>
      <c r="H623" s="425">
        <v>24</v>
      </c>
      <c r="J623" s="289"/>
      <c r="K623" s="289"/>
      <c r="L623" s="291"/>
      <c r="M623" s="291"/>
      <c r="N623" s="300"/>
      <c r="O623" s="296"/>
      <c r="P623" s="294"/>
      <c r="Q623" s="294"/>
      <c r="R623" s="295"/>
      <c r="S623" s="302">
        <f t="shared" si="37"/>
        <v>0</v>
      </c>
      <c r="T623" s="302"/>
      <c r="U623" s="303"/>
      <c r="V623" s="305">
        <f t="shared" si="38"/>
        <v>0</v>
      </c>
      <c r="W623" s="305" t="str">
        <f t="shared" si="36"/>
        <v xml:space="preserve"> </v>
      </c>
      <c r="X623" s="288"/>
    </row>
    <row r="624" spans="1:24">
      <c r="A624" s="286">
        <v>83</v>
      </c>
      <c r="C624" s="286" t="s">
        <v>650</v>
      </c>
      <c r="D624" s="286" t="s">
        <v>674</v>
      </c>
      <c r="E624" s="286" t="s">
        <v>638</v>
      </c>
      <c r="F624" s="286">
        <v>26</v>
      </c>
      <c r="G624" s="425">
        <v>2538.46</v>
      </c>
      <c r="H624" s="425">
        <v>40</v>
      </c>
      <c r="J624" s="289"/>
      <c r="K624" s="289"/>
      <c r="L624" s="291"/>
      <c r="M624" s="291"/>
      <c r="N624" s="300"/>
      <c r="O624" s="296"/>
      <c r="P624" s="294"/>
      <c r="Q624" s="294"/>
      <c r="R624" s="295"/>
      <c r="S624" s="302">
        <f t="shared" si="37"/>
        <v>0</v>
      </c>
      <c r="T624" s="302"/>
      <c r="U624" s="303"/>
      <c r="V624" s="305">
        <f t="shared" si="38"/>
        <v>0</v>
      </c>
      <c r="W624" s="305" t="str">
        <f t="shared" si="36"/>
        <v xml:space="preserve"> </v>
      </c>
      <c r="X624" s="288"/>
    </row>
    <row r="625" spans="1:24">
      <c r="A625" s="286">
        <v>83</v>
      </c>
      <c r="C625" s="286" t="s">
        <v>650</v>
      </c>
      <c r="D625" s="286" t="s">
        <v>674</v>
      </c>
      <c r="E625" s="286" t="s">
        <v>642</v>
      </c>
      <c r="F625" s="286">
        <v>26</v>
      </c>
      <c r="G625" s="425">
        <v>291.92</v>
      </c>
      <c r="H625" s="425">
        <v>4.5999999999999996</v>
      </c>
      <c r="J625" s="289"/>
      <c r="K625" s="289"/>
      <c r="L625" s="291"/>
      <c r="M625" s="291"/>
      <c r="N625" s="300"/>
      <c r="O625" s="296"/>
      <c r="P625" s="294"/>
      <c r="Q625" s="294"/>
      <c r="R625" s="295"/>
      <c r="S625" s="302">
        <f t="shared" si="37"/>
        <v>0</v>
      </c>
      <c r="T625" s="302"/>
      <c r="U625" s="303"/>
      <c r="V625" s="305">
        <f t="shared" si="38"/>
        <v>0</v>
      </c>
      <c r="W625" s="305" t="str">
        <f t="shared" si="36"/>
        <v xml:space="preserve"> </v>
      </c>
      <c r="X625" s="288"/>
    </row>
    <row r="626" spans="1:24">
      <c r="A626" s="286">
        <v>83</v>
      </c>
      <c r="C626" s="286" t="s">
        <v>650</v>
      </c>
      <c r="D626" s="286" t="s">
        <v>674</v>
      </c>
      <c r="E626" s="286" t="s">
        <v>624</v>
      </c>
      <c r="F626" s="286">
        <v>26</v>
      </c>
      <c r="G626" s="425">
        <v>700</v>
      </c>
      <c r="H626" s="425">
        <v>0</v>
      </c>
      <c r="J626" s="289"/>
      <c r="K626" s="289"/>
      <c r="L626" s="291"/>
      <c r="M626" s="291"/>
      <c r="N626" s="300"/>
      <c r="O626" s="296"/>
      <c r="P626" s="294"/>
      <c r="Q626" s="294"/>
      <c r="R626" s="295"/>
      <c r="S626" s="302">
        <f t="shared" si="37"/>
        <v>0</v>
      </c>
      <c r="T626" s="302"/>
      <c r="U626" s="303"/>
      <c r="V626" s="305">
        <f t="shared" si="38"/>
        <v>700</v>
      </c>
      <c r="W626" s="305">
        <f t="shared" si="36"/>
        <v>175</v>
      </c>
      <c r="X626" s="288"/>
    </row>
    <row r="627" spans="1:24">
      <c r="A627" s="286">
        <v>84</v>
      </c>
      <c r="C627" s="286" t="s">
        <v>597</v>
      </c>
      <c r="D627" s="286"/>
      <c r="E627" s="286" t="s">
        <v>598</v>
      </c>
      <c r="F627" s="286">
        <f>IF(VLOOKUP(A627,'WP-5 Payroll Data'!$K$11:$O$151,3,FALSE)&gt;26,26,VLOOKUP(A627,'WP-5 Payroll Data'!$K$11:$O$151,3,FALSE))</f>
        <v>26</v>
      </c>
      <c r="G627" s="425">
        <v>6910.02</v>
      </c>
      <c r="H627" s="425">
        <v>248.5</v>
      </c>
      <c r="J627" s="289">
        <f>VLOOKUP(A627,'WP-5 Payroll Data'!$K$11:$O$151,4,FALSE)</f>
        <v>7230.3</v>
      </c>
      <c r="K627" s="289">
        <f>VLOOKUP(A627,'WP-5 Payroll Data'!$K$11:$O$151,5,FALSE)</f>
        <v>260</v>
      </c>
      <c r="L627" s="289">
        <f>J627/K627</f>
        <v>27.808846153846154</v>
      </c>
      <c r="M627" s="289"/>
      <c r="N627" s="300">
        <f>IF((K627/F627)*26&gt;1500,2080,IF((K627/F627)*26&gt;300,520,IF((K627/F627)*26&gt;100,260,K627)))</f>
        <v>260</v>
      </c>
      <c r="O627" s="296">
        <f>N627*L627</f>
        <v>7230.3</v>
      </c>
      <c r="P627" s="294"/>
      <c r="Q627" s="294">
        <f>O627*0.03</f>
        <v>216.90899999999999</v>
      </c>
      <c r="R627" s="295"/>
      <c r="S627" s="302">
        <f t="shared" si="37"/>
        <v>0</v>
      </c>
      <c r="T627" s="302"/>
      <c r="U627" s="303"/>
      <c r="V627" s="305">
        <f t="shared" si="38"/>
        <v>0</v>
      </c>
      <c r="W627" s="305" t="str">
        <f t="shared" si="36"/>
        <v xml:space="preserve"> </v>
      </c>
      <c r="X627" s="288"/>
    </row>
    <row r="628" spans="1:24">
      <c r="A628" s="286">
        <v>84</v>
      </c>
      <c r="C628" s="286" t="s">
        <v>597</v>
      </c>
      <c r="D628" s="286"/>
      <c r="E628" s="286" t="s">
        <v>605</v>
      </c>
      <c r="F628" s="286">
        <v>26</v>
      </c>
      <c r="G628" s="425">
        <v>139.25</v>
      </c>
      <c r="H628" s="425">
        <v>5</v>
      </c>
      <c r="J628" s="289"/>
      <c r="K628" s="289"/>
      <c r="L628" s="291"/>
      <c r="M628" s="291"/>
      <c r="N628" s="300"/>
      <c r="O628" s="296"/>
      <c r="P628" s="294"/>
      <c r="Q628" s="294"/>
      <c r="R628" s="295"/>
      <c r="S628" s="302">
        <f t="shared" si="37"/>
        <v>0</v>
      </c>
      <c r="T628" s="302"/>
      <c r="U628" s="303"/>
      <c r="V628" s="305">
        <f t="shared" si="38"/>
        <v>0</v>
      </c>
      <c r="W628" s="305" t="str">
        <f t="shared" si="36"/>
        <v xml:space="preserve"> </v>
      </c>
      <c r="X628" s="288"/>
    </row>
    <row r="629" spans="1:24">
      <c r="A629" s="286">
        <v>84</v>
      </c>
      <c r="C629" s="286" t="s">
        <v>597</v>
      </c>
      <c r="D629" s="286"/>
      <c r="E629" s="286" t="s">
        <v>610</v>
      </c>
      <c r="F629" s="286">
        <v>26</v>
      </c>
      <c r="G629" s="425">
        <v>97.47999999999999</v>
      </c>
      <c r="H629" s="425">
        <v>3.5</v>
      </c>
      <c r="J629" s="289"/>
      <c r="K629" s="289"/>
      <c r="L629" s="291"/>
      <c r="M629" s="291"/>
      <c r="N629" s="300"/>
      <c r="O629" s="296"/>
      <c r="P629" s="294"/>
      <c r="Q629" s="294"/>
      <c r="R629" s="295"/>
      <c r="S629" s="302">
        <f t="shared" si="37"/>
        <v>0</v>
      </c>
      <c r="T629" s="302"/>
      <c r="U629" s="303"/>
      <c r="V629" s="305">
        <f t="shared" si="38"/>
        <v>0</v>
      </c>
      <c r="W629" s="305" t="str">
        <f t="shared" si="36"/>
        <v xml:space="preserve"> </v>
      </c>
      <c r="X629" s="288"/>
    </row>
    <row r="630" spans="1:24">
      <c r="A630" s="286">
        <v>84</v>
      </c>
      <c r="C630" s="286" t="s">
        <v>597</v>
      </c>
      <c r="D630" s="286"/>
      <c r="E630" s="286" t="s">
        <v>638</v>
      </c>
      <c r="F630" s="286">
        <v>26</v>
      </c>
      <c r="G630" s="425">
        <v>83.55</v>
      </c>
      <c r="H630" s="425">
        <v>3</v>
      </c>
      <c r="J630" s="289"/>
      <c r="K630" s="289"/>
      <c r="L630" s="291"/>
      <c r="M630" s="291"/>
      <c r="N630" s="300"/>
      <c r="O630" s="296"/>
      <c r="P630" s="294"/>
      <c r="Q630" s="294"/>
      <c r="R630" s="295"/>
      <c r="S630" s="302">
        <f t="shared" si="37"/>
        <v>0</v>
      </c>
      <c r="T630" s="302"/>
      <c r="U630" s="303"/>
      <c r="V630" s="305">
        <f t="shared" si="38"/>
        <v>0</v>
      </c>
      <c r="W630" s="305" t="str">
        <f t="shared" si="36"/>
        <v xml:space="preserve"> </v>
      </c>
      <c r="X630" s="288"/>
    </row>
    <row r="631" spans="1:24">
      <c r="A631" s="286">
        <v>84</v>
      </c>
      <c r="C631" s="286" t="s">
        <v>597</v>
      </c>
      <c r="D631" s="286"/>
      <c r="E631" s="286" t="s">
        <v>624</v>
      </c>
      <c r="F631" s="286">
        <v>26</v>
      </c>
      <c r="G631" s="425">
        <v>12.5</v>
      </c>
      <c r="H631" s="425">
        <v>0</v>
      </c>
      <c r="J631" s="289"/>
      <c r="K631" s="289"/>
      <c r="L631" s="291"/>
      <c r="M631" s="291"/>
      <c r="N631" s="300"/>
      <c r="O631" s="296"/>
      <c r="P631" s="294"/>
      <c r="Q631" s="294"/>
      <c r="R631" s="295"/>
      <c r="S631" s="302">
        <f t="shared" si="37"/>
        <v>0</v>
      </c>
      <c r="T631" s="302"/>
      <c r="U631" s="303"/>
      <c r="V631" s="305">
        <f t="shared" si="38"/>
        <v>12.5</v>
      </c>
      <c r="W631" s="305">
        <f t="shared" si="36"/>
        <v>3.125</v>
      </c>
      <c r="X631" s="288"/>
    </row>
    <row r="632" spans="1:24">
      <c r="A632" s="286">
        <v>85</v>
      </c>
      <c r="C632" s="286" t="s">
        <v>647</v>
      </c>
      <c r="D632" s="286"/>
      <c r="E632" s="286" t="s">
        <v>648</v>
      </c>
      <c r="F632" s="286">
        <f>IF(VLOOKUP(A632,'WP-5 Payroll Data'!$K$11:$O$151,3,FALSE)&gt;26,26,VLOOKUP(A632,'WP-5 Payroll Data'!$K$11:$O$151,3,FALSE))</f>
        <v>7</v>
      </c>
      <c r="G632" s="424">
        <v>60.550000000000004</v>
      </c>
      <c r="H632" s="425">
        <v>6.0500000000000007</v>
      </c>
      <c r="J632" s="289">
        <f>VLOOKUP(A632,'WP-5 Payroll Data'!$K$11:$O$151,4,FALSE)</f>
        <v>60.550000000000004</v>
      </c>
      <c r="K632" s="289">
        <f>VLOOKUP(A632,'WP-5 Payroll Data'!$K$11:$O$151,5,FALSE)</f>
        <v>6.0500000000000007</v>
      </c>
      <c r="L632" s="289">
        <f>J632/K632</f>
        <v>10.008264462809917</v>
      </c>
      <c r="M632" s="289"/>
      <c r="N632" s="300">
        <f>IF((K632/F632)*26&gt;1500,2080,IF((K632/F632)*26&gt;300,520,IF((K632/F632)*26&gt;100,260,K632)))</f>
        <v>6.0500000000000007</v>
      </c>
      <c r="O632" s="296">
        <f>N632*L632</f>
        <v>60.550000000000004</v>
      </c>
      <c r="P632" s="294"/>
      <c r="Q632" s="294">
        <f>O632*0.03</f>
        <v>1.8165</v>
      </c>
      <c r="R632" s="295"/>
      <c r="S632" s="302">
        <f t="shared" si="37"/>
        <v>0</v>
      </c>
      <c r="T632" s="302"/>
      <c r="U632" s="303"/>
      <c r="V632" s="305">
        <f t="shared" si="38"/>
        <v>0</v>
      </c>
      <c r="W632" s="305" t="str">
        <f t="shared" si="36"/>
        <v xml:space="preserve"> </v>
      </c>
      <c r="X632" s="288"/>
    </row>
    <row r="633" spans="1:24">
      <c r="A633" s="286">
        <v>86</v>
      </c>
      <c r="C633" s="286" t="s">
        <v>647</v>
      </c>
      <c r="D633" s="286"/>
      <c r="E633" s="286" t="s">
        <v>648</v>
      </c>
      <c r="F633" s="286">
        <f>IF(VLOOKUP(A633,'WP-5 Payroll Data'!$K$11:$O$151,3,FALSE)&gt;26,26,VLOOKUP(A633,'WP-5 Payroll Data'!$K$11:$O$151,3,FALSE))</f>
        <v>15</v>
      </c>
      <c r="G633" s="424">
        <v>11502.400000000001</v>
      </c>
      <c r="H633" s="425">
        <v>884.80000000000007</v>
      </c>
      <c r="J633" s="289">
        <f>VLOOKUP(A633,'WP-5 Payroll Data'!$K$11:$O$151,4,FALSE)</f>
        <v>11502.400000000001</v>
      </c>
      <c r="K633" s="289">
        <f>VLOOKUP(A633,'WP-5 Payroll Data'!$K$11:$O$151,5,FALSE)</f>
        <v>884.80000000000007</v>
      </c>
      <c r="L633" s="289">
        <f>J633/K633</f>
        <v>13</v>
      </c>
      <c r="M633" s="289"/>
      <c r="N633" s="300">
        <f>IF((K633/F633)*26&gt;1500,2080,IF((K633/F633)*26&gt;300,520,IF((K633/F633)*26&gt;100,260,K633)))</f>
        <v>2080</v>
      </c>
      <c r="O633" s="296">
        <f>N633*L633</f>
        <v>27040</v>
      </c>
      <c r="P633" s="294"/>
      <c r="Q633" s="294">
        <f>O633*0.03</f>
        <v>811.19999999999993</v>
      </c>
      <c r="R633" s="295"/>
      <c r="S633" s="302">
        <f t="shared" si="37"/>
        <v>0</v>
      </c>
      <c r="T633" s="302"/>
      <c r="U633" s="303"/>
      <c r="V633" s="305">
        <f t="shared" si="38"/>
        <v>0</v>
      </c>
      <c r="W633" s="305" t="str">
        <f t="shared" si="36"/>
        <v xml:space="preserve"> </v>
      </c>
      <c r="X633" s="288"/>
    </row>
    <row r="634" spans="1:24">
      <c r="A634" s="286">
        <v>86</v>
      </c>
      <c r="C634" s="286" t="s">
        <v>647</v>
      </c>
      <c r="D634" s="286"/>
      <c r="E634" s="286" t="s">
        <v>599</v>
      </c>
      <c r="F634" s="286">
        <v>15</v>
      </c>
      <c r="G634" s="424">
        <v>146.25</v>
      </c>
      <c r="H634" s="425">
        <v>7.5</v>
      </c>
      <c r="J634" s="289"/>
      <c r="K634" s="289"/>
      <c r="L634" s="291"/>
      <c r="M634" s="291"/>
      <c r="N634" s="300"/>
      <c r="O634" s="296"/>
      <c r="P634" s="294"/>
      <c r="Q634" s="294"/>
      <c r="R634" s="295"/>
      <c r="S634" s="302">
        <f t="shared" si="37"/>
        <v>146.25</v>
      </c>
      <c r="T634" s="302">
        <f t="shared" si="39"/>
        <v>4.3875000000000002</v>
      </c>
      <c r="U634" s="303"/>
      <c r="V634" s="305">
        <f t="shared" si="38"/>
        <v>0</v>
      </c>
      <c r="W634" s="305" t="str">
        <f t="shared" si="36"/>
        <v xml:space="preserve"> </v>
      </c>
      <c r="X634" s="288"/>
    </row>
    <row r="635" spans="1:24">
      <c r="A635" s="286">
        <v>87</v>
      </c>
      <c r="C635" s="286" t="s">
        <v>644</v>
      </c>
      <c r="D635" s="286"/>
      <c r="E635" s="286" t="s">
        <v>598</v>
      </c>
      <c r="F635" s="286">
        <f>IF(VLOOKUP(A635,'WP-5 Payroll Data'!$K$11:$O$151,3,FALSE)&gt;26,26,VLOOKUP(A635,'WP-5 Payroll Data'!$K$11:$O$151,3,FALSE))</f>
        <v>26</v>
      </c>
      <c r="G635" s="425">
        <v>7303.9500000000025</v>
      </c>
      <c r="H635" s="425">
        <v>463.02</v>
      </c>
      <c r="J635" s="289">
        <f>VLOOKUP(A635,'WP-5 Payroll Data'!$K$11:$O$151,4,FALSE)</f>
        <v>8132.8600000000015</v>
      </c>
      <c r="K635" s="289">
        <f>VLOOKUP(A635,'WP-5 Payroll Data'!$K$11:$O$151,5,FALSE)</f>
        <v>520.04</v>
      </c>
      <c r="L635" s="289">
        <f>J635/K635</f>
        <v>15.638912391354514</v>
      </c>
      <c r="M635" s="289"/>
      <c r="N635" s="300">
        <f>IF((K635/F635)*26&gt;1500,2080,IF((K635/F635)*26&gt;300,520,IF((K635/F635)*26&gt;100,260,K635)))</f>
        <v>520</v>
      </c>
      <c r="O635" s="296">
        <f>N635*L635</f>
        <v>8132.2344435043478</v>
      </c>
      <c r="P635" s="294"/>
      <c r="Q635" s="294">
        <f>O635*0.03</f>
        <v>243.96703330513043</v>
      </c>
      <c r="R635" s="295"/>
      <c r="S635" s="302">
        <f t="shared" si="37"/>
        <v>0</v>
      </c>
      <c r="T635" s="302"/>
      <c r="U635" s="303"/>
      <c r="V635" s="305">
        <f t="shared" si="38"/>
        <v>0</v>
      </c>
      <c r="W635" s="305" t="str">
        <f t="shared" si="36"/>
        <v xml:space="preserve"> </v>
      </c>
      <c r="X635" s="288"/>
    </row>
    <row r="636" spans="1:24">
      <c r="A636" s="286">
        <v>87</v>
      </c>
      <c r="C636" s="286" t="s">
        <v>644</v>
      </c>
      <c r="D636" s="286"/>
      <c r="E636" s="286" t="s">
        <v>599</v>
      </c>
      <c r="F636" s="286">
        <v>26</v>
      </c>
      <c r="G636" s="425">
        <v>325.59999999999997</v>
      </c>
      <c r="H636" s="425">
        <v>13.790000000000003</v>
      </c>
      <c r="J636" s="289"/>
      <c r="K636" s="289"/>
      <c r="L636" s="291"/>
      <c r="M636" s="291"/>
      <c r="N636" s="300"/>
      <c r="O636" s="296"/>
      <c r="P636" s="294"/>
      <c r="Q636" s="294"/>
      <c r="R636" s="295"/>
      <c r="S636" s="302">
        <f t="shared" si="37"/>
        <v>325.59999999999997</v>
      </c>
      <c r="T636" s="302">
        <f t="shared" si="39"/>
        <v>9.7679999999999989</v>
      </c>
      <c r="U636" s="303"/>
      <c r="V636" s="305">
        <f t="shared" si="38"/>
        <v>0</v>
      </c>
      <c r="W636" s="305" t="str">
        <f t="shared" si="36"/>
        <v xml:space="preserve"> </v>
      </c>
      <c r="X636" s="288"/>
    </row>
    <row r="637" spans="1:24">
      <c r="A637" s="286">
        <v>87</v>
      </c>
      <c r="C637" s="286" t="s">
        <v>644</v>
      </c>
      <c r="D637" s="286"/>
      <c r="E637" s="286" t="s">
        <v>605</v>
      </c>
      <c r="F637" s="286">
        <v>26</v>
      </c>
      <c r="G637" s="425">
        <v>425.12</v>
      </c>
      <c r="H637" s="425">
        <v>26.95</v>
      </c>
      <c r="J637" s="289"/>
      <c r="K637" s="289"/>
      <c r="L637" s="291"/>
      <c r="M637" s="291"/>
      <c r="N637" s="300"/>
      <c r="O637" s="296"/>
      <c r="P637" s="294"/>
      <c r="Q637" s="294"/>
      <c r="R637" s="295"/>
      <c r="S637" s="302">
        <f t="shared" si="37"/>
        <v>0</v>
      </c>
      <c r="T637" s="302"/>
      <c r="U637" s="303"/>
      <c r="V637" s="305">
        <f t="shared" si="38"/>
        <v>0</v>
      </c>
      <c r="W637" s="305" t="str">
        <f t="shared" si="36"/>
        <v xml:space="preserve"> </v>
      </c>
      <c r="X637" s="288"/>
    </row>
    <row r="638" spans="1:24">
      <c r="A638" s="286">
        <v>87</v>
      </c>
      <c r="C638" s="286" t="s">
        <v>644</v>
      </c>
      <c r="D638" s="286"/>
      <c r="E638" s="286" t="s">
        <v>608</v>
      </c>
      <c r="F638" s="286">
        <v>26</v>
      </c>
      <c r="G638" s="425">
        <v>370.20999999999992</v>
      </c>
      <c r="H638" s="425">
        <v>23.439999999999998</v>
      </c>
      <c r="J638" s="289"/>
      <c r="K638" s="289"/>
      <c r="L638" s="291"/>
      <c r="M638" s="291"/>
      <c r="N638" s="300"/>
      <c r="O638" s="296"/>
      <c r="P638" s="294"/>
      <c r="Q638" s="294"/>
      <c r="R638" s="295"/>
      <c r="S638" s="302">
        <f t="shared" si="37"/>
        <v>0</v>
      </c>
      <c r="T638" s="302"/>
      <c r="U638" s="303"/>
      <c r="V638" s="305">
        <f t="shared" si="38"/>
        <v>0</v>
      </c>
      <c r="W638" s="305" t="str">
        <f t="shared" si="36"/>
        <v xml:space="preserve"> </v>
      </c>
      <c r="X638" s="288"/>
    </row>
    <row r="639" spans="1:24">
      <c r="A639" s="286">
        <v>87</v>
      </c>
      <c r="C639" s="286" t="s">
        <v>644</v>
      </c>
      <c r="D639" s="286"/>
      <c r="E639" s="286" t="s">
        <v>646</v>
      </c>
      <c r="F639" s="286">
        <v>26</v>
      </c>
      <c r="G639" s="425">
        <v>9.8699999999999992</v>
      </c>
      <c r="H639" s="425">
        <v>0.63</v>
      </c>
      <c r="J639" s="289"/>
      <c r="K639" s="289"/>
      <c r="L639" s="291"/>
      <c r="M639" s="291"/>
      <c r="N639" s="300"/>
      <c r="O639" s="296"/>
      <c r="P639" s="294"/>
      <c r="Q639" s="294"/>
      <c r="R639" s="295"/>
      <c r="S639" s="302">
        <f t="shared" si="37"/>
        <v>0</v>
      </c>
      <c r="T639" s="302"/>
      <c r="U639" s="303"/>
      <c r="V639" s="305">
        <f t="shared" si="38"/>
        <v>0</v>
      </c>
      <c r="W639" s="305" t="str">
        <f t="shared" si="36"/>
        <v xml:space="preserve"> </v>
      </c>
      <c r="X639" s="288"/>
    </row>
    <row r="640" spans="1:24">
      <c r="A640" s="286">
        <v>87</v>
      </c>
      <c r="C640" s="286" t="s">
        <v>644</v>
      </c>
      <c r="D640" s="286"/>
      <c r="E640" s="286" t="s">
        <v>610</v>
      </c>
      <c r="F640" s="286">
        <v>26</v>
      </c>
      <c r="G640" s="425">
        <v>94.77</v>
      </c>
      <c r="H640" s="425">
        <v>6</v>
      </c>
      <c r="J640" s="289"/>
      <c r="K640" s="289"/>
      <c r="L640" s="291"/>
      <c r="M640" s="291"/>
      <c r="N640" s="300"/>
      <c r="O640" s="296"/>
      <c r="P640" s="294"/>
      <c r="Q640" s="294"/>
      <c r="R640" s="295"/>
      <c r="S640" s="302">
        <f t="shared" si="37"/>
        <v>0</v>
      </c>
      <c r="T640" s="302"/>
      <c r="U640" s="303"/>
      <c r="V640" s="305">
        <f t="shared" si="38"/>
        <v>0</v>
      </c>
      <c r="W640" s="305" t="str">
        <f t="shared" si="36"/>
        <v xml:space="preserve"> </v>
      </c>
      <c r="X640" s="288"/>
    </row>
    <row r="641" spans="1:24">
      <c r="A641" s="286">
        <v>87</v>
      </c>
      <c r="C641" s="286" t="s">
        <v>644</v>
      </c>
      <c r="D641" s="286"/>
      <c r="E641" s="286" t="s">
        <v>612</v>
      </c>
      <c r="F641" s="286">
        <v>26</v>
      </c>
      <c r="G641" s="425">
        <v>25</v>
      </c>
      <c r="H641" s="425">
        <v>0</v>
      </c>
      <c r="J641" s="289"/>
      <c r="K641" s="289"/>
      <c r="L641" s="291"/>
      <c r="M641" s="291"/>
      <c r="N641" s="300"/>
      <c r="O641" s="296"/>
      <c r="P641" s="294"/>
      <c r="Q641" s="294"/>
      <c r="R641" s="295"/>
      <c r="S641" s="302">
        <f t="shared" si="37"/>
        <v>0</v>
      </c>
      <c r="T641" s="302"/>
      <c r="U641" s="303"/>
      <c r="V641" s="305">
        <f t="shared" si="38"/>
        <v>25</v>
      </c>
      <c r="W641" s="305" t="str">
        <f t="shared" si="36"/>
        <v xml:space="preserve"> </v>
      </c>
      <c r="X641" s="288"/>
    </row>
    <row r="642" spans="1:24">
      <c r="A642" s="286">
        <v>87</v>
      </c>
      <c r="C642" s="286" t="s">
        <v>644</v>
      </c>
      <c r="D642" s="286"/>
      <c r="E642" s="286" t="s">
        <v>614</v>
      </c>
      <c r="F642" s="286">
        <v>26</v>
      </c>
      <c r="G642" s="425">
        <v>62.5</v>
      </c>
      <c r="H642" s="425">
        <v>0</v>
      </c>
      <c r="J642" s="289"/>
      <c r="K642" s="289"/>
      <c r="L642" s="291"/>
      <c r="M642" s="291"/>
      <c r="N642" s="300"/>
      <c r="O642" s="296"/>
      <c r="P642" s="294"/>
      <c r="Q642" s="294"/>
      <c r="R642" s="295"/>
      <c r="S642" s="302">
        <f t="shared" si="37"/>
        <v>0</v>
      </c>
      <c r="T642" s="302"/>
      <c r="U642" s="303"/>
      <c r="V642" s="305">
        <f t="shared" si="38"/>
        <v>62.5</v>
      </c>
      <c r="W642" s="305" t="str">
        <f t="shared" si="36"/>
        <v xml:space="preserve"> </v>
      </c>
      <c r="X642" s="288"/>
    </row>
    <row r="643" spans="1:24">
      <c r="A643" s="286">
        <v>87</v>
      </c>
      <c r="C643" s="286" t="s">
        <v>644</v>
      </c>
      <c r="D643" s="286"/>
      <c r="E643" s="286" t="s">
        <v>616</v>
      </c>
      <c r="F643" s="286">
        <v>26</v>
      </c>
      <c r="G643" s="425">
        <v>300</v>
      </c>
      <c r="H643" s="425">
        <v>0</v>
      </c>
      <c r="J643" s="289"/>
      <c r="K643" s="289"/>
      <c r="L643" s="291"/>
      <c r="M643" s="291"/>
      <c r="N643" s="300"/>
      <c r="O643" s="296"/>
      <c r="P643" s="294"/>
      <c r="Q643" s="294"/>
      <c r="R643" s="295"/>
      <c r="S643" s="302">
        <f t="shared" si="37"/>
        <v>0</v>
      </c>
      <c r="T643" s="302"/>
      <c r="U643" s="303"/>
      <c r="V643" s="305">
        <f t="shared" si="38"/>
        <v>300</v>
      </c>
      <c r="W643" s="305">
        <f t="shared" si="36"/>
        <v>75</v>
      </c>
      <c r="X643" s="288"/>
    </row>
    <row r="644" spans="1:24">
      <c r="A644" s="286">
        <v>87</v>
      </c>
      <c r="C644" s="286" t="s">
        <v>644</v>
      </c>
      <c r="D644" s="286"/>
      <c r="E644" s="286" t="s">
        <v>636</v>
      </c>
      <c r="F644" s="286">
        <v>26</v>
      </c>
      <c r="G644" s="425">
        <v>-71.06</v>
      </c>
      <c r="H644" s="425">
        <v>0</v>
      </c>
      <c r="J644" s="289"/>
      <c r="K644" s="289"/>
      <c r="L644" s="291"/>
      <c r="M644" s="291"/>
      <c r="N644" s="300"/>
      <c r="O644" s="296"/>
      <c r="P644" s="294"/>
      <c r="Q644" s="294"/>
      <c r="R644" s="295"/>
      <c r="S644" s="302">
        <f t="shared" si="37"/>
        <v>0</v>
      </c>
      <c r="T644" s="302"/>
      <c r="U644" s="303"/>
      <c r="V644" s="305">
        <f t="shared" si="38"/>
        <v>0</v>
      </c>
      <c r="W644" s="305" t="str">
        <f t="shared" si="36"/>
        <v xml:space="preserve"> </v>
      </c>
      <c r="X644" s="288"/>
    </row>
    <row r="645" spans="1:24">
      <c r="A645" s="286">
        <v>88</v>
      </c>
      <c r="C645" s="286" t="s">
        <v>619</v>
      </c>
      <c r="D645" s="286" t="s">
        <v>659</v>
      </c>
      <c r="E645" s="286" t="s">
        <v>621</v>
      </c>
      <c r="F645" s="286">
        <f>IF(VLOOKUP(A645,'WP-5 Payroll Data'!$K$11:$O$151,3,FALSE)&gt;26,26,VLOOKUP(A645,'WP-5 Payroll Data'!$K$11:$O$151,3,FALSE))</f>
        <v>26</v>
      </c>
      <c r="G645" s="425">
        <v>38104</v>
      </c>
      <c r="H645" s="425">
        <v>1580.8999999999999</v>
      </c>
      <c r="J645" s="289">
        <f>VLOOKUP(A645,'WP-5 Payroll Data'!$K$11:$O$151,4,FALSE)</f>
        <v>50691.01</v>
      </c>
      <c r="K645" s="289">
        <f>VLOOKUP(A645,'WP-5 Payroll Data'!$K$11:$O$151,5,FALSE)</f>
        <v>2081.1999999999998</v>
      </c>
      <c r="L645" s="289">
        <f>J645/K645</f>
        <v>24.356625985008652</v>
      </c>
      <c r="M645" s="289"/>
      <c r="N645" s="300">
        <f>IF((K645/F645)*26&gt;1500,2080,IF((K645/F645)*26&gt;300,520,IF((K645/F645)*26&gt;100,260,K645)))</f>
        <v>2080</v>
      </c>
      <c r="O645" s="296">
        <f>N645*L645</f>
        <v>50661.782048817993</v>
      </c>
      <c r="P645" s="294"/>
      <c r="Q645" s="294">
        <f>O645*0.03</f>
        <v>1519.8534614645398</v>
      </c>
      <c r="R645" s="295"/>
      <c r="S645" s="302">
        <f t="shared" si="37"/>
        <v>0</v>
      </c>
      <c r="T645" s="302"/>
      <c r="U645" s="303"/>
      <c r="V645" s="305">
        <f t="shared" si="38"/>
        <v>0</v>
      </c>
      <c r="W645" s="305" t="str">
        <f t="shared" si="36"/>
        <v xml:space="preserve"> </v>
      </c>
      <c r="X645" s="288"/>
    </row>
    <row r="646" spans="1:24">
      <c r="A646" s="286">
        <v>88</v>
      </c>
      <c r="C646" s="286" t="s">
        <v>619</v>
      </c>
      <c r="D646" s="286" t="s">
        <v>659</v>
      </c>
      <c r="E646" s="286" t="s">
        <v>622</v>
      </c>
      <c r="F646" s="286">
        <v>27</v>
      </c>
      <c r="G646" s="425">
        <v>992.8</v>
      </c>
      <c r="H646" s="425">
        <v>40</v>
      </c>
      <c r="J646" s="289"/>
      <c r="K646" s="289"/>
      <c r="L646" s="291"/>
      <c r="M646" s="291"/>
      <c r="N646" s="300"/>
      <c r="O646" s="296"/>
      <c r="P646" s="294"/>
      <c r="Q646" s="294"/>
      <c r="R646" s="295"/>
      <c r="S646" s="302">
        <f t="shared" si="37"/>
        <v>0</v>
      </c>
      <c r="T646" s="302"/>
      <c r="U646" s="303"/>
      <c r="V646" s="305">
        <f t="shared" si="38"/>
        <v>0</v>
      </c>
      <c r="W646" s="305" t="str">
        <f t="shared" si="36"/>
        <v xml:space="preserve"> </v>
      </c>
      <c r="X646" s="288"/>
    </row>
    <row r="647" spans="1:24">
      <c r="A647" s="286">
        <v>88</v>
      </c>
      <c r="C647" s="286" t="s">
        <v>619</v>
      </c>
      <c r="D647" s="286" t="s">
        <v>659</v>
      </c>
      <c r="E647" s="286" t="s">
        <v>599</v>
      </c>
      <c r="F647" s="286">
        <v>27</v>
      </c>
      <c r="G647" s="425">
        <v>3558.56</v>
      </c>
      <c r="H647" s="425">
        <v>100</v>
      </c>
      <c r="J647" s="289"/>
      <c r="K647" s="289"/>
      <c r="L647" s="291"/>
      <c r="M647" s="291"/>
      <c r="N647" s="300"/>
      <c r="O647" s="296"/>
      <c r="P647" s="294"/>
      <c r="Q647" s="294"/>
      <c r="R647" s="295"/>
      <c r="S647" s="302">
        <f t="shared" si="37"/>
        <v>3558.56</v>
      </c>
      <c r="T647" s="302">
        <f t="shared" si="39"/>
        <v>106.7568</v>
      </c>
      <c r="U647" s="303"/>
      <c r="V647" s="305">
        <f t="shared" si="38"/>
        <v>0</v>
      </c>
      <c r="W647" s="305" t="str">
        <f t="shared" si="36"/>
        <v xml:space="preserve"> </v>
      </c>
      <c r="X647" s="288"/>
    </row>
    <row r="648" spans="1:24">
      <c r="A648" s="286">
        <v>88</v>
      </c>
      <c r="C648" s="286" t="s">
        <v>619</v>
      </c>
      <c r="D648" s="286" t="s">
        <v>659</v>
      </c>
      <c r="E648" s="286" t="s">
        <v>601</v>
      </c>
      <c r="F648" s="286">
        <v>27</v>
      </c>
      <c r="G648" s="425">
        <v>6751.11</v>
      </c>
      <c r="H648" s="425">
        <v>140.80000000000001</v>
      </c>
      <c r="J648" s="289"/>
      <c r="K648" s="289"/>
      <c r="L648" s="291"/>
      <c r="M648" s="291"/>
      <c r="N648" s="300"/>
      <c r="O648" s="296"/>
      <c r="P648" s="294"/>
      <c r="Q648" s="294"/>
      <c r="R648" s="295"/>
      <c r="S648" s="302">
        <f t="shared" si="37"/>
        <v>6751.11</v>
      </c>
      <c r="T648" s="302">
        <f t="shared" si="39"/>
        <v>202.53329999999997</v>
      </c>
      <c r="U648" s="303"/>
      <c r="V648" s="305">
        <f t="shared" si="38"/>
        <v>0</v>
      </c>
      <c r="W648" s="305" t="str">
        <f t="shared" si="36"/>
        <v xml:space="preserve"> </v>
      </c>
      <c r="X648" s="288"/>
    </row>
    <row r="649" spans="1:24">
      <c r="A649" s="286">
        <v>88</v>
      </c>
      <c r="C649" s="286" t="s">
        <v>619</v>
      </c>
      <c r="D649" s="286" t="s">
        <v>659</v>
      </c>
      <c r="E649" s="286" t="s">
        <v>627</v>
      </c>
      <c r="F649" s="286">
        <v>27</v>
      </c>
      <c r="G649" s="425">
        <v>4065.42</v>
      </c>
      <c r="H649" s="425">
        <v>171</v>
      </c>
      <c r="J649" s="289"/>
      <c r="K649" s="289"/>
      <c r="L649" s="291"/>
      <c r="M649" s="291"/>
      <c r="N649" s="300"/>
      <c r="O649" s="296"/>
      <c r="P649" s="294"/>
      <c r="Q649" s="294"/>
      <c r="R649" s="295"/>
      <c r="S649" s="302">
        <f t="shared" si="37"/>
        <v>0</v>
      </c>
      <c r="T649" s="302"/>
      <c r="U649" s="303"/>
      <c r="V649" s="305">
        <f t="shared" si="38"/>
        <v>0</v>
      </c>
      <c r="W649" s="305" t="str">
        <f t="shared" si="36"/>
        <v xml:space="preserve"> </v>
      </c>
      <c r="X649" s="288"/>
    </row>
    <row r="650" spans="1:24">
      <c r="A650" s="286">
        <v>88</v>
      </c>
      <c r="C650" s="286" t="s">
        <v>619</v>
      </c>
      <c r="D650" s="286" t="s">
        <v>659</v>
      </c>
      <c r="E650" s="286" t="s">
        <v>630</v>
      </c>
      <c r="F650" s="286">
        <v>27</v>
      </c>
      <c r="G650" s="425">
        <v>2998.3299999999995</v>
      </c>
      <c r="H650" s="425">
        <v>124.3</v>
      </c>
      <c r="J650" s="289"/>
      <c r="K650" s="289"/>
      <c r="L650" s="291"/>
      <c r="M650" s="291"/>
      <c r="N650" s="300"/>
      <c r="O650" s="296"/>
      <c r="P650" s="294"/>
      <c r="Q650" s="294"/>
      <c r="R650" s="295"/>
      <c r="S650" s="302">
        <f t="shared" si="37"/>
        <v>0</v>
      </c>
      <c r="T650" s="302"/>
      <c r="U650" s="303"/>
      <c r="V650" s="305">
        <f t="shared" si="38"/>
        <v>0</v>
      </c>
      <c r="W650" s="305" t="str">
        <f t="shared" ref="W650:W713" si="40">IF($E650=$AA$29,-$V650,IF(OR($E650=$AA$18,$E650=$AA$23,$E650=$AA$24,$E650=$AA$26),(($V650/200)*50)," "))</f>
        <v xml:space="preserve"> </v>
      </c>
      <c r="X650" s="288"/>
    </row>
    <row r="651" spans="1:24">
      <c r="A651" s="286">
        <v>88</v>
      </c>
      <c r="C651" s="286" t="s">
        <v>619</v>
      </c>
      <c r="D651" s="286" t="s">
        <v>659</v>
      </c>
      <c r="E651" s="286" t="s">
        <v>633</v>
      </c>
      <c r="F651" s="286">
        <v>27</v>
      </c>
      <c r="G651" s="425">
        <v>2703.2799999999997</v>
      </c>
      <c r="H651" s="425">
        <v>112</v>
      </c>
      <c r="J651" s="289"/>
      <c r="K651" s="289"/>
      <c r="L651" s="291"/>
      <c r="M651" s="291"/>
      <c r="N651" s="300"/>
      <c r="O651" s="296"/>
      <c r="P651" s="294"/>
      <c r="Q651" s="294"/>
      <c r="R651" s="295"/>
      <c r="S651" s="302">
        <f t="shared" ref="S651:S714" si="41">IF(OR($E651=$Y$10,$E651=$Y$11,$E651=$Y$12,$E651=$Y$13),$G651,0)</f>
        <v>0</v>
      </c>
      <c r="T651" s="302"/>
      <c r="U651" s="303"/>
      <c r="V651" s="305">
        <f t="shared" ref="V651:V714" si="42">IF(OR($E651=$AA$10,$E651=$AA$11,$E651=$AA$12,$E651=$AA$13,$E651=$AA$14,$E651=$AA$15,$E651=$AA$16,$E651=$AA$17,$E651=$AA$18,$E651=$AA$19,$E651=$AA$20,$E651=$AA$21,$E651=$AA$22,$E651=$AA$23,$E651=$AA$24,$E651=$AA$25,$E651=$AA$26,$E651=$AA$27,$E651=$AA$28,$E651=$AA$29),G651,0)</f>
        <v>0</v>
      </c>
      <c r="W651" s="305" t="str">
        <f t="shared" si="40"/>
        <v xml:space="preserve"> </v>
      </c>
      <c r="X651" s="288"/>
    </row>
    <row r="652" spans="1:24">
      <c r="A652" s="286">
        <v>88</v>
      </c>
      <c r="C652" s="286" t="s">
        <v>619</v>
      </c>
      <c r="D652" s="286" t="s">
        <v>659</v>
      </c>
      <c r="E652" s="286" t="s">
        <v>634</v>
      </c>
      <c r="F652" s="286">
        <v>27</v>
      </c>
      <c r="G652" s="425">
        <v>1247.6199999999999</v>
      </c>
      <c r="H652" s="425">
        <v>53</v>
      </c>
      <c r="J652" s="289"/>
      <c r="K652" s="289"/>
      <c r="L652" s="291"/>
      <c r="M652" s="291"/>
      <c r="N652" s="300"/>
      <c r="O652" s="296"/>
      <c r="P652" s="294"/>
      <c r="Q652" s="294"/>
      <c r="R652" s="295"/>
      <c r="S652" s="302">
        <f t="shared" si="41"/>
        <v>0</v>
      </c>
      <c r="T652" s="302"/>
      <c r="U652" s="303"/>
      <c r="V652" s="305">
        <f t="shared" si="42"/>
        <v>0</v>
      </c>
      <c r="W652" s="305" t="str">
        <f t="shared" si="40"/>
        <v xml:space="preserve"> </v>
      </c>
      <c r="X652" s="288"/>
    </row>
    <row r="653" spans="1:24">
      <c r="A653" s="286">
        <v>88</v>
      </c>
      <c r="C653" s="286" t="s">
        <v>619</v>
      </c>
      <c r="D653" s="286" t="s">
        <v>659</v>
      </c>
      <c r="E653" s="286" t="s">
        <v>623</v>
      </c>
      <c r="F653" s="286">
        <v>27</v>
      </c>
      <c r="G653" s="425">
        <v>250</v>
      </c>
      <c r="H653" s="425">
        <v>0</v>
      </c>
      <c r="J653" s="289"/>
      <c r="K653" s="289"/>
      <c r="L653" s="291"/>
      <c r="M653" s="291"/>
      <c r="N653" s="300"/>
      <c r="O653" s="296"/>
      <c r="P653" s="294"/>
      <c r="Q653" s="294"/>
      <c r="R653" s="295"/>
      <c r="S653" s="302">
        <f t="shared" si="41"/>
        <v>0</v>
      </c>
      <c r="T653" s="302"/>
      <c r="U653" s="303"/>
      <c r="V653" s="305">
        <f t="shared" si="42"/>
        <v>250</v>
      </c>
      <c r="W653" s="305" t="str">
        <f t="shared" si="40"/>
        <v xml:space="preserve"> </v>
      </c>
      <c r="X653" s="288"/>
    </row>
    <row r="654" spans="1:24">
      <c r="A654" s="286">
        <v>88</v>
      </c>
      <c r="C654" s="286" t="s">
        <v>619</v>
      </c>
      <c r="D654" s="286" t="s">
        <v>659</v>
      </c>
      <c r="E654" s="286" t="s">
        <v>625</v>
      </c>
      <c r="F654" s="286">
        <v>27</v>
      </c>
      <c r="G654" s="425">
        <v>4800</v>
      </c>
      <c r="H654" s="425">
        <v>0</v>
      </c>
      <c r="J654" s="289"/>
      <c r="K654" s="289"/>
      <c r="L654" s="291"/>
      <c r="M654" s="291"/>
      <c r="N654" s="300"/>
      <c r="O654" s="296"/>
      <c r="P654" s="294"/>
      <c r="Q654" s="294"/>
      <c r="R654" s="295"/>
      <c r="S654" s="302">
        <f t="shared" si="41"/>
        <v>0</v>
      </c>
      <c r="T654" s="302"/>
      <c r="U654" s="303"/>
      <c r="V654" s="305">
        <f t="shared" si="42"/>
        <v>4800</v>
      </c>
      <c r="W654" s="305">
        <f t="shared" si="40"/>
        <v>1200</v>
      </c>
      <c r="X654" s="288"/>
    </row>
    <row r="655" spans="1:24">
      <c r="A655" s="286">
        <v>88</v>
      </c>
      <c r="C655" s="286" t="s">
        <v>619</v>
      </c>
      <c r="D655" s="286" t="s">
        <v>659</v>
      </c>
      <c r="E655" s="286" t="s">
        <v>629</v>
      </c>
      <c r="F655" s="286">
        <v>27</v>
      </c>
      <c r="G655" s="425">
        <v>7500</v>
      </c>
      <c r="H655" s="425">
        <v>0</v>
      </c>
      <c r="J655" s="289"/>
      <c r="K655" s="289"/>
      <c r="L655" s="291"/>
      <c r="M655" s="291"/>
      <c r="N655" s="300"/>
      <c r="O655" s="296"/>
      <c r="P655" s="294"/>
      <c r="Q655" s="294"/>
      <c r="R655" s="295"/>
      <c r="S655" s="302">
        <f t="shared" si="41"/>
        <v>0</v>
      </c>
      <c r="T655" s="302"/>
      <c r="U655" s="303"/>
      <c r="V655" s="305">
        <f t="shared" si="42"/>
        <v>7500</v>
      </c>
      <c r="W655" s="305" t="str">
        <f t="shared" si="40"/>
        <v xml:space="preserve"> </v>
      </c>
      <c r="X655" s="288"/>
    </row>
    <row r="656" spans="1:24">
      <c r="A656" s="286">
        <v>88</v>
      </c>
      <c r="C656" s="286" t="s">
        <v>619</v>
      </c>
      <c r="D656" s="286" t="s">
        <v>659</v>
      </c>
      <c r="E656" s="286" t="s">
        <v>636</v>
      </c>
      <c r="F656" s="286">
        <v>27</v>
      </c>
      <c r="G656" s="425">
        <v>579.55999999999995</v>
      </c>
      <c r="H656" s="425">
        <v>0</v>
      </c>
      <c r="J656" s="289"/>
      <c r="K656" s="289"/>
      <c r="L656" s="291"/>
      <c r="M656" s="291"/>
      <c r="N656" s="300"/>
      <c r="O656" s="296"/>
      <c r="P656" s="294"/>
      <c r="Q656" s="294"/>
      <c r="R656" s="295"/>
      <c r="S656" s="302">
        <f t="shared" si="41"/>
        <v>0</v>
      </c>
      <c r="T656" s="302"/>
      <c r="U656" s="303"/>
      <c r="V656" s="305">
        <f t="shared" si="42"/>
        <v>0</v>
      </c>
      <c r="W656" s="305" t="str">
        <f t="shared" si="40"/>
        <v xml:space="preserve"> </v>
      </c>
      <c r="X656" s="288"/>
    </row>
    <row r="657" spans="1:24">
      <c r="A657" s="286">
        <v>88</v>
      </c>
      <c r="C657" s="286" t="s">
        <v>619</v>
      </c>
      <c r="D657" s="286" t="s">
        <v>659</v>
      </c>
      <c r="E657" s="286" t="s">
        <v>632</v>
      </c>
      <c r="F657" s="286">
        <v>27</v>
      </c>
      <c r="G657" s="425">
        <v>13471.66</v>
      </c>
      <c r="H657" s="425">
        <v>0</v>
      </c>
      <c r="J657" s="289"/>
      <c r="K657" s="289"/>
      <c r="L657" s="291"/>
      <c r="M657" s="291"/>
      <c r="N657" s="300"/>
      <c r="O657" s="296"/>
      <c r="P657" s="294"/>
      <c r="Q657" s="294"/>
      <c r="R657" s="295"/>
      <c r="S657" s="302">
        <f t="shared" si="41"/>
        <v>0</v>
      </c>
      <c r="T657" s="302"/>
      <c r="U657" s="303"/>
      <c r="V657" s="305">
        <f t="shared" si="42"/>
        <v>13471.66</v>
      </c>
      <c r="W657" s="305">
        <f t="shared" si="40"/>
        <v>-13471.66</v>
      </c>
      <c r="X657" s="288"/>
    </row>
    <row r="658" spans="1:24">
      <c r="A658" s="286">
        <v>89</v>
      </c>
      <c r="C658" s="286" t="s">
        <v>639</v>
      </c>
      <c r="D658" s="286"/>
      <c r="E658" s="286" t="s">
        <v>598</v>
      </c>
      <c r="F658" s="286">
        <f>IF(VLOOKUP(A658,'WP-5 Payroll Data'!$K$11:$O$151,3,FALSE)&gt;26,26,VLOOKUP(A658,'WP-5 Payroll Data'!$K$11:$O$151,3,FALSE))</f>
        <v>26</v>
      </c>
      <c r="G658" s="424">
        <v>667.99000000000024</v>
      </c>
      <c r="H658" s="425">
        <v>88.40000000000002</v>
      </c>
      <c r="J658" s="289">
        <f>VLOOKUP(A658,'WP-5 Payroll Data'!$K$11:$O$151,4,FALSE)</f>
        <v>667.99000000000024</v>
      </c>
      <c r="K658" s="289">
        <f>VLOOKUP(A658,'WP-5 Payroll Data'!$K$11:$O$151,5,FALSE)</f>
        <v>88.40000000000002</v>
      </c>
      <c r="L658" s="289">
        <f>J658/K658</f>
        <v>7.5564479638009061</v>
      </c>
      <c r="M658" s="289"/>
      <c r="N658" s="300">
        <f>IF((K658/F658)*26&gt;1500,2080,IF((K658/F658)*26&gt;300,520,IF((K658/F658)*26&gt;100,260,K658)))</f>
        <v>88.40000000000002</v>
      </c>
      <c r="O658" s="296">
        <f>N658*L658</f>
        <v>667.99000000000024</v>
      </c>
      <c r="P658" s="294"/>
      <c r="Q658" s="294">
        <f>O658*0.03</f>
        <v>20.039700000000007</v>
      </c>
      <c r="R658" s="295"/>
      <c r="S658" s="302">
        <f t="shared" si="41"/>
        <v>0</v>
      </c>
      <c r="T658" s="302"/>
      <c r="U658" s="303"/>
      <c r="V658" s="305">
        <f t="shared" si="42"/>
        <v>0</v>
      </c>
      <c r="W658" s="305" t="str">
        <f t="shared" si="40"/>
        <v xml:space="preserve"> </v>
      </c>
      <c r="X658" s="288"/>
    </row>
    <row r="659" spans="1:24">
      <c r="A659" s="286">
        <v>90</v>
      </c>
      <c r="C659" s="286" t="s">
        <v>644</v>
      </c>
      <c r="D659" s="286"/>
      <c r="E659" s="286" t="s">
        <v>598</v>
      </c>
      <c r="F659" s="286">
        <f>IF(VLOOKUP(A659,'WP-5 Payroll Data'!$K$11:$O$151,3,FALSE)&gt;26,26,VLOOKUP(A659,'WP-5 Payroll Data'!$K$11:$O$151,3,FALSE))</f>
        <v>4</v>
      </c>
      <c r="G659" s="424">
        <v>970.49999999999989</v>
      </c>
      <c r="H659" s="425">
        <v>64</v>
      </c>
      <c r="J659" s="289">
        <f>VLOOKUP(A659,'WP-5 Payroll Data'!$K$11:$O$151,4,FALSE)</f>
        <v>1061.4899999999998</v>
      </c>
      <c r="K659" s="289">
        <f>VLOOKUP(A659,'WP-5 Payroll Data'!$K$11:$O$151,5,FALSE)</f>
        <v>70</v>
      </c>
      <c r="L659" s="289">
        <f>J659/K659</f>
        <v>15.164142857142854</v>
      </c>
      <c r="M659" s="289"/>
      <c r="N659" s="300">
        <f>IF((K659/F659)*26&gt;1500,2080,IF((K659/F659)*26&gt;300,520,IF((K659/F659)*26&gt;100,260,K659)))</f>
        <v>520</v>
      </c>
      <c r="O659" s="296">
        <f>N659*L659</f>
        <v>7885.3542857142847</v>
      </c>
      <c r="P659" s="294"/>
      <c r="Q659" s="294">
        <f>O659*0.03</f>
        <v>236.56062857142854</v>
      </c>
      <c r="R659" s="295"/>
      <c r="S659" s="302">
        <f t="shared" si="41"/>
        <v>0</v>
      </c>
      <c r="T659" s="302"/>
      <c r="U659" s="303"/>
      <c r="V659" s="305">
        <f t="shared" si="42"/>
        <v>0</v>
      </c>
      <c r="W659" s="305" t="str">
        <f t="shared" si="40"/>
        <v xml:space="preserve"> </v>
      </c>
      <c r="X659" s="288"/>
    </row>
    <row r="660" spans="1:24">
      <c r="A660" s="286">
        <v>90</v>
      </c>
      <c r="C660" s="286" t="s">
        <v>644</v>
      </c>
      <c r="D660" s="286"/>
      <c r="E660" s="286" t="s">
        <v>599</v>
      </c>
      <c r="F660" s="286">
        <v>4</v>
      </c>
      <c r="G660" s="424">
        <v>45.5</v>
      </c>
      <c r="H660" s="425">
        <v>2.0100000000000002</v>
      </c>
      <c r="J660" s="289"/>
      <c r="K660" s="289"/>
      <c r="L660" s="291"/>
      <c r="M660" s="291"/>
      <c r="N660" s="300"/>
      <c r="O660" s="296"/>
      <c r="P660" s="294"/>
      <c r="Q660" s="294"/>
      <c r="R660" s="295"/>
      <c r="S660" s="302">
        <f t="shared" si="41"/>
        <v>45.5</v>
      </c>
      <c r="T660" s="302">
        <f t="shared" ref="T660:T712" si="43">S660*0.03</f>
        <v>1.365</v>
      </c>
      <c r="U660" s="303"/>
      <c r="V660" s="305">
        <f t="shared" si="42"/>
        <v>0</v>
      </c>
      <c r="W660" s="305" t="str">
        <f t="shared" si="40"/>
        <v xml:space="preserve"> </v>
      </c>
      <c r="X660" s="288"/>
    </row>
    <row r="661" spans="1:24">
      <c r="A661" s="286">
        <v>90</v>
      </c>
      <c r="C661" s="286" t="s">
        <v>644</v>
      </c>
      <c r="D661" s="286"/>
      <c r="E661" s="286" t="s">
        <v>610</v>
      </c>
      <c r="F661" s="286">
        <v>4</v>
      </c>
      <c r="G661" s="424">
        <v>90.99</v>
      </c>
      <c r="H661" s="425">
        <v>6</v>
      </c>
      <c r="J661" s="289"/>
      <c r="K661" s="289"/>
      <c r="L661" s="291"/>
      <c r="M661" s="291"/>
      <c r="N661" s="300"/>
      <c r="O661" s="296"/>
      <c r="P661" s="294"/>
      <c r="Q661" s="294"/>
      <c r="R661" s="295"/>
      <c r="S661" s="302">
        <f t="shared" si="41"/>
        <v>0</v>
      </c>
      <c r="T661" s="302"/>
      <c r="U661" s="303"/>
      <c r="V661" s="305">
        <f t="shared" si="42"/>
        <v>0</v>
      </c>
      <c r="W661" s="305" t="str">
        <f t="shared" si="40"/>
        <v xml:space="preserve"> </v>
      </c>
      <c r="X661" s="288"/>
    </row>
    <row r="662" spans="1:24">
      <c r="A662" s="286">
        <v>91</v>
      </c>
      <c r="C662" s="286" t="s">
        <v>639</v>
      </c>
      <c r="D662" s="286"/>
      <c r="E662" s="286" t="s">
        <v>598</v>
      </c>
      <c r="F662" s="286">
        <f>IF(VLOOKUP(A662,'WP-5 Payroll Data'!$K$11:$O$151,3,FALSE)&gt;26,26,VLOOKUP(A662,'WP-5 Payroll Data'!$K$11:$O$151,3,FALSE))</f>
        <v>26</v>
      </c>
      <c r="G662" s="424">
        <v>667.99000000000024</v>
      </c>
      <c r="H662" s="425">
        <v>88.40000000000002</v>
      </c>
      <c r="J662" s="289">
        <f>VLOOKUP(A662,'WP-5 Payroll Data'!$K$11:$O$151,4,FALSE)</f>
        <v>667.99000000000024</v>
      </c>
      <c r="K662" s="289">
        <f>VLOOKUP(A662,'WP-5 Payroll Data'!$K$11:$O$151,5,FALSE)</f>
        <v>88.40000000000002</v>
      </c>
      <c r="L662" s="289">
        <f>J662/K662</f>
        <v>7.5564479638009061</v>
      </c>
      <c r="M662" s="289"/>
      <c r="N662" s="300">
        <f>IF((K662/F662)*26&gt;1500,2080,IF((K662/F662)*26&gt;300,520,IF((K662/F662)*26&gt;100,260,K662)))</f>
        <v>88.40000000000002</v>
      </c>
      <c r="O662" s="296">
        <f>N662*L662</f>
        <v>667.99000000000024</v>
      </c>
      <c r="P662" s="294"/>
      <c r="Q662" s="294">
        <f>O662*0.03</f>
        <v>20.039700000000007</v>
      </c>
      <c r="R662" s="295"/>
      <c r="S662" s="302">
        <f t="shared" si="41"/>
        <v>0</v>
      </c>
      <c r="T662" s="302"/>
      <c r="U662" s="303"/>
      <c r="V662" s="305">
        <f t="shared" si="42"/>
        <v>0</v>
      </c>
      <c r="W662" s="305" t="str">
        <f t="shared" si="40"/>
        <v xml:space="preserve"> </v>
      </c>
      <c r="X662" s="288"/>
    </row>
    <row r="663" spans="1:24">
      <c r="A663" s="286">
        <v>92</v>
      </c>
      <c r="C663" s="286" t="s">
        <v>644</v>
      </c>
      <c r="D663" s="286"/>
      <c r="E663" s="286" t="s">
        <v>598</v>
      </c>
      <c r="F663" s="286">
        <f>IF(VLOOKUP(A663,'WP-5 Payroll Data'!$K$11:$O$151,3,FALSE)&gt;26,26,VLOOKUP(A663,'WP-5 Payroll Data'!$K$11:$O$151,3,FALSE))</f>
        <v>26</v>
      </c>
      <c r="G663" s="425">
        <v>6876.119999999999</v>
      </c>
      <c r="H663" s="425">
        <v>454.03999999999996</v>
      </c>
      <c r="J663" s="289">
        <f>VLOOKUP(A663,'WP-5 Payroll Data'!$K$11:$O$151,4,FALSE)</f>
        <v>7613.0399999999991</v>
      </c>
      <c r="K663" s="289">
        <f>VLOOKUP(A663,'WP-5 Payroll Data'!$K$11:$O$151,5,FALSE)</f>
        <v>502.67999999999995</v>
      </c>
      <c r="L663" s="289">
        <f>J663/K663</f>
        <v>15.14490331821437</v>
      </c>
      <c r="M663" s="289"/>
      <c r="N663" s="300">
        <f>IF((K663/F663)*26&gt;1500,2080,IF((K663/F663)*26&gt;300,520,IF((K663/F663)*26&gt;100,260,K663)))</f>
        <v>520</v>
      </c>
      <c r="O663" s="296">
        <f>N663*L663</f>
        <v>7875.3497254714721</v>
      </c>
      <c r="P663" s="294"/>
      <c r="Q663" s="294">
        <f>O663*0.03</f>
        <v>236.26049176414415</v>
      </c>
      <c r="R663" s="295"/>
      <c r="S663" s="302">
        <f t="shared" si="41"/>
        <v>0</v>
      </c>
      <c r="T663" s="302"/>
      <c r="U663" s="303"/>
      <c r="V663" s="305">
        <f t="shared" si="42"/>
        <v>0</v>
      </c>
      <c r="W663" s="305" t="str">
        <f t="shared" si="40"/>
        <v xml:space="preserve"> </v>
      </c>
      <c r="X663" s="288"/>
    </row>
    <row r="664" spans="1:24">
      <c r="A664" s="286">
        <v>92</v>
      </c>
      <c r="C664" s="286" t="s">
        <v>644</v>
      </c>
      <c r="D664" s="286"/>
      <c r="E664" s="286" t="s">
        <v>599</v>
      </c>
      <c r="F664" s="286">
        <v>26</v>
      </c>
      <c r="G664" s="425">
        <v>128.26</v>
      </c>
      <c r="H664" s="425">
        <v>5.6499999999999995</v>
      </c>
      <c r="J664" s="289"/>
      <c r="K664" s="289"/>
      <c r="L664" s="291"/>
      <c r="M664" s="291"/>
      <c r="N664" s="300"/>
      <c r="O664" s="296"/>
      <c r="P664" s="294"/>
      <c r="Q664" s="294"/>
      <c r="R664" s="295"/>
      <c r="S664" s="302">
        <f t="shared" si="41"/>
        <v>128.26</v>
      </c>
      <c r="T664" s="302">
        <f t="shared" si="43"/>
        <v>3.8477999999999994</v>
      </c>
      <c r="U664" s="303"/>
      <c r="V664" s="305">
        <f t="shared" si="42"/>
        <v>0</v>
      </c>
      <c r="W664" s="305" t="str">
        <f t="shared" si="40"/>
        <v xml:space="preserve"> </v>
      </c>
      <c r="X664" s="288"/>
    </row>
    <row r="665" spans="1:24">
      <c r="A665" s="286">
        <v>92</v>
      </c>
      <c r="C665" s="286" t="s">
        <v>644</v>
      </c>
      <c r="D665" s="286"/>
      <c r="E665" s="286" t="s">
        <v>605</v>
      </c>
      <c r="F665" s="286">
        <v>26</v>
      </c>
      <c r="G665" s="425">
        <v>319.86</v>
      </c>
      <c r="H665" s="425">
        <v>21.14</v>
      </c>
      <c r="J665" s="289"/>
      <c r="K665" s="289"/>
      <c r="L665" s="291"/>
      <c r="M665" s="291"/>
      <c r="N665" s="300"/>
      <c r="O665" s="296"/>
      <c r="P665" s="294"/>
      <c r="Q665" s="294"/>
      <c r="R665" s="295"/>
      <c r="S665" s="302">
        <f t="shared" si="41"/>
        <v>0</v>
      </c>
      <c r="T665" s="302"/>
      <c r="U665" s="303"/>
      <c r="V665" s="305">
        <f t="shared" si="42"/>
        <v>0</v>
      </c>
      <c r="W665" s="305" t="str">
        <f t="shared" si="40"/>
        <v xml:space="preserve"> </v>
      </c>
      <c r="X665" s="288"/>
    </row>
    <row r="666" spans="1:24">
      <c r="A666" s="286">
        <v>92</v>
      </c>
      <c r="C666" s="286" t="s">
        <v>644</v>
      </c>
      <c r="D666" s="286"/>
      <c r="E666" s="286" t="s">
        <v>608</v>
      </c>
      <c r="F666" s="286">
        <v>26</v>
      </c>
      <c r="G666" s="425">
        <v>498.56000000000006</v>
      </c>
      <c r="H666" s="425">
        <v>32.89</v>
      </c>
      <c r="J666" s="289"/>
      <c r="K666" s="289"/>
      <c r="L666" s="291"/>
      <c r="M666" s="291"/>
      <c r="N666" s="300"/>
      <c r="O666" s="296"/>
      <c r="P666" s="294"/>
      <c r="Q666" s="294"/>
      <c r="R666" s="295"/>
      <c r="S666" s="302">
        <f t="shared" si="41"/>
        <v>0</v>
      </c>
      <c r="T666" s="302"/>
      <c r="U666" s="303"/>
      <c r="V666" s="305">
        <f t="shared" si="42"/>
        <v>0</v>
      </c>
      <c r="W666" s="305" t="str">
        <f t="shared" si="40"/>
        <v xml:space="preserve"> </v>
      </c>
      <c r="X666" s="288"/>
    </row>
    <row r="667" spans="1:24">
      <c r="A667" s="286">
        <v>92</v>
      </c>
      <c r="C667" s="286" t="s">
        <v>644</v>
      </c>
      <c r="D667" s="286"/>
      <c r="E667" s="286" t="s">
        <v>610</v>
      </c>
      <c r="F667" s="286">
        <v>26</v>
      </c>
      <c r="G667" s="425">
        <v>90.99</v>
      </c>
      <c r="H667" s="425">
        <v>6</v>
      </c>
      <c r="J667" s="289"/>
      <c r="K667" s="289"/>
      <c r="L667" s="291"/>
      <c r="M667" s="291"/>
      <c r="N667" s="300"/>
      <c r="O667" s="296"/>
      <c r="P667" s="294"/>
      <c r="Q667" s="294"/>
      <c r="R667" s="295"/>
      <c r="S667" s="302">
        <f t="shared" si="41"/>
        <v>0</v>
      </c>
      <c r="T667" s="302"/>
      <c r="U667" s="303"/>
      <c r="V667" s="305">
        <f t="shared" si="42"/>
        <v>0</v>
      </c>
      <c r="W667" s="305" t="str">
        <f t="shared" si="40"/>
        <v xml:space="preserve"> </v>
      </c>
      <c r="X667" s="288"/>
    </row>
    <row r="668" spans="1:24">
      <c r="A668" s="286">
        <v>92</v>
      </c>
      <c r="C668" s="286" t="s">
        <v>644</v>
      </c>
      <c r="D668" s="286"/>
      <c r="E668" s="286" t="s">
        <v>638</v>
      </c>
      <c r="F668" s="286">
        <v>26</v>
      </c>
      <c r="G668" s="425">
        <v>90.99</v>
      </c>
      <c r="H668" s="425">
        <v>6</v>
      </c>
      <c r="J668" s="289"/>
      <c r="K668" s="289"/>
      <c r="L668" s="291"/>
      <c r="M668" s="291"/>
      <c r="N668" s="300"/>
      <c r="O668" s="296"/>
      <c r="P668" s="294"/>
      <c r="Q668" s="294"/>
      <c r="R668" s="295"/>
      <c r="S668" s="302">
        <f t="shared" si="41"/>
        <v>0</v>
      </c>
      <c r="T668" s="302"/>
      <c r="U668" s="303"/>
      <c r="V668" s="305">
        <f t="shared" si="42"/>
        <v>0</v>
      </c>
      <c r="W668" s="305" t="str">
        <f t="shared" si="40"/>
        <v xml:space="preserve"> </v>
      </c>
      <c r="X668" s="288"/>
    </row>
    <row r="669" spans="1:24">
      <c r="A669" s="286">
        <v>92</v>
      </c>
      <c r="C669" s="286" t="s">
        <v>644</v>
      </c>
      <c r="D669" s="286"/>
      <c r="E669" s="286" t="s">
        <v>614</v>
      </c>
      <c r="F669" s="286">
        <v>26</v>
      </c>
      <c r="G669" s="425">
        <v>62.5</v>
      </c>
      <c r="H669" s="425">
        <v>0</v>
      </c>
      <c r="J669" s="289"/>
      <c r="K669" s="289"/>
      <c r="L669" s="291"/>
      <c r="M669" s="291"/>
      <c r="N669" s="300"/>
      <c r="O669" s="296"/>
      <c r="P669" s="294"/>
      <c r="Q669" s="294"/>
      <c r="R669" s="295"/>
      <c r="S669" s="302">
        <f t="shared" si="41"/>
        <v>0</v>
      </c>
      <c r="T669" s="302"/>
      <c r="U669" s="303"/>
      <c r="V669" s="305">
        <f t="shared" si="42"/>
        <v>62.5</v>
      </c>
      <c r="W669" s="305" t="str">
        <f t="shared" si="40"/>
        <v xml:space="preserve"> </v>
      </c>
      <c r="X669" s="288"/>
    </row>
    <row r="670" spans="1:24">
      <c r="A670" s="286">
        <v>92</v>
      </c>
      <c r="C670" s="286" t="s">
        <v>644</v>
      </c>
      <c r="D670" s="286"/>
      <c r="E670" s="286" t="s">
        <v>616</v>
      </c>
      <c r="F670" s="286">
        <v>26</v>
      </c>
      <c r="G670" s="425">
        <v>150</v>
      </c>
      <c r="H670" s="425">
        <v>0</v>
      </c>
      <c r="J670" s="289"/>
      <c r="K670" s="289"/>
      <c r="L670" s="291"/>
      <c r="M670" s="291"/>
      <c r="N670" s="300"/>
      <c r="O670" s="296"/>
      <c r="P670" s="294"/>
      <c r="Q670" s="294"/>
      <c r="R670" s="295"/>
      <c r="S670" s="302">
        <f t="shared" si="41"/>
        <v>0</v>
      </c>
      <c r="T670" s="302"/>
      <c r="U670" s="303"/>
      <c r="V670" s="305">
        <f t="shared" si="42"/>
        <v>150</v>
      </c>
      <c r="W670" s="305">
        <f t="shared" si="40"/>
        <v>37.5</v>
      </c>
      <c r="X670" s="288"/>
    </row>
    <row r="671" spans="1:24">
      <c r="A671" s="286">
        <v>92</v>
      </c>
      <c r="C671" s="286" t="s">
        <v>644</v>
      </c>
      <c r="D671" s="286"/>
      <c r="E671" s="286" t="s">
        <v>643</v>
      </c>
      <c r="F671" s="286">
        <v>26</v>
      </c>
      <c r="G671" s="425">
        <v>-145.94999999999999</v>
      </c>
      <c r="H671" s="425">
        <v>-9.629999999999999</v>
      </c>
      <c r="J671" s="289"/>
      <c r="K671" s="289"/>
      <c r="L671" s="291"/>
      <c r="M671" s="291"/>
      <c r="N671" s="300"/>
      <c r="O671" s="296"/>
      <c r="P671" s="294"/>
      <c r="Q671" s="294"/>
      <c r="R671" s="295"/>
      <c r="S671" s="302">
        <f t="shared" si="41"/>
        <v>0</v>
      </c>
      <c r="T671" s="302"/>
      <c r="U671" s="303"/>
      <c r="V671" s="305">
        <f t="shared" si="42"/>
        <v>0</v>
      </c>
      <c r="W671" s="305" t="str">
        <f t="shared" si="40"/>
        <v xml:space="preserve"> </v>
      </c>
      <c r="X671" s="288"/>
    </row>
    <row r="672" spans="1:24">
      <c r="A672" s="286">
        <v>92</v>
      </c>
      <c r="C672" s="286" t="s">
        <v>644</v>
      </c>
      <c r="D672" s="286"/>
      <c r="E672" s="286" t="s">
        <v>671</v>
      </c>
      <c r="F672" s="286">
        <v>26</v>
      </c>
      <c r="G672" s="425">
        <v>-83.41</v>
      </c>
      <c r="H672" s="425">
        <v>-5.51</v>
      </c>
      <c r="J672" s="289"/>
      <c r="K672" s="289"/>
      <c r="L672" s="291"/>
      <c r="M672" s="291"/>
      <c r="N672" s="300"/>
      <c r="O672" s="296"/>
      <c r="P672" s="294"/>
      <c r="Q672" s="294"/>
      <c r="R672" s="295"/>
      <c r="S672" s="302">
        <f t="shared" si="41"/>
        <v>0</v>
      </c>
      <c r="T672" s="302"/>
      <c r="U672" s="303"/>
      <c r="V672" s="305">
        <f t="shared" si="42"/>
        <v>0</v>
      </c>
      <c r="W672" s="305" t="str">
        <f t="shared" si="40"/>
        <v xml:space="preserve"> </v>
      </c>
      <c r="X672" s="288"/>
    </row>
    <row r="673" spans="1:24">
      <c r="A673" s="286">
        <v>92</v>
      </c>
      <c r="C673" s="286" t="s">
        <v>644</v>
      </c>
      <c r="D673" s="286"/>
      <c r="E673" s="286" t="s">
        <v>676</v>
      </c>
      <c r="F673" s="286">
        <v>26</v>
      </c>
      <c r="G673" s="425">
        <v>-34.119999999999997</v>
      </c>
      <c r="H673" s="425">
        <v>-2.25</v>
      </c>
      <c r="J673" s="289"/>
      <c r="K673" s="289"/>
      <c r="L673" s="291"/>
      <c r="M673" s="291"/>
      <c r="N673" s="300"/>
      <c r="O673" s="296"/>
      <c r="P673" s="294"/>
      <c r="Q673" s="294"/>
      <c r="R673" s="295"/>
      <c r="S673" s="302">
        <f t="shared" si="41"/>
        <v>0</v>
      </c>
      <c r="T673" s="302"/>
      <c r="U673" s="303"/>
      <c r="V673" s="305">
        <f t="shared" si="42"/>
        <v>0</v>
      </c>
      <c r="W673" s="305" t="str">
        <f t="shared" si="40"/>
        <v xml:space="preserve"> </v>
      </c>
      <c r="X673" s="288"/>
    </row>
    <row r="674" spans="1:24">
      <c r="A674" s="286">
        <v>93</v>
      </c>
      <c r="C674" s="286" t="s">
        <v>663</v>
      </c>
      <c r="D674" s="286"/>
      <c r="E674" s="286" t="s">
        <v>648</v>
      </c>
      <c r="F674" s="286">
        <f>IF(VLOOKUP(A674,'WP-5 Payroll Data'!$K$11:$O$151,3,FALSE)&gt;26,26,VLOOKUP(A674,'WP-5 Payroll Data'!$K$11:$O$151,3,FALSE))</f>
        <v>21</v>
      </c>
      <c r="G674" s="424">
        <v>7520.2</v>
      </c>
      <c r="H674" s="425">
        <v>376.01000000000005</v>
      </c>
      <c r="J674" s="289">
        <f>VLOOKUP(A674,'WP-5 Payroll Data'!$K$11:$O$151,4,FALSE)</f>
        <v>7520.2</v>
      </c>
      <c r="K674" s="289">
        <f>VLOOKUP(A674,'WP-5 Payroll Data'!$K$11:$O$151,5,FALSE)</f>
        <v>376.01000000000005</v>
      </c>
      <c r="L674" s="289">
        <f>J674/K674</f>
        <v>19.999999999999996</v>
      </c>
      <c r="M674" s="289"/>
      <c r="N674" s="300">
        <f>IF((K674/F674)*26&gt;1500,2080,IF((K674/F674)*26&gt;300,520,IF((K674/F674)*26&gt;100,260,K674)))</f>
        <v>520</v>
      </c>
      <c r="O674" s="296">
        <f>N674*L674</f>
        <v>10399.999999999998</v>
      </c>
      <c r="P674" s="294"/>
      <c r="Q674" s="294">
        <f>O674*0.03</f>
        <v>311.99999999999994</v>
      </c>
      <c r="R674" s="295"/>
      <c r="S674" s="302">
        <f t="shared" si="41"/>
        <v>0</v>
      </c>
      <c r="T674" s="302"/>
      <c r="U674" s="303"/>
      <c r="V674" s="305">
        <f t="shared" si="42"/>
        <v>0</v>
      </c>
      <c r="W674" s="305" t="str">
        <f t="shared" si="40"/>
        <v xml:space="preserve"> </v>
      </c>
      <c r="X674" s="288"/>
    </row>
    <row r="675" spans="1:24">
      <c r="A675" s="286">
        <v>94</v>
      </c>
      <c r="C675" s="286" t="s">
        <v>619</v>
      </c>
      <c r="D675" s="286" t="s">
        <v>672</v>
      </c>
      <c r="E675" s="286" t="s">
        <v>621</v>
      </c>
      <c r="F675" s="286">
        <f>IF(VLOOKUP(A675,'WP-5 Payroll Data'!$K$11:$O$151,3,FALSE)&gt;26,26,VLOOKUP(A675,'WP-5 Payroll Data'!$K$11:$O$151,3,FALSE))</f>
        <v>26</v>
      </c>
      <c r="G675" s="425">
        <v>10308.269999999995</v>
      </c>
      <c r="H675" s="425">
        <v>405.84000000000003</v>
      </c>
      <c r="J675" s="289">
        <f>VLOOKUP(A675,'WP-5 Payroll Data'!$K$11:$O$151,4,FALSE)</f>
        <v>13202.029999999995</v>
      </c>
      <c r="K675" s="289">
        <f>VLOOKUP(A675,'WP-5 Payroll Data'!$K$11:$O$151,5,FALSE)</f>
        <v>519.90000000000009</v>
      </c>
      <c r="L675" s="289">
        <f>J675/K675</f>
        <v>25.393402577418719</v>
      </c>
      <c r="M675" s="289"/>
      <c r="N675" s="300">
        <f>IF((K675/F675)*26&gt;1500,2080,IF((K675/F675)*26&gt;300,520,IF((K675/F675)*26&gt;100,260,K675)))</f>
        <v>520</v>
      </c>
      <c r="O675" s="296">
        <f>N675*L675</f>
        <v>13204.569340257734</v>
      </c>
      <c r="P675" s="294"/>
      <c r="Q675" s="294">
        <f>O675*0.03</f>
        <v>396.13708020773203</v>
      </c>
      <c r="R675" s="295"/>
      <c r="S675" s="302">
        <f t="shared" si="41"/>
        <v>0</v>
      </c>
      <c r="T675" s="302"/>
      <c r="U675" s="303"/>
      <c r="V675" s="305">
        <f t="shared" si="42"/>
        <v>0</v>
      </c>
      <c r="W675" s="305" t="str">
        <f t="shared" si="40"/>
        <v xml:space="preserve"> </v>
      </c>
      <c r="X675" s="288"/>
    </row>
    <row r="676" spans="1:24">
      <c r="A676" s="286">
        <v>94</v>
      </c>
      <c r="C676" s="286" t="s">
        <v>619</v>
      </c>
      <c r="D676" s="286" t="s">
        <v>672</v>
      </c>
      <c r="E676" s="286" t="s">
        <v>599</v>
      </c>
      <c r="F676" s="286">
        <v>27</v>
      </c>
      <c r="G676" s="425">
        <v>342.71999999999997</v>
      </c>
      <c r="H676" s="425">
        <v>8.9500000000000011</v>
      </c>
      <c r="J676" s="289"/>
      <c r="K676" s="289"/>
      <c r="L676" s="291"/>
      <c r="M676" s="291"/>
      <c r="N676" s="300"/>
      <c r="O676" s="296"/>
      <c r="P676" s="294"/>
      <c r="Q676" s="294"/>
      <c r="R676" s="295"/>
      <c r="S676" s="302">
        <f t="shared" si="41"/>
        <v>342.71999999999997</v>
      </c>
      <c r="T676" s="302">
        <f t="shared" si="43"/>
        <v>10.281599999999999</v>
      </c>
      <c r="U676" s="303"/>
      <c r="V676" s="305">
        <f t="shared" si="42"/>
        <v>0</v>
      </c>
      <c r="W676" s="305" t="str">
        <f t="shared" si="40"/>
        <v xml:space="preserve"> </v>
      </c>
      <c r="X676" s="288"/>
    </row>
    <row r="677" spans="1:24">
      <c r="A677" s="286">
        <v>94</v>
      </c>
      <c r="C677" s="286" t="s">
        <v>619</v>
      </c>
      <c r="D677" s="286" t="s">
        <v>672</v>
      </c>
      <c r="E677" s="286" t="s">
        <v>627</v>
      </c>
      <c r="F677" s="286">
        <v>27</v>
      </c>
      <c r="G677" s="425">
        <v>1195.4100000000001</v>
      </c>
      <c r="H677" s="425">
        <v>47.25</v>
      </c>
      <c r="J677" s="289"/>
      <c r="K677" s="289"/>
      <c r="L677" s="291"/>
      <c r="M677" s="291"/>
      <c r="N677" s="300"/>
      <c r="O677" s="296"/>
      <c r="P677" s="294"/>
      <c r="Q677" s="294"/>
      <c r="R677" s="295"/>
      <c r="S677" s="302">
        <f t="shared" si="41"/>
        <v>0</v>
      </c>
      <c r="T677" s="302"/>
      <c r="U677" s="303"/>
      <c r="V677" s="305">
        <f t="shared" si="42"/>
        <v>0</v>
      </c>
      <c r="W677" s="305" t="str">
        <f t="shared" si="40"/>
        <v xml:space="preserve"> </v>
      </c>
      <c r="X677" s="288"/>
    </row>
    <row r="678" spans="1:24">
      <c r="A678" s="286">
        <v>94</v>
      </c>
      <c r="C678" s="286" t="s">
        <v>619</v>
      </c>
      <c r="D678" s="286" t="s">
        <v>672</v>
      </c>
      <c r="E678" s="286" t="s">
        <v>630</v>
      </c>
      <c r="F678" s="286">
        <v>27</v>
      </c>
      <c r="G678" s="425">
        <v>798.47</v>
      </c>
      <c r="H678" s="425">
        <v>31.310000000000002</v>
      </c>
      <c r="J678" s="289"/>
      <c r="K678" s="289"/>
      <c r="L678" s="291"/>
      <c r="M678" s="291"/>
      <c r="N678" s="300"/>
      <c r="O678" s="296"/>
      <c r="P678" s="294"/>
      <c r="Q678" s="294"/>
      <c r="R678" s="295"/>
      <c r="S678" s="302">
        <f t="shared" si="41"/>
        <v>0</v>
      </c>
      <c r="T678" s="302"/>
      <c r="U678" s="303"/>
      <c r="V678" s="305">
        <f t="shared" si="42"/>
        <v>0</v>
      </c>
      <c r="W678" s="305" t="str">
        <f t="shared" si="40"/>
        <v xml:space="preserve"> </v>
      </c>
      <c r="X678" s="288"/>
    </row>
    <row r="679" spans="1:24">
      <c r="A679" s="286">
        <v>94</v>
      </c>
      <c r="C679" s="286" t="s">
        <v>619</v>
      </c>
      <c r="D679" s="286" t="s">
        <v>672</v>
      </c>
      <c r="E679" s="286" t="s">
        <v>633</v>
      </c>
      <c r="F679" s="286">
        <v>27</v>
      </c>
      <c r="G679" s="425">
        <v>713.50000000000011</v>
      </c>
      <c r="H679" s="425">
        <v>28</v>
      </c>
      <c r="J679" s="289"/>
      <c r="K679" s="289"/>
      <c r="L679" s="291"/>
      <c r="M679" s="291"/>
      <c r="N679" s="300"/>
      <c r="O679" s="296"/>
      <c r="P679" s="294"/>
      <c r="Q679" s="294"/>
      <c r="R679" s="295"/>
      <c r="S679" s="302">
        <f t="shared" si="41"/>
        <v>0</v>
      </c>
      <c r="T679" s="302"/>
      <c r="U679" s="303"/>
      <c r="V679" s="305">
        <f t="shared" si="42"/>
        <v>0</v>
      </c>
      <c r="W679" s="305" t="str">
        <f t="shared" si="40"/>
        <v xml:space="preserve"> </v>
      </c>
      <c r="X679" s="288"/>
    </row>
    <row r="680" spans="1:24">
      <c r="A680" s="286">
        <v>94</v>
      </c>
      <c r="C680" s="286" t="s">
        <v>619</v>
      </c>
      <c r="D680" s="286" t="s">
        <v>672</v>
      </c>
      <c r="E680" s="286" t="s">
        <v>634</v>
      </c>
      <c r="F680" s="286">
        <v>27</v>
      </c>
      <c r="G680" s="425">
        <v>136.68</v>
      </c>
      <c r="H680" s="425">
        <v>5.5</v>
      </c>
      <c r="J680" s="289"/>
      <c r="K680" s="289"/>
      <c r="L680" s="291"/>
      <c r="M680" s="291"/>
      <c r="N680" s="300"/>
      <c r="O680" s="296"/>
      <c r="P680" s="294"/>
      <c r="Q680" s="294"/>
      <c r="R680" s="295"/>
      <c r="S680" s="302">
        <f t="shared" si="41"/>
        <v>0</v>
      </c>
      <c r="T680" s="302"/>
      <c r="U680" s="303"/>
      <c r="V680" s="305">
        <f t="shared" si="42"/>
        <v>0</v>
      </c>
      <c r="W680" s="305" t="str">
        <f t="shared" si="40"/>
        <v xml:space="preserve"> </v>
      </c>
      <c r="X680" s="288"/>
    </row>
    <row r="681" spans="1:24">
      <c r="A681" s="286">
        <v>94</v>
      </c>
      <c r="C681" s="286" t="s">
        <v>619</v>
      </c>
      <c r="D681" s="286" t="s">
        <v>672</v>
      </c>
      <c r="E681" s="286" t="s">
        <v>635</v>
      </c>
      <c r="F681" s="286">
        <v>27</v>
      </c>
      <c r="G681" s="425">
        <v>49.7</v>
      </c>
      <c r="H681" s="425">
        <v>2</v>
      </c>
      <c r="J681" s="289"/>
      <c r="K681" s="289"/>
      <c r="L681" s="291"/>
      <c r="M681" s="291"/>
      <c r="N681" s="300"/>
      <c r="O681" s="296"/>
      <c r="P681" s="294"/>
      <c r="Q681" s="294"/>
      <c r="R681" s="295"/>
      <c r="S681" s="302">
        <f t="shared" si="41"/>
        <v>0</v>
      </c>
      <c r="T681" s="302"/>
      <c r="U681" s="303"/>
      <c r="V681" s="305">
        <f t="shared" si="42"/>
        <v>0</v>
      </c>
      <c r="W681" s="305" t="str">
        <f t="shared" si="40"/>
        <v xml:space="preserve"> </v>
      </c>
      <c r="X681" s="288"/>
    </row>
    <row r="682" spans="1:24">
      <c r="A682" s="286">
        <v>94</v>
      </c>
      <c r="C682" s="286" t="s">
        <v>619</v>
      </c>
      <c r="D682" s="286" t="s">
        <v>672</v>
      </c>
      <c r="E682" s="286" t="s">
        <v>623</v>
      </c>
      <c r="F682" s="286">
        <v>27</v>
      </c>
      <c r="G682" s="425">
        <v>62.5</v>
      </c>
      <c r="H682" s="425">
        <v>0</v>
      </c>
      <c r="J682" s="289"/>
      <c r="K682" s="289"/>
      <c r="L682" s="291"/>
      <c r="M682" s="291"/>
      <c r="N682" s="300"/>
      <c r="O682" s="296"/>
      <c r="P682" s="294"/>
      <c r="Q682" s="294"/>
      <c r="R682" s="295"/>
      <c r="S682" s="302">
        <f t="shared" si="41"/>
        <v>0</v>
      </c>
      <c r="T682" s="302"/>
      <c r="U682" s="303"/>
      <c r="V682" s="305">
        <f t="shared" si="42"/>
        <v>62.5</v>
      </c>
      <c r="W682" s="305" t="str">
        <f t="shared" si="40"/>
        <v xml:space="preserve"> </v>
      </c>
      <c r="X682" s="288"/>
    </row>
    <row r="683" spans="1:24">
      <c r="A683" s="286">
        <v>94</v>
      </c>
      <c r="C683" s="286" t="s">
        <v>619</v>
      </c>
      <c r="D683" s="286" t="s">
        <v>672</v>
      </c>
      <c r="E683" s="286" t="s">
        <v>625</v>
      </c>
      <c r="F683" s="286">
        <v>27</v>
      </c>
      <c r="G683" s="425">
        <v>1400</v>
      </c>
      <c r="H683" s="425">
        <v>0</v>
      </c>
      <c r="J683" s="289"/>
      <c r="K683" s="289"/>
      <c r="L683" s="291"/>
      <c r="M683" s="291"/>
      <c r="N683" s="300"/>
      <c r="O683" s="296"/>
      <c r="P683" s="294"/>
      <c r="Q683" s="294"/>
      <c r="R683" s="295"/>
      <c r="S683" s="302">
        <f t="shared" si="41"/>
        <v>0</v>
      </c>
      <c r="T683" s="302"/>
      <c r="U683" s="303"/>
      <c r="V683" s="305">
        <f t="shared" si="42"/>
        <v>1400</v>
      </c>
      <c r="W683" s="305">
        <f t="shared" si="40"/>
        <v>350</v>
      </c>
      <c r="X683" s="288"/>
    </row>
    <row r="684" spans="1:24">
      <c r="A684" s="286">
        <v>94</v>
      </c>
      <c r="C684" s="286" t="s">
        <v>619</v>
      </c>
      <c r="D684" s="286" t="s">
        <v>672</v>
      </c>
      <c r="E684" s="286" t="s">
        <v>626</v>
      </c>
      <c r="F684" s="286">
        <v>27</v>
      </c>
      <c r="G684" s="425">
        <v>290.95</v>
      </c>
      <c r="H684" s="425">
        <v>0</v>
      </c>
      <c r="J684" s="289"/>
      <c r="K684" s="289"/>
      <c r="L684" s="291"/>
      <c r="M684" s="291"/>
      <c r="N684" s="300"/>
      <c r="O684" s="296"/>
      <c r="P684" s="294"/>
      <c r="Q684" s="294"/>
      <c r="R684" s="295"/>
      <c r="S684" s="302">
        <f t="shared" si="41"/>
        <v>0</v>
      </c>
      <c r="T684" s="302"/>
      <c r="U684" s="303"/>
      <c r="V684" s="305">
        <f t="shared" si="42"/>
        <v>290.95</v>
      </c>
      <c r="W684" s="305" t="str">
        <f t="shared" si="40"/>
        <v xml:space="preserve"> </v>
      </c>
      <c r="X684" s="288"/>
    </row>
    <row r="685" spans="1:24">
      <c r="A685" s="286">
        <v>94</v>
      </c>
      <c r="C685" s="286" t="s">
        <v>619</v>
      </c>
      <c r="D685" s="286" t="s">
        <v>672</v>
      </c>
      <c r="E685" s="286" t="s">
        <v>632</v>
      </c>
      <c r="F685" s="286">
        <v>27</v>
      </c>
      <c r="G685" s="425">
        <v>2390.69</v>
      </c>
      <c r="H685" s="425">
        <v>0</v>
      </c>
      <c r="J685" s="289"/>
      <c r="K685" s="289"/>
      <c r="L685" s="291"/>
      <c r="M685" s="291"/>
      <c r="N685" s="300"/>
      <c r="O685" s="296"/>
      <c r="P685" s="294"/>
      <c r="Q685" s="294"/>
      <c r="R685" s="295"/>
      <c r="S685" s="302">
        <f t="shared" si="41"/>
        <v>0</v>
      </c>
      <c r="T685" s="302"/>
      <c r="U685" s="303"/>
      <c r="V685" s="305">
        <f t="shared" si="42"/>
        <v>2390.69</v>
      </c>
      <c r="W685" s="305">
        <f t="shared" si="40"/>
        <v>-2390.69</v>
      </c>
      <c r="X685" s="288"/>
    </row>
    <row r="686" spans="1:24">
      <c r="A686" s="286">
        <v>95</v>
      </c>
      <c r="C686" s="286" t="s">
        <v>619</v>
      </c>
      <c r="D686" s="286" t="s">
        <v>677</v>
      </c>
      <c r="E686" s="286" t="s">
        <v>621</v>
      </c>
      <c r="F686" s="286">
        <f>IF(VLOOKUP(A686,'WP-5 Payroll Data'!$K$11:$O$151,3,FALSE)&gt;26,26,VLOOKUP(A686,'WP-5 Payroll Data'!$K$11:$O$151,3,FALSE))</f>
        <v>26</v>
      </c>
      <c r="G686" s="425">
        <v>47754.780000000013</v>
      </c>
      <c r="H686" s="425">
        <v>1636</v>
      </c>
      <c r="J686" s="289">
        <f>VLOOKUP(A686,'WP-5 Payroll Data'!$K$11:$O$151,4,FALSE)</f>
        <v>61406.100000000013</v>
      </c>
      <c r="K686" s="289">
        <f>VLOOKUP(A686,'WP-5 Payroll Data'!$K$11:$O$151,5,FALSE)</f>
        <v>2080</v>
      </c>
      <c r="L686" s="289">
        <f>J686/K686</f>
        <v>29.522163461538469</v>
      </c>
      <c r="M686" s="289"/>
      <c r="N686" s="300">
        <f>IF((K686/F686)*26&gt;1500,2080,IF((K686/F686)*26&gt;300,520,IF((K686/F686)*26&gt;100,260,K686)))</f>
        <v>2080</v>
      </c>
      <c r="O686" s="296">
        <f>N686*L686</f>
        <v>61406.100000000013</v>
      </c>
      <c r="P686" s="294"/>
      <c r="Q686" s="294">
        <f>O686*0.03</f>
        <v>1842.1830000000002</v>
      </c>
      <c r="R686" s="295"/>
      <c r="S686" s="302">
        <f t="shared" si="41"/>
        <v>0</v>
      </c>
      <c r="T686" s="302"/>
      <c r="U686" s="303"/>
      <c r="V686" s="305">
        <f t="shared" si="42"/>
        <v>0</v>
      </c>
      <c r="W686" s="305" t="str">
        <f t="shared" si="40"/>
        <v xml:space="preserve"> </v>
      </c>
      <c r="X686" s="288"/>
    </row>
    <row r="687" spans="1:24">
      <c r="A687" s="286">
        <v>95</v>
      </c>
      <c r="C687" s="286" t="s">
        <v>619</v>
      </c>
      <c r="D687" s="286" t="s">
        <v>677</v>
      </c>
      <c r="E687" s="286" t="s">
        <v>599</v>
      </c>
      <c r="F687" s="286">
        <v>27</v>
      </c>
      <c r="G687" s="425">
        <v>4636.68</v>
      </c>
      <c r="H687" s="425">
        <v>106.3</v>
      </c>
      <c r="J687" s="289"/>
      <c r="K687" s="289"/>
      <c r="L687" s="291"/>
      <c r="M687" s="291"/>
      <c r="N687" s="300"/>
      <c r="O687" s="296"/>
      <c r="P687" s="294"/>
      <c r="Q687" s="294"/>
      <c r="R687" s="295"/>
      <c r="S687" s="302">
        <f t="shared" si="41"/>
        <v>4636.68</v>
      </c>
      <c r="T687" s="302">
        <f t="shared" si="43"/>
        <v>139.10040000000001</v>
      </c>
      <c r="U687" s="303"/>
      <c r="V687" s="305">
        <f t="shared" si="42"/>
        <v>0</v>
      </c>
      <c r="W687" s="305" t="str">
        <f t="shared" si="40"/>
        <v xml:space="preserve"> </v>
      </c>
      <c r="X687" s="288"/>
    </row>
    <row r="688" spans="1:24">
      <c r="A688" s="286">
        <v>95</v>
      </c>
      <c r="C688" s="286" t="s">
        <v>619</v>
      </c>
      <c r="D688" s="286" t="s">
        <v>677</v>
      </c>
      <c r="E688" s="286" t="s">
        <v>601</v>
      </c>
      <c r="F688" s="286">
        <v>27</v>
      </c>
      <c r="G688" s="425">
        <v>11750.060000000001</v>
      </c>
      <c r="H688" s="425">
        <v>206.10000000000002</v>
      </c>
      <c r="J688" s="289"/>
      <c r="K688" s="289"/>
      <c r="L688" s="291"/>
      <c r="M688" s="291"/>
      <c r="N688" s="300"/>
      <c r="O688" s="296"/>
      <c r="P688" s="294"/>
      <c r="Q688" s="294"/>
      <c r="R688" s="295"/>
      <c r="S688" s="302">
        <f t="shared" si="41"/>
        <v>11750.060000000001</v>
      </c>
      <c r="T688" s="302">
        <f t="shared" si="43"/>
        <v>352.5018</v>
      </c>
      <c r="U688" s="303"/>
      <c r="V688" s="305">
        <f t="shared" si="42"/>
        <v>0</v>
      </c>
      <c r="W688" s="305" t="str">
        <f t="shared" si="40"/>
        <v xml:space="preserve"> </v>
      </c>
      <c r="X688" s="288"/>
    </row>
    <row r="689" spans="1:24">
      <c r="A689" s="286">
        <v>95</v>
      </c>
      <c r="C689" s="286" t="s">
        <v>619</v>
      </c>
      <c r="D689" s="286" t="s">
        <v>677</v>
      </c>
      <c r="E689" s="286" t="s">
        <v>603</v>
      </c>
      <c r="F689" s="286">
        <v>27</v>
      </c>
      <c r="G689" s="425">
        <v>396.96</v>
      </c>
      <c r="H689" s="425">
        <v>8</v>
      </c>
      <c r="J689" s="289"/>
      <c r="K689" s="289"/>
      <c r="L689" s="291"/>
      <c r="M689" s="291"/>
      <c r="N689" s="300"/>
      <c r="O689" s="296"/>
      <c r="P689" s="294"/>
      <c r="Q689" s="294"/>
      <c r="R689" s="295"/>
      <c r="S689" s="302">
        <f t="shared" si="41"/>
        <v>396.96</v>
      </c>
      <c r="T689" s="302">
        <f t="shared" si="43"/>
        <v>11.908799999999999</v>
      </c>
      <c r="U689" s="303"/>
      <c r="V689" s="305">
        <f t="shared" si="42"/>
        <v>0</v>
      </c>
      <c r="W689" s="305" t="str">
        <f t="shared" si="40"/>
        <v xml:space="preserve"> </v>
      </c>
      <c r="X689" s="288"/>
    </row>
    <row r="690" spans="1:24">
      <c r="A690" s="286">
        <v>95</v>
      </c>
      <c r="C690" s="286" t="s">
        <v>619</v>
      </c>
      <c r="D690" s="286" t="s">
        <v>677</v>
      </c>
      <c r="E690" s="286" t="s">
        <v>627</v>
      </c>
      <c r="F690" s="286">
        <v>27</v>
      </c>
      <c r="G690" s="425">
        <v>4005.76</v>
      </c>
      <c r="H690" s="425">
        <v>128</v>
      </c>
      <c r="J690" s="289"/>
      <c r="K690" s="289"/>
      <c r="L690" s="291"/>
      <c r="M690" s="291"/>
      <c r="N690" s="300"/>
      <c r="O690" s="296"/>
      <c r="P690" s="294"/>
      <c r="Q690" s="294"/>
      <c r="R690" s="295"/>
      <c r="S690" s="302">
        <f t="shared" si="41"/>
        <v>0</v>
      </c>
      <c r="T690" s="302"/>
      <c r="U690" s="303"/>
      <c r="V690" s="305">
        <f t="shared" si="42"/>
        <v>0</v>
      </c>
      <c r="W690" s="305" t="str">
        <f t="shared" si="40"/>
        <v xml:space="preserve"> </v>
      </c>
      <c r="X690" s="288"/>
    </row>
    <row r="691" spans="1:24">
      <c r="A691" s="286">
        <v>95</v>
      </c>
      <c r="C691" s="286" t="s">
        <v>619</v>
      </c>
      <c r="D691" s="286" t="s">
        <v>677</v>
      </c>
      <c r="E691" s="286" t="s">
        <v>606</v>
      </c>
      <c r="F691" s="286">
        <v>27</v>
      </c>
      <c r="G691" s="425">
        <v>6743.68</v>
      </c>
      <c r="H691" s="425">
        <v>109.3</v>
      </c>
      <c r="J691" s="289"/>
      <c r="K691" s="289"/>
      <c r="L691" s="291"/>
      <c r="M691" s="291"/>
      <c r="N691" s="300"/>
      <c r="O691" s="296"/>
      <c r="P691" s="294"/>
      <c r="Q691" s="294"/>
      <c r="R691" s="295"/>
      <c r="S691" s="302">
        <f t="shared" si="41"/>
        <v>6743.68</v>
      </c>
      <c r="T691" s="302">
        <f t="shared" si="43"/>
        <v>202.31039999999999</v>
      </c>
      <c r="U691" s="303"/>
      <c r="V691" s="305">
        <f t="shared" si="42"/>
        <v>0</v>
      </c>
      <c r="W691" s="305" t="str">
        <f t="shared" si="40"/>
        <v xml:space="preserve"> </v>
      </c>
      <c r="X691" s="288"/>
    </row>
    <row r="692" spans="1:24">
      <c r="A692" s="286">
        <v>95</v>
      </c>
      <c r="C692" s="286" t="s">
        <v>619</v>
      </c>
      <c r="D692" s="286" t="s">
        <v>677</v>
      </c>
      <c r="E692" s="286" t="s">
        <v>630</v>
      </c>
      <c r="F692" s="286">
        <v>27</v>
      </c>
      <c r="G692" s="425">
        <v>5397.2400000000016</v>
      </c>
      <c r="H692" s="425">
        <v>180</v>
      </c>
      <c r="J692" s="289"/>
      <c r="K692" s="289"/>
      <c r="L692" s="291"/>
      <c r="M692" s="291"/>
      <c r="N692" s="300"/>
      <c r="O692" s="296"/>
      <c r="P692" s="294"/>
      <c r="Q692" s="294"/>
      <c r="R692" s="295"/>
      <c r="S692" s="302">
        <f t="shared" si="41"/>
        <v>0</v>
      </c>
      <c r="T692" s="302"/>
      <c r="U692" s="303"/>
      <c r="V692" s="305">
        <f t="shared" si="42"/>
        <v>0</v>
      </c>
      <c r="W692" s="305" t="str">
        <f t="shared" si="40"/>
        <v xml:space="preserve"> </v>
      </c>
      <c r="X692" s="288"/>
    </row>
    <row r="693" spans="1:24">
      <c r="A693" s="286">
        <v>95</v>
      </c>
      <c r="C693" s="286" t="s">
        <v>619</v>
      </c>
      <c r="D693" s="286" t="s">
        <v>677</v>
      </c>
      <c r="E693" s="286" t="s">
        <v>633</v>
      </c>
      <c r="F693" s="286">
        <v>27</v>
      </c>
      <c r="G693" s="425">
        <v>3312.6399999999994</v>
      </c>
      <c r="H693" s="425">
        <v>112</v>
      </c>
      <c r="J693" s="289"/>
      <c r="K693" s="289"/>
      <c r="L693" s="291"/>
      <c r="M693" s="291"/>
      <c r="N693" s="300"/>
      <c r="O693" s="296"/>
      <c r="P693" s="294"/>
      <c r="Q693" s="294"/>
      <c r="R693" s="295"/>
      <c r="S693" s="302">
        <f t="shared" si="41"/>
        <v>0</v>
      </c>
      <c r="T693" s="302"/>
      <c r="U693" s="303"/>
      <c r="V693" s="305">
        <f t="shared" si="42"/>
        <v>0</v>
      </c>
      <c r="W693" s="305" t="str">
        <f t="shared" si="40"/>
        <v xml:space="preserve"> </v>
      </c>
      <c r="X693" s="288"/>
    </row>
    <row r="694" spans="1:24">
      <c r="A694" s="286">
        <v>95</v>
      </c>
      <c r="C694" s="286" t="s">
        <v>619</v>
      </c>
      <c r="D694" s="286" t="s">
        <v>677</v>
      </c>
      <c r="E694" s="286" t="s">
        <v>634</v>
      </c>
      <c r="F694" s="286">
        <v>27</v>
      </c>
      <c r="G694" s="425">
        <v>667.68000000000006</v>
      </c>
      <c r="H694" s="425">
        <v>24</v>
      </c>
      <c r="J694" s="289"/>
      <c r="K694" s="289"/>
      <c r="L694" s="291"/>
      <c r="M694" s="291"/>
      <c r="N694" s="300"/>
      <c r="O694" s="296"/>
      <c r="P694" s="294"/>
      <c r="Q694" s="294"/>
      <c r="R694" s="295"/>
      <c r="S694" s="302">
        <f t="shared" si="41"/>
        <v>0</v>
      </c>
      <c r="T694" s="302"/>
      <c r="U694" s="303"/>
      <c r="V694" s="305">
        <f t="shared" si="42"/>
        <v>0</v>
      </c>
      <c r="W694" s="305" t="str">
        <f t="shared" si="40"/>
        <v xml:space="preserve"> </v>
      </c>
      <c r="X694" s="288"/>
    </row>
    <row r="695" spans="1:24">
      <c r="A695" s="286">
        <v>95</v>
      </c>
      <c r="C695" s="286" t="s">
        <v>619</v>
      </c>
      <c r="D695" s="286" t="s">
        <v>677</v>
      </c>
      <c r="E695" s="286" t="s">
        <v>623</v>
      </c>
      <c r="F695" s="286">
        <v>27</v>
      </c>
      <c r="G695" s="425">
        <v>250</v>
      </c>
      <c r="H695" s="425">
        <v>0</v>
      </c>
      <c r="J695" s="289"/>
      <c r="K695" s="289"/>
      <c r="L695" s="291"/>
      <c r="M695" s="291"/>
      <c r="N695" s="300"/>
      <c r="O695" s="296"/>
      <c r="P695" s="294"/>
      <c r="Q695" s="294"/>
      <c r="R695" s="295"/>
      <c r="S695" s="302">
        <f t="shared" si="41"/>
        <v>0</v>
      </c>
      <c r="T695" s="302"/>
      <c r="U695" s="303"/>
      <c r="V695" s="305">
        <f t="shared" si="42"/>
        <v>250</v>
      </c>
      <c r="W695" s="305" t="str">
        <f t="shared" si="40"/>
        <v xml:space="preserve"> </v>
      </c>
      <c r="X695" s="288"/>
    </row>
    <row r="696" spans="1:24">
      <c r="A696" s="286">
        <v>95</v>
      </c>
      <c r="C696" s="286" t="s">
        <v>619</v>
      </c>
      <c r="D696" s="286" t="s">
        <v>677</v>
      </c>
      <c r="E696" s="286" t="s">
        <v>625</v>
      </c>
      <c r="F696" s="286">
        <v>27</v>
      </c>
      <c r="G696" s="425">
        <v>1800</v>
      </c>
      <c r="H696" s="425">
        <v>0</v>
      </c>
      <c r="J696" s="289"/>
      <c r="K696" s="289"/>
      <c r="L696" s="291"/>
      <c r="M696" s="291"/>
      <c r="N696" s="300"/>
      <c r="O696" s="296"/>
      <c r="P696" s="294"/>
      <c r="Q696" s="294"/>
      <c r="R696" s="295"/>
      <c r="S696" s="302">
        <f t="shared" si="41"/>
        <v>0</v>
      </c>
      <c r="T696" s="302"/>
      <c r="U696" s="303"/>
      <c r="V696" s="305">
        <f t="shared" si="42"/>
        <v>1800</v>
      </c>
      <c r="W696" s="305">
        <f t="shared" si="40"/>
        <v>450</v>
      </c>
      <c r="X696" s="288"/>
    </row>
    <row r="697" spans="1:24">
      <c r="A697" s="286">
        <v>95</v>
      </c>
      <c r="C697" s="286" t="s">
        <v>619</v>
      </c>
      <c r="D697" s="286" t="s">
        <v>677</v>
      </c>
      <c r="E697" s="286" t="s">
        <v>629</v>
      </c>
      <c r="F697" s="286">
        <v>27</v>
      </c>
      <c r="G697" s="425">
        <v>6500</v>
      </c>
      <c r="H697" s="425">
        <v>0</v>
      </c>
      <c r="J697" s="289"/>
      <c r="K697" s="289"/>
      <c r="L697" s="291"/>
      <c r="M697" s="291"/>
      <c r="N697" s="300"/>
      <c r="O697" s="296"/>
      <c r="P697" s="294"/>
      <c r="Q697" s="294"/>
      <c r="R697" s="295"/>
      <c r="S697" s="302">
        <f t="shared" si="41"/>
        <v>0</v>
      </c>
      <c r="T697" s="302"/>
      <c r="U697" s="303"/>
      <c r="V697" s="305">
        <f t="shared" si="42"/>
        <v>6500</v>
      </c>
      <c r="W697" s="305" t="str">
        <f t="shared" si="40"/>
        <v xml:space="preserve"> </v>
      </c>
      <c r="X697" s="288"/>
    </row>
    <row r="698" spans="1:24">
      <c r="A698" s="286">
        <v>95</v>
      </c>
      <c r="C698" s="286" t="s">
        <v>619</v>
      </c>
      <c r="D698" s="286" t="s">
        <v>677</v>
      </c>
      <c r="E698" s="286" t="s">
        <v>636</v>
      </c>
      <c r="F698" s="286">
        <v>27</v>
      </c>
      <c r="G698" s="425">
        <v>268</v>
      </c>
      <c r="H698" s="425">
        <v>0</v>
      </c>
      <c r="J698" s="289"/>
      <c r="K698" s="289"/>
      <c r="L698" s="291"/>
      <c r="M698" s="291"/>
      <c r="N698" s="300"/>
      <c r="O698" s="296"/>
      <c r="P698" s="294"/>
      <c r="Q698" s="294"/>
      <c r="R698" s="295"/>
      <c r="S698" s="302">
        <f t="shared" si="41"/>
        <v>0</v>
      </c>
      <c r="T698" s="302"/>
      <c r="U698" s="303"/>
      <c r="V698" s="305">
        <f t="shared" si="42"/>
        <v>0</v>
      </c>
      <c r="W698" s="305" t="str">
        <f t="shared" si="40"/>
        <v xml:space="preserve"> </v>
      </c>
      <c r="X698" s="288"/>
    </row>
    <row r="699" spans="1:24">
      <c r="A699" s="286">
        <v>95</v>
      </c>
      <c r="C699" s="286" t="s">
        <v>619</v>
      </c>
      <c r="D699" s="286" t="s">
        <v>677</v>
      </c>
      <c r="E699" s="286" t="s">
        <v>632</v>
      </c>
      <c r="F699" s="286">
        <v>27</v>
      </c>
      <c r="G699" s="425">
        <v>10534.13</v>
      </c>
      <c r="H699" s="425">
        <v>0</v>
      </c>
      <c r="J699" s="289"/>
      <c r="K699" s="289"/>
      <c r="L699" s="291"/>
      <c r="M699" s="291"/>
      <c r="N699" s="300"/>
      <c r="O699" s="296"/>
      <c r="P699" s="294"/>
      <c r="Q699" s="294"/>
      <c r="R699" s="295"/>
      <c r="S699" s="302">
        <f t="shared" si="41"/>
        <v>0</v>
      </c>
      <c r="T699" s="302"/>
      <c r="U699" s="303"/>
      <c r="V699" s="305">
        <f t="shared" si="42"/>
        <v>10534.13</v>
      </c>
      <c r="W699" s="305">
        <f t="shared" si="40"/>
        <v>-10534.13</v>
      </c>
      <c r="X699" s="288"/>
    </row>
    <row r="700" spans="1:24">
      <c r="A700" s="286">
        <v>96</v>
      </c>
      <c r="C700" s="286" t="s">
        <v>644</v>
      </c>
      <c r="D700" s="286"/>
      <c r="E700" s="286" t="s">
        <v>598</v>
      </c>
      <c r="F700" s="286">
        <f>IF(VLOOKUP(A700,'WP-5 Payroll Data'!$K$11:$O$151,3,FALSE)&gt;26,26,VLOOKUP(A700,'WP-5 Payroll Data'!$K$11:$O$151,3,FALSE))</f>
        <v>26</v>
      </c>
      <c r="G700" s="425">
        <v>7149.4799999999987</v>
      </c>
      <c r="H700" s="425">
        <v>472</v>
      </c>
      <c r="J700" s="289">
        <f>VLOOKUP(A700,'WP-5 Payroll Data'!$K$11:$O$151,4,FALSE)</f>
        <v>7876.4799999999987</v>
      </c>
      <c r="K700" s="289">
        <f>VLOOKUP(A700,'WP-5 Payroll Data'!$K$11:$O$151,5,FALSE)</f>
        <v>520.02</v>
      </c>
      <c r="L700" s="289">
        <f>J700/K700</f>
        <v>15.14649436560132</v>
      </c>
      <c r="M700" s="289"/>
      <c r="N700" s="300">
        <f>IF((K700/F700)*26&gt;1500,2080,IF((K700/F700)*26&gt;300,520,IF((K700/F700)*26&gt;100,260,K700)))</f>
        <v>520</v>
      </c>
      <c r="O700" s="296">
        <f>N700*L700</f>
        <v>7876.177070112687</v>
      </c>
      <c r="P700" s="294"/>
      <c r="Q700" s="294">
        <f>O700*0.03</f>
        <v>236.28531210338059</v>
      </c>
      <c r="R700" s="295"/>
      <c r="S700" s="302">
        <f t="shared" si="41"/>
        <v>0</v>
      </c>
      <c r="T700" s="302"/>
      <c r="U700" s="303"/>
      <c r="V700" s="305">
        <f t="shared" si="42"/>
        <v>0</v>
      </c>
      <c r="W700" s="305" t="str">
        <f t="shared" si="40"/>
        <v xml:space="preserve"> </v>
      </c>
      <c r="X700" s="288"/>
    </row>
    <row r="701" spans="1:24">
      <c r="A701" s="286">
        <v>96</v>
      </c>
      <c r="C701" s="286" t="s">
        <v>644</v>
      </c>
      <c r="D701" s="286"/>
      <c r="E701" s="286" t="s">
        <v>599</v>
      </c>
      <c r="F701" s="286">
        <v>26</v>
      </c>
      <c r="G701" s="425">
        <v>701.19999999999993</v>
      </c>
      <c r="H701" s="425">
        <v>30.909999999999997</v>
      </c>
      <c r="J701" s="289"/>
      <c r="K701" s="289"/>
      <c r="L701" s="291"/>
      <c r="M701" s="291"/>
      <c r="N701" s="300"/>
      <c r="O701" s="296"/>
      <c r="P701" s="294"/>
      <c r="Q701" s="294"/>
      <c r="R701" s="295"/>
      <c r="S701" s="302">
        <f t="shared" si="41"/>
        <v>701.19999999999993</v>
      </c>
      <c r="T701" s="302">
        <f t="shared" si="43"/>
        <v>21.035999999999998</v>
      </c>
      <c r="U701" s="303"/>
      <c r="V701" s="305">
        <f t="shared" si="42"/>
        <v>0</v>
      </c>
      <c r="W701" s="305" t="str">
        <f t="shared" si="40"/>
        <v xml:space="preserve"> </v>
      </c>
      <c r="X701" s="288"/>
    </row>
    <row r="702" spans="1:24">
      <c r="A702" s="286">
        <v>96</v>
      </c>
      <c r="C702" s="286" t="s">
        <v>644</v>
      </c>
      <c r="D702" s="286"/>
      <c r="E702" s="286" t="s">
        <v>605</v>
      </c>
      <c r="F702" s="286">
        <v>26</v>
      </c>
      <c r="G702" s="425">
        <v>252.11999999999995</v>
      </c>
      <c r="H702" s="425">
        <v>16.63</v>
      </c>
      <c r="J702" s="289"/>
      <c r="K702" s="289"/>
      <c r="L702" s="291"/>
      <c r="M702" s="291"/>
      <c r="N702" s="300"/>
      <c r="O702" s="296"/>
      <c r="P702" s="294"/>
      <c r="Q702" s="294"/>
      <c r="R702" s="295"/>
      <c r="S702" s="302">
        <f t="shared" si="41"/>
        <v>0</v>
      </c>
      <c r="T702" s="302"/>
      <c r="U702" s="303"/>
      <c r="V702" s="305">
        <f t="shared" si="42"/>
        <v>0</v>
      </c>
      <c r="W702" s="305" t="str">
        <f t="shared" si="40"/>
        <v xml:space="preserve"> </v>
      </c>
      <c r="X702" s="288"/>
    </row>
    <row r="703" spans="1:24">
      <c r="A703" s="286">
        <v>96</v>
      </c>
      <c r="C703" s="286" t="s">
        <v>644</v>
      </c>
      <c r="D703" s="286"/>
      <c r="E703" s="286" t="s">
        <v>608</v>
      </c>
      <c r="F703" s="286">
        <v>26</v>
      </c>
      <c r="G703" s="425">
        <v>390.85999999999996</v>
      </c>
      <c r="H703" s="425">
        <v>25.830000000000002</v>
      </c>
      <c r="J703" s="289"/>
      <c r="K703" s="289"/>
      <c r="L703" s="291"/>
      <c r="M703" s="291"/>
      <c r="N703" s="300"/>
      <c r="O703" s="296"/>
      <c r="P703" s="294"/>
      <c r="Q703" s="294"/>
      <c r="R703" s="295"/>
      <c r="S703" s="302">
        <f t="shared" si="41"/>
        <v>0</v>
      </c>
      <c r="T703" s="302"/>
      <c r="U703" s="303"/>
      <c r="V703" s="305">
        <f t="shared" si="42"/>
        <v>0</v>
      </c>
      <c r="W703" s="305" t="str">
        <f t="shared" si="40"/>
        <v xml:space="preserve"> </v>
      </c>
      <c r="X703" s="288"/>
    </row>
    <row r="704" spans="1:24">
      <c r="A704" s="286">
        <v>96</v>
      </c>
      <c r="C704" s="286" t="s">
        <v>644</v>
      </c>
      <c r="D704" s="286"/>
      <c r="E704" s="286" t="s">
        <v>610</v>
      </c>
      <c r="F704" s="286">
        <v>26</v>
      </c>
      <c r="G704" s="425">
        <v>84.02</v>
      </c>
      <c r="H704" s="425">
        <v>5.5600000000000005</v>
      </c>
      <c r="J704" s="289"/>
      <c r="K704" s="289"/>
      <c r="L704" s="291"/>
      <c r="M704" s="291"/>
      <c r="N704" s="300"/>
      <c r="O704" s="296"/>
      <c r="P704" s="294"/>
      <c r="Q704" s="294"/>
      <c r="R704" s="295"/>
      <c r="S704" s="302">
        <f t="shared" si="41"/>
        <v>0</v>
      </c>
      <c r="T704" s="302"/>
      <c r="U704" s="303"/>
      <c r="V704" s="305">
        <f t="shared" si="42"/>
        <v>0</v>
      </c>
      <c r="W704" s="305" t="str">
        <f t="shared" si="40"/>
        <v xml:space="preserve"> </v>
      </c>
      <c r="X704" s="288"/>
    </row>
    <row r="705" spans="1:24">
      <c r="A705" s="286">
        <v>96</v>
      </c>
      <c r="C705" s="286" t="s">
        <v>644</v>
      </c>
      <c r="D705" s="286"/>
      <c r="E705" s="286" t="s">
        <v>616</v>
      </c>
      <c r="F705" s="286">
        <v>26</v>
      </c>
      <c r="G705" s="425">
        <v>50</v>
      </c>
      <c r="H705" s="425">
        <v>0</v>
      </c>
      <c r="J705" s="289"/>
      <c r="K705" s="289"/>
      <c r="L705" s="291"/>
      <c r="M705" s="291"/>
      <c r="N705" s="300"/>
      <c r="O705" s="296"/>
      <c r="P705" s="294"/>
      <c r="Q705" s="294"/>
      <c r="R705" s="295"/>
      <c r="S705" s="302">
        <f t="shared" si="41"/>
        <v>0</v>
      </c>
      <c r="T705" s="302"/>
      <c r="U705" s="303"/>
      <c r="V705" s="305">
        <f t="shared" si="42"/>
        <v>50</v>
      </c>
      <c r="W705" s="305">
        <f t="shared" si="40"/>
        <v>12.5</v>
      </c>
      <c r="X705" s="288"/>
    </row>
    <row r="706" spans="1:24">
      <c r="A706" s="286">
        <v>97</v>
      </c>
      <c r="C706" s="286" t="s">
        <v>644</v>
      </c>
      <c r="D706" s="286"/>
      <c r="E706" s="286" t="s">
        <v>598</v>
      </c>
      <c r="F706" s="286">
        <f>IF(VLOOKUP(A706,'WP-5 Payroll Data'!$K$11:$O$151,3,FALSE)&gt;26,26,VLOOKUP(A706,'WP-5 Payroll Data'!$K$11:$O$151,3,FALSE))</f>
        <v>4</v>
      </c>
      <c r="G706" s="424">
        <v>1091.8</v>
      </c>
      <c r="H706" s="425">
        <v>72.009999999999991</v>
      </c>
      <c r="J706" s="289">
        <f>VLOOKUP(A706,'WP-5 Payroll Data'!$K$11:$O$151,4,FALSE)</f>
        <v>1166.49</v>
      </c>
      <c r="K706" s="289">
        <f>VLOOKUP(A706,'WP-5 Payroll Data'!$K$11:$O$151,5,FALSE)</f>
        <v>76.94</v>
      </c>
      <c r="L706" s="289">
        <f>J706/K706</f>
        <v>15.161034572394074</v>
      </c>
      <c r="M706" s="289"/>
      <c r="N706" s="300">
        <f>IF((K706/F706)*26&gt;1500,2080,IF((K706/F706)*26&gt;300,520,IF((K706/F706)*26&gt;100,260,K706)))</f>
        <v>520</v>
      </c>
      <c r="O706" s="296">
        <f>N706*L706</f>
        <v>7883.7379776449188</v>
      </c>
      <c r="P706" s="294"/>
      <c r="Q706" s="294">
        <f>O706*0.03</f>
        <v>236.51213932934755</v>
      </c>
      <c r="R706" s="295"/>
      <c r="S706" s="302">
        <f t="shared" si="41"/>
        <v>0</v>
      </c>
      <c r="T706" s="302"/>
      <c r="U706" s="303"/>
      <c r="V706" s="305">
        <f t="shared" si="42"/>
        <v>0</v>
      </c>
      <c r="W706" s="305" t="str">
        <f t="shared" si="40"/>
        <v xml:space="preserve"> </v>
      </c>
      <c r="X706" s="288"/>
    </row>
    <row r="707" spans="1:24">
      <c r="A707" s="286">
        <v>97</v>
      </c>
      <c r="C707" s="286" t="s">
        <v>644</v>
      </c>
      <c r="D707" s="286"/>
      <c r="E707" s="286" t="s">
        <v>599</v>
      </c>
      <c r="F707" s="286">
        <v>4</v>
      </c>
      <c r="G707" s="424">
        <v>39.82</v>
      </c>
      <c r="H707" s="425">
        <v>1.7599999999999998</v>
      </c>
      <c r="J707" s="289"/>
      <c r="K707" s="289"/>
      <c r="L707" s="291"/>
      <c r="M707" s="291"/>
      <c r="N707" s="300"/>
      <c r="O707" s="296"/>
      <c r="P707" s="294"/>
      <c r="Q707" s="294"/>
      <c r="R707" s="295"/>
      <c r="S707" s="302">
        <f t="shared" si="41"/>
        <v>39.82</v>
      </c>
      <c r="T707" s="302">
        <f t="shared" si="43"/>
        <v>1.1945999999999999</v>
      </c>
      <c r="U707" s="303"/>
      <c r="V707" s="305">
        <f t="shared" si="42"/>
        <v>0</v>
      </c>
      <c r="W707" s="305" t="str">
        <f t="shared" si="40"/>
        <v xml:space="preserve"> </v>
      </c>
      <c r="X707" s="288"/>
    </row>
    <row r="708" spans="1:24">
      <c r="A708" s="286">
        <v>97</v>
      </c>
      <c r="C708" s="286" t="s">
        <v>644</v>
      </c>
      <c r="D708" s="286"/>
      <c r="E708" s="286" t="s">
        <v>610</v>
      </c>
      <c r="F708" s="286">
        <v>4</v>
      </c>
      <c r="G708" s="425">
        <v>90.990000000000009</v>
      </c>
      <c r="H708" s="425">
        <v>6.01</v>
      </c>
      <c r="J708" s="289"/>
      <c r="K708" s="289"/>
      <c r="L708" s="291"/>
      <c r="M708" s="291"/>
      <c r="N708" s="300"/>
      <c r="O708" s="296"/>
      <c r="P708" s="294"/>
      <c r="Q708" s="294"/>
      <c r="R708" s="295"/>
      <c r="S708" s="302">
        <f t="shared" si="41"/>
        <v>0</v>
      </c>
      <c r="T708" s="302"/>
      <c r="U708" s="303"/>
      <c r="V708" s="305">
        <f t="shared" si="42"/>
        <v>0</v>
      </c>
      <c r="W708" s="305" t="str">
        <f t="shared" si="40"/>
        <v xml:space="preserve"> </v>
      </c>
      <c r="X708" s="288"/>
    </row>
    <row r="709" spans="1:24">
      <c r="A709" s="286">
        <v>97</v>
      </c>
      <c r="C709" s="286" t="s">
        <v>644</v>
      </c>
      <c r="D709" s="286"/>
      <c r="E709" s="286" t="s">
        <v>643</v>
      </c>
      <c r="F709" s="286">
        <v>4</v>
      </c>
      <c r="G709" s="425">
        <v>-16.3</v>
      </c>
      <c r="H709" s="425">
        <v>-1.08</v>
      </c>
      <c r="J709" s="289"/>
      <c r="K709" s="289"/>
      <c r="L709" s="291"/>
      <c r="M709" s="291"/>
      <c r="N709" s="300"/>
      <c r="O709" s="296"/>
      <c r="P709" s="294"/>
      <c r="Q709" s="294"/>
      <c r="R709" s="295"/>
      <c r="S709" s="302">
        <f t="shared" si="41"/>
        <v>0</v>
      </c>
      <c r="T709" s="302"/>
      <c r="U709" s="303"/>
      <c r="V709" s="305">
        <f t="shared" si="42"/>
        <v>0</v>
      </c>
      <c r="W709" s="305" t="str">
        <f t="shared" si="40"/>
        <v xml:space="preserve"> </v>
      </c>
      <c r="X709" s="288"/>
    </row>
    <row r="710" spans="1:24">
      <c r="A710" s="286">
        <v>98</v>
      </c>
      <c r="C710" s="286" t="s">
        <v>619</v>
      </c>
      <c r="D710" s="286" t="s">
        <v>677</v>
      </c>
      <c r="E710" s="286" t="s">
        <v>621</v>
      </c>
      <c r="F710" s="286">
        <f>IF(VLOOKUP(A710,'WP-5 Payroll Data'!$K$11:$O$151,3,FALSE)&gt;26,26,VLOOKUP(A710,'WP-5 Payroll Data'!$K$11:$O$151,3,FALSE))</f>
        <v>26</v>
      </c>
      <c r="G710" s="425">
        <v>55914.700000000019</v>
      </c>
      <c r="H710" s="425">
        <v>1756.5</v>
      </c>
      <c r="J710" s="289">
        <f>VLOOKUP(A710,'WP-5 Payroll Data'!$K$11:$O$151,4,FALSE)</f>
        <v>67789.440000000017</v>
      </c>
      <c r="K710" s="289">
        <f>VLOOKUP(A710,'WP-5 Payroll Data'!$K$11:$O$151,5,FALSE)</f>
        <v>2128</v>
      </c>
      <c r="L710" s="289">
        <f>J710/K710</f>
        <v>31.855939849624068</v>
      </c>
      <c r="M710" s="289"/>
      <c r="N710" s="300">
        <f>IF((K710/F710)*26&gt;1500,2080,IF((K710/F710)*26&gt;300,520,IF((K710/F710)*26&gt;100,260,K710)))</f>
        <v>2080</v>
      </c>
      <c r="O710" s="296">
        <f>N710*L710</f>
        <v>66260.354887218069</v>
      </c>
      <c r="P710" s="294"/>
      <c r="Q710" s="294">
        <f>O710*0.03</f>
        <v>1987.810646616542</v>
      </c>
      <c r="R710" s="295"/>
      <c r="S710" s="302">
        <f t="shared" si="41"/>
        <v>0</v>
      </c>
      <c r="T710" s="302"/>
      <c r="U710" s="303"/>
      <c r="V710" s="305">
        <f t="shared" si="42"/>
        <v>0</v>
      </c>
      <c r="W710" s="305" t="str">
        <f t="shared" si="40"/>
        <v xml:space="preserve"> </v>
      </c>
      <c r="X710" s="288"/>
    </row>
    <row r="711" spans="1:24">
      <c r="A711" s="286">
        <v>98</v>
      </c>
      <c r="C711" s="286" t="s">
        <v>619</v>
      </c>
      <c r="D711" s="286" t="s">
        <v>677</v>
      </c>
      <c r="E711" s="286" t="s">
        <v>599</v>
      </c>
      <c r="F711" s="286">
        <v>27</v>
      </c>
      <c r="G711" s="425">
        <v>11436.780000000002</v>
      </c>
      <c r="H711" s="425">
        <v>239</v>
      </c>
      <c r="J711" s="289"/>
      <c r="K711" s="289"/>
      <c r="L711" s="291"/>
      <c r="M711" s="291"/>
      <c r="N711" s="300"/>
      <c r="O711" s="296"/>
      <c r="P711" s="294"/>
      <c r="Q711" s="294"/>
      <c r="R711" s="295"/>
      <c r="S711" s="302">
        <f t="shared" si="41"/>
        <v>11436.780000000002</v>
      </c>
      <c r="T711" s="302">
        <f t="shared" si="43"/>
        <v>343.10340000000008</v>
      </c>
      <c r="U711" s="303"/>
      <c r="V711" s="305">
        <f t="shared" si="42"/>
        <v>0</v>
      </c>
      <c r="W711" s="305" t="str">
        <f t="shared" si="40"/>
        <v xml:space="preserve"> </v>
      </c>
      <c r="X711" s="288"/>
    </row>
    <row r="712" spans="1:24">
      <c r="A712" s="286">
        <v>98</v>
      </c>
      <c r="C712" s="286" t="s">
        <v>619</v>
      </c>
      <c r="D712" s="286" t="s">
        <v>677</v>
      </c>
      <c r="E712" s="286" t="s">
        <v>601</v>
      </c>
      <c r="F712" s="286">
        <v>27</v>
      </c>
      <c r="G712" s="425">
        <v>6182.4</v>
      </c>
      <c r="H712" s="425">
        <v>96</v>
      </c>
      <c r="J712" s="289"/>
      <c r="K712" s="289"/>
      <c r="L712" s="291"/>
      <c r="M712" s="291"/>
      <c r="N712" s="300"/>
      <c r="O712" s="296"/>
      <c r="P712" s="294"/>
      <c r="Q712" s="294"/>
      <c r="R712" s="295"/>
      <c r="S712" s="302">
        <f t="shared" si="41"/>
        <v>6182.4</v>
      </c>
      <c r="T712" s="302">
        <f t="shared" si="43"/>
        <v>185.47199999999998</v>
      </c>
      <c r="U712" s="303"/>
      <c r="V712" s="305">
        <f t="shared" si="42"/>
        <v>0</v>
      </c>
      <c r="W712" s="305" t="str">
        <f t="shared" si="40"/>
        <v xml:space="preserve"> </v>
      </c>
      <c r="X712" s="288"/>
    </row>
    <row r="713" spans="1:24">
      <c r="A713" s="286">
        <v>98</v>
      </c>
      <c r="C713" s="286" t="s">
        <v>619</v>
      </c>
      <c r="D713" s="286" t="s">
        <v>677</v>
      </c>
      <c r="E713" s="286" t="s">
        <v>627</v>
      </c>
      <c r="F713" s="286">
        <v>27</v>
      </c>
      <c r="G713" s="425">
        <v>2255.04</v>
      </c>
      <c r="H713" s="425">
        <v>72</v>
      </c>
      <c r="J713" s="289"/>
      <c r="K713" s="289"/>
      <c r="L713" s="291"/>
      <c r="M713" s="291"/>
      <c r="N713" s="300"/>
      <c r="O713" s="296"/>
      <c r="P713" s="294"/>
      <c r="Q713" s="294"/>
      <c r="R713" s="295"/>
      <c r="S713" s="302">
        <f t="shared" si="41"/>
        <v>0</v>
      </c>
      <c r="T713" s="302"/>
      <c r="U713" s="303"/>
      <c r="V713" s="305">
        <f t="shared" si="42"/>
        <v>0</v>
      </c>
      <c r="W713" s="305" t="str">
        <f t="shared" si="40"/>
        <v xml:space="preserve"> </v>
      </c>
      <c r="X713" s="288"/>
    </row>
    <row r="714" spans="1:24">
      <c r="A714" s="286">
        <v>98</v>
      </c>
      <c r="C714" s="286" t="s">
        <v>619</v>
      </c>
      <c r="D714" s="286" t="s">
        <v>677</v>
      </c>
      <c r="E714" s="286" t="s">
        <v>630</v>
      </c>
      <c r="F714" s="286">
        <v>27</v>
      </c>
      <c r="G714" s="425">
        <v>4495.8599999999997</v>
      </c>
      <c r="H714" s="425">
        <v>139.5</v>
      </c>
      <c r="J714" s="289"/>
      <c r="K714" s="289"/>
      <c r="L714" s="291"/>
      <c r="M714" s="291"/>
      <c r="N714" s="300"/>
      <c r="O714" s="296"/>
      <c r="P714" s="294"/>
      <c r="Q714" s="294"/>
      <c r="R714" s="295"/>
      <c r="S714" s="302">
        <f t="shared" si="41"/>
        <v>0</v>
      </c>
      <c r="T714" s="302"/>
      <c r="U714" s="303"/>
      <c r="V714" s="305">
        <f t="shared" si="42"/>
        <v>0</v>
      </c>
      <c r="W714" s="305" t="str">
        <f t="shared" ref="W714:W777" si="44">IF($E714=$AA$29,-$V714,IF(OR($E714=$AA$18,$E714=$AA$23,$E714=$AA$24,$E714=$AA$26),(($V714/200)*50)," "))</f>
        <v xml:space="preserve"> </v>
      </c>
      <c r="X714" s="288"/>
    </row>
    <row r="715" spans="1:24">
      <c r="A715" s="286">
        <v>98</v>
      </c>
      <c r="C715" s="286" t="s">
        <v>619</v>
      </c>
      <c r="D715" s="286" t="s">
        <v>677</v>
      </c>
      <c r="E715" s="286" t="s">
        <v>633</v>
      </c>
      <c r="F715" s="286">
        <v>27</v>
      </c>
      <c r="G715" s="425">
        <v>3578.24</v>
      </c>
      <c r="H715" s="425">
        <v>112</v>
      </c>
      <c r="J715" s="289"/>
      <c r="K715" s="289"/>
      <c r="L715" s="291"/>
      <c r="M715" s="291"/>
      <c r="N715" s="300"/>
      <c r="O715" s="296"/>
      <c r="P715" s="294"/>
      <c r="Q715" s="294"/>
      <c r="R715" s="295"/>
      <c r="S715" s="302">
        <f t="shared" ref="S715:S778" si="45">IF(OR($E715=$Y$10,$E715=$Y$11,$E715=$Y$12,$E715=$Y$13),$G715,0)</f>
        <v>0</v>
      </c>
      <c r="T715" s="302"/>
      <c r="U715" s="303"/>
      <c r="V715" s="305">
        <f t="shared" ref="V715:V778" si="46">IF(OR($E715=$AA$10,$E715=$AA$11,$E715=$AA$12,$E715=$AA$13,$E715=$AA$14,$E715=$AA$15,$E715=$AA$16,$E715=$AA$17,$E715=$AA$18,$E715=$AA$19,$E715=$AA$20,$E715=$AA$21,$E715=$AA$22,$E715=$AA$23,$E715=$AA$24,$E715=$AA$25,$E715=$AA$26,$E715=$AA$27,$E715=$AA$28,$E715=$AA$29),G715,0)</f>
        <v>0</v>
      </c>
      <c r="W715" s="305" t="str">
        <f t="shared" si="44"/>
        <v xml:space="preserve"> </v>
      </c>
      <c r="X715" s="288"/>
    </row>
    <row r="716" spans="1:24">
      <c r="A716" s="286">
        <v>98</v>
      </c>
      <c r="C716" s="286" t="s">
        <v>619</v>
      </c>
      <c r="D716" s="286" t="s">
        <v>677</v>
      </c>
      <c r="E716" s="286" t="s">
        <v>634</v>
      </c>
      <c r="F716" s="286">
        <v>27</v>
      </c>
      <c r="G716" s="425">
        <v>751.68000000000006</v>
      </c>
      <c r="H716" s="425">
        <v>24</v>
      </c>
      <c r="J716" s="289"/>
      <c r="K716" s="289"/>
      <c r="L716" s="291"/>
      <c r="M716" s="291"/>
      <c r="N716" s="300"/>
      <c r="O716" s="296"/>
      <c r="P716" s="294"/>
      <c r="Q716" s="294"/>
      <c r="R716" s="295"/>
      <c r="S716" s="302">
        <f t="shared" si="45"/>
        <v>0</v>
      </c>
      <c r="T716" s="302"/>
      <c r="U716" s="303"/>
      <c r="V716" s="305">
        <f t="shared" si="46"/>
        <v>0</v>
      </c>
      <c r="W716" s="305" t="str">
        <f t="shared" si="44"/>
        <v xml:space="preserve"> </v>
      </c>
      <c r="X716" s="288"/>
    </row>
    <row r="717" spans="1:24">
      <c r="A717" s="286">
        <v>98</v>
      </c>
      <c r="C717" s="286" t="s">
        <v>619</v>
      </c>
      <c r="D717" s="286" t="s">
        <v>677</v>
      </c>
      <c r="E717" s="286" t="s">
        <v>623</v>
      </c>
      <c r="F717" s="286">
        <v>27</v>
      </c>
      <c r="G717" s="425">
        <v>250</v>
      </c>
      <c r="H717" s="425">
        <v>0</v>
      </c>
      <c r="J717" s="289"/>
      <c r="K717" s="289"/>
      <c r="L717" s="291"/>
      <c r="M717" s="291"/>
      <c r="N717" s="300"/>
      <c r="O717" s="296"/>
      <c r="P717" s="294"/>
      <c r="Q717" s="294"/>
      <c r="R717" s="295"/>
      <c r="S717" s="302">
        <f t="shared" si="45"/>
        <v>0</v>
      </c>
      <c r="T717" s="302"/>
      <c r="U717" s="303"/>
      <c r="V717" s="305">
        <f t="shared" si="46"/>
        <v>250</v>
      </c>
      <c r="W717" s="305" t="str">
        <f t="shared" si="44"/>
        <v xml:space="preserve"> </v>
      </c>
      <c r="X717" s="288"/>
    </row>
    <row r="718" spans="1:24">
      <c r="A718" s="286">
        <v>98</v>
      </c>
      <c r="C718" s="286" t="s">
        <v>619</v>
      </c>
      <c r="D718" s="286" t="s">
        <v>677</v>
      </c>
      <c r="E718" s="286" t="s">
        <v>625</v>
      </c>
      <c r="F718" s="286">
        <v>27</v>
      </c>
      <c r="G718" s="425">
        <v>800</v>
      </c>
      <c r="H718" s="425">
        <v>0</v>
      </c>
      <c r="J718" s="289"/>
      <c r="K718" s="289"/>
      <c r="L718" s="291"/>
      <c r="M718" s="291"/>
      <c r="N718" s="300"/>
      <c r="O718" s="296"/>
      <c r="P718" s="294"/>
      <c r="Q718" s="294"/>
      <c r="R718" s="295"/>
      <c r="S718" s="302">
        <f t="shared" si="45"/>
        <v>0</v>
      </c>
      <c r="T718" s="302"/>
      <c r="U718" s="303"/>
      <c r="V718" s="305">
        <f t="shared" si="46"/>
        <v>800</v>
      </c>
      <c r="W718" s="305">
        <f t="shared" si="44"/>
        <v>200</v>
      </c>
      <c r="X718" s="288"/>
    </row>
    <row r="719" spans="1:24">
      <c r="A719" s="286">
        <v>98</v>
      </c>
      <c r="C719" s="286" t="s">
        <v>619</v>
      </c>
      <c r="D719" s="286" t="s">
        <v>677</v>
      </c>
      <c r="E719" s="286" t="s">
        <v>661</v>
      </c>
      <c r="F719" s="286">
        <v>27</v>
      </c>
      <c r="G719" s="425">
        <v>793.92</v>
      </c>
      <c r="H719" s="425">
        <v>24</v>
      </c>
      <c r="J719" s="289"/>
      <c r="K719" s="289"/>
      <c r="L719" s="291"/>
      <c r="M719" s="291"/>
      <c r="N719" s="300"/>
      <c r="O719" s="296"/>
      <c r="P719" s="294"/>
      <c r="Q719" s="294"/>
      <c r="R719" s="295"/>
      <c r="S719" s="302">
        <f t="shared" si="45"/>
        <v>0</v>
      </c>
      <c r="T719" s="302"/>
      <c r="U719" s="303"/>
      <c r="V719" s="305">
        <f t="shared" si="46"/>
        <v>0</v>
      </c>
      <c r="W719" s="305" t="str">
        <f t="shared" si="44"/>
        <v xml:space="preserve"> </v>
      </c>
      <c r="X719" s="288"/>
    </row>
    <row r="720" spans="1:24">
      <c r="A720" s="286">
        <v>98</v>
      </c>
      <c r="C720" s="286" t="s">
        <v>619</v>
      </c>
      <c r="D720" s="286" t="s">
        <v>677</v>
      </c>
      <c r="E720" s="286" t="s">
        <v>632</v>
      </c>
      <c r="F720" s="286">
        <v>27</v>
      </c>
      <c r="G720" s="425">
        <v>7148.39</v>
      </c>
      <c r="H720" s="425">
        <v>0</v>
      </c>
      <c r="J720" s="289"/>
      <c r="K720" s="289"/>
      <c r="L720" s="291"/>
      <c r="M720" s="291"/>
      <c r="N720" s="300"/>
      <c r="O720" s="296"/>
      <c r="P720" s="294"/>
      <c r="Q720" s="294"/>
      <c r="R720" s="295"/>
      <c r="S720" s="302">
        <f t="shared" si="45"/>
        <v>0</v>
      </c>
      <c r="T720" s="302"/>
      <c r="U720" s="303"/>
      <c r="V720" s="305">
        <f t="shared" si="46"/>
        <v>7148.39</v>
      </c>
      <c r="W720" s="305">
        <f t="shared" si="44"/>
        <v>-7148.39</v>
      </c>
      <c r="X720" s="288"/>
    </row>
    <row r="721" spans="1:24">
      <c r="A721" s="286">
        <v>99</v>
      </c>
      <c r="C721" s="286" t="s">
        <v>597</v>
      </c>
      <c r="D721" s="286"/>
      <c r="E721" s="286" t="s">
        <v>598</v>
      </c>
      <c r="F721" s="286">
        <f>IF(VLOOKUP(A721,'WP-5 Payroll Data'!$K$11:$O$151,3,FALSE)&gt;26,26,VLOOKUP(A721,'WP-5 Payroll Data'!$K$11:$O$151,3,FALSE))</f>
        <v>26</v>
      </c>
      <c r="G721" s="425">
        <v>12508.889999999994</v>
      </c>
      <c r="H721" s="425">
        <v>432.13</v>
      </c>
      <c r="J721" s="289">
        <f>VLOOKUP(A721,'WP-5 Payroll Data'!$K$11:$O$151,4,FALSE)</f>
        <v>14941.239999999994</v>
      </c>
      <c r="K721" s="289">
        <f>VLOOKUP(A721,'WP-5 Payroll Data'!$K$11:$O$151,5,FALSE)</f>
        <v>516.01</v>
      </c>
      <c r="L721" s="289">
        <f>J721/K721</f>
        <v>28.955330323055744</v>
      </c>
      <c r="M721" s="289"/>
      <c r="N721" s="300">
        <f>IF((K721/F721)*26&gt;1500,2080,IF((K721/F721)*26&gt;300,520,IF((K721/F721)*26&gt;100,260,K721)))</f>
        <v>520</v>
      </c>
      <c r="O721" s="296">
        <f>N721*L721</f>
        <v>15056.771767988987</v>
      </c>
      <c r="P721" s="294"/>
      <c r="Q721" s="294">
        <f>O721*0.03</f>
        <v>451.70315303966959</v>
      </c>
      <c r="R721" s="295"/>
      <c r="S721" s="302">
        <f t="shared" si="45"/>
        <v>0</v>
      </c>
      <c r="T721" s="302"/>
      <c r="U721" s="303"/>
      <c r="V721" s="305">
        <f t="shared" si="46"/>
        <v>0</v>
      </c>
      <c r="W721" s="305" t="str">
        <f t="shared" si="44"/>
        <v xml:space="preserve"> </v>
      </c>
      <c r="X721" s="288"/>
    </row>
    <row r="722" spans="1:24">
      <c r="A722" s="286">
        <v>99</v>
      </c>
      <c r="C722" s="286" t="s">
        <v>597</v>
      </c>
      <c r="D722" s="286"/>
      <c r="E722" s="286" t="s">
        <v>605</v>
      </c>
      <c r="F722" s="286">
        <v>26</v>
      </c>
      <c r="G722" s="425">
        <v>1355.74</v>
      </c>
      <c r="H722" s="425">
        <v>46.75</v>
      </c>
      <c r="J722" s="289"/>
      <c r="K722" s="289"/>
      <c r="L722" s="291"/>
      <c r="M722" s="291"/>
      <c r="N722" s="300"/>
      <c r="O722" s="296"/>
      <c r="P722" s="294"/>
      <c r="Q722" s="294"/>
      <c r="R722" s="295"/>
      <c r="S722" s="302">
        <f t="shared" si="45"/>
        <v>0</v>
      </c>
      <c r="T722" s="302"/>
      <c r="U722" s="303"/>
      <c r="V722" s="305">
        <f t="shared" si="46"/>
        <v>0</v>
      </c>
      <c r="W722" s="305" t="str">
        <f t="shared" si="44"/>
        <v xml:space="preserve"> </v>
      </c>
      <c r="X722" s="288"/>
    </row>
    <row r="723" spans="1:24">
      <c r="A723" s="286">
        <v>99</v>
      </c>
      <c r="C723" s="286" t="s">
        <v>597</v>
      </c>
      <c r="D723" s="286"/>
      <c r="E723" s="286" t="s">
        <v>608</v>
      </c>
      <c r="F723" s="286">
        <v>26</v>
      </c>
      <c r="G723" s="425">
        <v>605.37</v>
      </c>
      <c r="H723" s="425">
        <v>20.880000000000003</v>
      </c>
      <c r="J723" s="289"/>
      <c r="K723" s="289"/>
      <c r="L723" s="291"/>
      <c r="M723" s="291"/>
      <c r="N723" s="300"/>
      <c r="O723" s="296"/>
      <c r="P723" s="294"/>
      <c r="Q723" s="294"/>
      <c r="R723" s="295"/>
      <c r="S723" s="302">
        <f t="shared" si="45"/>
        <v>0</v>
      </c>
      <c r="T723" s="302"/>
      <c r="U723" s="303"/>
      <c r="V723" s="305">
        <f t="shared" si="46"/>
        <v>0</v>
      </c>
      <c r="W723" s="305" t="str">
        <f t="shared" si="44"/>
        <v xml:space="preserve"> </v>
      </c>
      <c r="X723" s="288"/>
    </row>
    <row r="724" spans="1:24">
      <c r="A724" s="286">
        <v>99</v>
      </c>
      <c r="C724" s="286" t="s">
        <v>597</v>
      </c>
      <c r="D724" s="286"/>
      <c r="E724" s="286" t="s">
        <v>602</v>
      </c>
      <c r="F724" s="286">
        <v>26</v>
      </c>
      <c r="G724" s="425">
        <v>116</v>
      </c>
      <c r="H724" s="425">
        <v>4</v>
      </c>
      <c r="J724" s="289"/>
      <c r="K724" s="289"/>
      <c r="L724" s="291"/>
      <c r="M724" s="291"/>
      <c r="N724" s="300"/>
      <c r="O724" s="296"/>
      <c r="P724" s="294"/>
      <c r="Q724" s="294"/>
      <c r="R724" s="295"/>
      <c r="S724" s="302">
        <f t="shared" si="45"/>
        <v>0</v>
      </c>
      <c r="T724" s="302"/>
      <c r="U724" s="303"/>
      <c r="V724" s="305">
        <f t="shared" si="46"/>
        <v>116</v>
      </c>
      <c r="W724" s="305" t="str">
        <f t="shared" si="44"/>
        <v xml:space="preserve"> </v>
      </c>
      <c r="X724" s="288"/>
    </row>
    <row r="725" spans="1:24">
      <c r="A725" s="286">
        <v>99</v>
      </c>
      <c r="C725" s="286" t="s">
        <v>597</v>
      </c>
      <c r="D725" s="286"/>
      <c r="E725" s="286" t="s">
        <v>646</v>
      </c>
      <c r="F725" s="286">
        <v>26</v>
      </c>
      <c r="G725" s="425">
        <v>297.24</v>
      </c>
      <c r="H725" s="425">
        <v>10.25</v>
      </c>
      <c r="J725" s="289"/>
      <c r="K725" s="289"/>
      <c r="L725" s="291"/>
      <c r="M725" s="291"/>
      <c r="N725" s="300"/>
      <c r="O725" s="296"/>
      <c r="P725" s="294"/>
      <c r="Q725" s="294"/>
      <c r="R725" s="295"/>
      <c r="S725" s="302">
        <f t="shared" si="45"/>
        <v>0</v>
      </c>
      <c r="T725" s="302"/>
      <c r="U725" s="303"/>
      <c r="V725" s="305">
        <f t="shared" si="46"/>
        <v>0</v>
      </c>
      <c r="W725" s="305" t="str">
        <f t="shared" si="44"/>
        <v xml:space="preserve"> </v>
      </c>
      <c r="X725" s="288"/>
    </row>
    <row r="726" spans="1:24">
      <c r="A726" s="286">
        <v>99</v>
      </c>
      <c r="C726" s="286" t="s">
        <v>597</v>
      </c>
      <c r="D726" s="286"/>
      <c r="E726" s="286" t="s">
        <v>610</v>
      </c>
      <c r="F726" s="286">
        <v>26</v>
      </c>
      <c r="G726" s="425">
        <v>174</v>
      </c>
      <c r="H726" s="425">
        <v>6</v>
      </c>
      <c r="J726" s="289"/>
      <c r="K726" s="289"/>
      <c r="L726" s="291"/>
      <c r="M726" s="291"/>
      <c r="N726" s="300"/>
      <c r="O726" s="296"/>
      <c r="P726" s="294"/>
      <c r="Q726" s="294"/>
      <c r="R726" s="295"/>
      <c r="S726" s="302">
        <f t="shared" si="45"/>
        <v>0</v>
      </c>
      <c r="T726" s="302"/>
      <c r="U726" s="303"/>
      <c r="V726" s="305">
        <f t="shared" si="46"/>
        <v>0</v>
      </c>
      <c r="W726" s="305" t="str">
        <f t="shared" si="44"/>
        <v xml:space="preserve"> </v>
      </c>
      <c r="X726" s="288"/>
    </row>
    <row r="727" spans="1:24">
      <c r="A727" s="286">
        <v>99</v>
      </c>
      <c r="C727" s="286" t="s">
        <v>597</v>
      </c>
      <c r="D727" s="286"/>
      <c r="E727" s="286" t="s">
        <v>612</v>
      </c>
      <c r="F727" s="286">
        <v>26</v>
      </c>
      <c r="G727" s="425">
        <v>25</v>
      </c>
      <c r="H727" s="425">
        <v>0</v>
      </c>
      <c r="J727" s="289"/>
      <c r="K727" s="289"/>
      <c r="L727" s="291"/>
      <c r="M727" s="291"/>
      <c r="N727" s="300"/>
      <c r="O727" s="296"/>
      <c r="P727" s="294"/>
      <c r="Q727" s="294"/>
      <c r="R727" s="295"/>
      <c r="S727" s="302">
        <f t="shared" si="45"/>
        <v>0</v>
      </c>
      <c r="T727" s="302"/>
      <c r="U727" s="303"/>
      <c r="V727" s="305">
        <f t="shared" si="46"/>
        <v>25</v>
      </c>
      <c r="W727" s="305" t="str">
        <f t="shared" si="44"/>
        <v xml:space="preserve"> </v>
      </c>
      <c r="X727" s="288"/>
    </row>
    <row r="728" spans="1:24">
      <c r="A728" s="286">
        <v>99</v>
      </c>
      <c r="C728" s="286" t="s">
        <v>597</v>
      </c>
      <c r="D728" s="286"/>
      <c r="E728" s="286" t="s">
        <v>624</v>
      </c>
      <c r="F728" s="286">
        <v>26</v>
      </c>
      <c r="G728" s="425">
        <v>750</v>
      </c>
      <c r="H728" s="425">
        <v>0</v>
      </c>
      <c r="J728" s="289"/>
      <c r="K728" s="289"/>
      <c r="L728" s="291"/>
      <c r="M728" s="291"/>
      <c r="N728" s="300"/>
      <c r="O728" s="296"/>
      <c r="P728" s="294"/>
      <c r="Q728" s="294"/>
      <c r="R728" s="295"/>
      <c r="S728" s="302">
        <f t="shared" si="45"/>
        <v>0</v>
      </c>
      <c r="T728" s="302"/>
      <c r="U728" s="303"/>
      <c r="V728" s="305">
        <f t="shared" si="46"/>
        <v>750</v>
      </c>
      <c r="W728" s="305">
        <f t="shared" si="44"/>
        <v>187.5</v>
      </c>
      <c r="X728" s="288"/>
    </row>
    <row r="729" spans="1:24">
      <c r="A729" s="286">
        <v>100</v>
      </c>
      <c r="C729" s="286" t="s">
        <v>597</v>
      </c>
      <c r="D729" s="286" t="s">
        <v>678</v>
      </c>
      <c r="E729" s="286" t="s">
        <v>598</v>
      </c>
      <c r="F729" s="286">
        <f>IF(VLOOKUP(A729,'WP-5 Payroll Data'!$K$11:$O$151,3,FALSE)&gt;26,26,VLOOKUP(A729,'WP-5 Payroll Data'!$K$11:$O$151,3,FALSE))</f>
        <v>26</v>
      </c>
      <c r="G729" s="425">
        <v>50510.610000000008</v>
      </c>
      <c r="H729" s="425">
        <v>1754.6200000000001</v>
      </c>
      <c r="J729" s="289">
        <f>VLOOKUP(A729,'WP-5 Payroll Data'!$K$11:$O$151,4,FALSE)</f>
        <v>59862.320000000014</v>
      </c>
      <c r="K729" s="289">
        <f>VLOOKUP(A729,'WP-5 Payroll Data'!$K$11:$O$151,5,FALSE)</f>
        <v>2086</v>
      </c>
      <c r="L729" s="289">
        <f>J729/K729</f>
        <v>28.697181208053699</v>
      </c>
      <c r="M729" s="289"/>
      <c r="N729" s="300">
        <f>IF((K729/F729)*26&gt;1500,2080,IF((K729/F729)*26&gt;300,520,IF((K729/F729)*26&gt;100,260,K729)))</f>
        <v>2080</v>
      </c>
      <c r="O729" s="296">
        <f>N729*L729</f>
        <v>59690.136912751695</v>
      </c>
      <c r="P729" s="294"/>
      <c r="Q729" s="294">
        <f>O729*0.03</f>
        <v>1790.7041073825508</v>
      </c>
      <c r="R729" s="295"/>
      <c r="S729" s="302">
        <f t="shared" si="45"/>
        <v>0</v>
      </c>
      <c r="T729" s="302"/>
      <c r="U729" s="303"/>
      <c r="V729" s="305">
        <f t="shared" si="46"/>
        <v>0</v>
      </c>
      <c r="W729" s="305" t="str">
        <f t="shared" si="44"/>
        <v xml:space="preserve"> </v>
      </c>
      <c r="X729" s="288"/>
    </row>
    <row r="730" spans="1:24">
      <c r="A730" s="286">
        <v>100</v>
      </c>
      <c r="C730" s="286" t="s">
        <v>597</v>
      </c>
      <c r="D730" s="286" t="s">
        <v>678</v>
      </c>
      <c r="E730" s="286" t="s">
        <v>599</v>
      </c>
      <c r="F730" s="286">
        <v>26</v>
      </c>
      <c r="G730" s="425">
        <v>1474.95</v>
      </c>
      <c r="H730" s="425">
        <v>34.700000000000003</v>
      </c>
      <c r="J730" s="289"/>
      <c r="K730" s="289"/>
      <c r="L730" s="291"/>
      <c r="M730" s="291"/>
      <c r="N730" s="300"/>
      <c r="O730" s="296"/>
      <c r="P730" s="294"/>
      <c r="Q730" s="294"/>
      <c r="R730" s="295"/>
      <c r="S730" s="302">
        <f t="shared" si="45"/>
        <v>1474.95</v>
      </c>
      <c r="T730" s="302">
        <f t="shared" ref="T730:T773" si="47">S730*0.03</f>
        <v>44.2485</v>
      </c>
      <c r="U730" s="303"/>
      <c r="V730" s="305">
        <f t="shared" si="46"/>
        <v>0</v>
      </c>
      <c r="W730" s="305" t="str">
        <f t="shared" si="44"/>
        <v xml:space="preserve"> </v>
      </c>
      <c r="X730" s="288"/>
    </row>
    <row r="731" spans="1:24">
      <c r="A731" s="286">
        <v>100</v>
      </c>
      <c r="C731" s="286" t="s">
        <v>597</v>
      </c>
      <c r="D731" s="286" t="s">
        <v>678</v>
      </c>
      <c r="E731" s="286" t="s">
        <v>601</v>
      </c>
      <c r="F731" s="286">
        <v>26</v>
      </c>
      <c r="G731" s="425">
        <v>12271.34</v>
      </c>
      <c r="H731" s="425">
        <v>213.69999999999996</v>
      </c>
      <c r="J731" s="289"/>
      <c r="K731" s="289"/>
      <c r="L731" s="291"/>
      <c r="M731" s="291"/>
      <c r="N731" s="300"/>
      <c r="O731" s="296"/>
      <c r="P731" s="294"/>
      <c r="Q731" s="294"/>
      <c r="R731" s="295"/>
      <c r="S731" s="302">
        <f t="shared" si="45"/>
        <v>12271.34</v>
      </c>
      <c r="T731" s="302">
        <f t="shared" si="47"/>
        <v>368.14019999999999</v>
      </c>
      <c r="U731" s="303"/>
      <c r="V731" s="305">
        <f t="shared" si="46"/>
        <v>0</v>
      </c>
      <c r="W731" s="305" t="str">
        <f t="shared" si="44"/>
        <v xml:space="preserve"> </v>
      </c>
      <c r="X731" s="288"/>
    </row>
    <row r="732" spans="1:24">
      <c r="A732" s="286">
        <v>100</v>
      </c>
      <c r="C732" s="286" t="s">
        <v>597</v>
      </c>
      <c r="D732" s="286" t="s">
        <v>678</v>
      </c>
      <c r="E732" s="286" t="s">
        <v>605</v>
      </c>
      <c r="F732" s="286">
        <v>26</v>
      </c>
      <c r="G732" s="425">
        <v>5419.7599999999993</v>
      </c>
      <c r="H732" s="425">
        <v>188.75</v>
      </c>
      <c r="J732" s="289"/>
      <c r="K732" s="289"/>
      <c r="L732" s="291"/>
      <c r="M732" s="291"/>
      <c r="N732" s="300"/>
      <c r="O732" s="296"/>
      <c r="P732" s="294"/>
      <c r="Q732" s="294"/>
      <c r="R732" s="295"/>
      <c r="S732" s="302">
        <f t="shared" si="45"/>
        <v>0</v>
      </c>
      <c r="T732" s="302"/>
      <c r="U732" s="303"/>
      <c r="V732" s="305">
        <f t="shared" si="46"/>
        <v>0</v>
      </c>
      <c r="W732" s="305" t="str">
        <f t="shared" si="44"/>
        <v xml:space="preserve"> </v>
      </c>
      <c r="X732" s="288"/>
    </row>
    <row r="733" spans="1:24">
      <c r="A733" s="286">
        <v>100</v>
      </c>
      <c r="C733" s="286" t="s">
        <v>597</v>
      </c>
      <c r="D733" s="286" t="s">
        <v>678</v>
      </c>
      <c r="E733" s="286" t="s">
        <v>608</v>
      </c>
      <c r="F733" s="286">
        <v>26</v>
      </c>
      <c r="G733" s="425">
        <v>3205.94</v>
      </c>
      <c r="H733" s="425">
        <v>111.22999999999999</v>
      </c>
      <c r="J733" s="289"/>
      <c r="K733" s="289"/>
      <c r="L733" s="291"/>
      <c r="M733" s="291"/>
      <c r="N733" s="300"/>
      <c r="O733" s="296"/>
      <c r="P733" s="294"/>
      <c r="Q733" s="294"/>
      <c r="R733" s="295"/>
      <c r="S733" s="302">
        <f t="shared" si="45"/>
        <v>0</v>
      </c>
      <c r="T733" s="302"/>
      <c r="U733" s="303"/>
      <c r="V733" s="305">
        <f t="shared" si="46"/>
        <v>0</v>
      </c>
      <c r="W733" s="305" t="str">
        <f t="shared" si="44"/>
        <v xml:space="preserve"> </v>
      </c>
      <c r="X733" s="288"/>
    </row>
    <row r="734" spans="1:24">
      <c r="A734" s="286">
        <v>100</v>
      </c>
      <c r="C734" s="286" t="s">
        <v>597</v>
      </c>
      <c r="D734" s="286" t="s">
        <v>678</v>
      </c>
      <c r="E734" s="286" t="s">
        <v>610</v>
      </c>
      <c r="F734" s="286">
        <v>26</v>
      </c>
      <c r="G734" s="425">
        <v>383.01</v>
      </c>
      <c r="H734" s="425">
        <v>13.5</v>
      </c>
      <c r="J734" s="289"/>
      <c r="K734" s="289"/>
      <c r="L734" s="291"/>
      <c r="M734" s="291"/>
      <c r="N734" s="300"/>
      <c r="O734" s="296"/>
      <c r="P734" s="294"/>
      <c r="Q734" s="294"/>
      <c r="R734" s="295"/>
      <c r="S734" s="302">
        <f t="shared" si="45"/>
        <v>0</v>
      </c>
      <c r="T734" s="302"/>
      <c r="U734" s="303"/>
      <c r="V734" s="305">
        <f t="shared" si="46"/>
        <v>0</v>
      </c>
      <c r="W734" s="305" t="str">
        <f t="shared" si="44"/>
        <v xml:space="preserve"> </v>
      </c>
      <c r="X734" s="288"/>
    </row>
    <row r="735" spans="1:24">
      <c r="A735" s="286">
        <v>100</v>
      </c>
      <c r="C735" s="286" t="s">
        <v>597</v>
      </c>
      <c r="D735" s="286" t="s">
        <v>678</v>
      </c>
      <c r="E735" s="286" t="s">
        <v>641</v>
      </c>
      <c r="F735" s="286">
        <v>26</v>
      </c>
      <c r="G735" s="425">
        <v>0</v>
      </c>
      <c r="H735" s="425">
        <v>6</v>
      </c>
      <c r="J735" s="289"/>
      <c r="K735" s="289"/>
      <c r="L735" s="291"/>
      <c r="M735" s="291"/>
      <c r="N735" s="300"/>
      <c r="O735" s="296"/>
      <c r="P735" s="294"/>
      <c r="Q735" s="294"/>
      <c r="R735" s="295"/>
      <c r="S735" s="302">
        <f t="shared" si="45"/>
        <v>0</v>
      </c>
      <c r="T735" s="302"/>
      <c r="U735" s="303"/>
      <c r="V735" s="305">
        <f t="shared" si="46"/>
        <v>0</v>
      </c>
      <c r="W735" s="305" t="str">
        <f t="shared" si="44"/>
        <v xml:space="preserve"> </v>
      </c>
      <c r="X735" s="288"/>
    </row>
    <row r="736" spans="1:24">
      <c r="A736" s="286">
        <v>100</v>
      </c>
      <c r="C736" s="286" t="s">
        <v>597</v>
      </c>
      <c r="D736" s="286" t="s">
        <v>678</v>
      </c>
      <c r="E736" s="286" t="s">
        <v>642</v>
      </c>
      <c r="F736" s="286">
        <v>26</v>
      </c>
      <c r="G736" s="425">
        <v>343</v>
      </c>
      <c r="H736" s="425">
        <v>11.9</v>
      </c>
      <c r="J736" s="289"/>
      <c r="K736" s="289"/>
      <c r="L736" s="291"/>
      <c r="M736" s="291"/>
      <c r="N736" s="300"/>
      <c r="O736" s="296"/>
      <c r="P736" s="294"/>
      <c r="Q736" s="294"/>
      <c r="R736" s="295"/>
      <c r="S736" s="302">
        <f t="shared" si="45"/>
        <v>0</v>
      </c>
      <c r="T736" s="302"/>
      <c r="U736" s="303"/>
      <c r="V736" s="305">
        <f t="shared" si="46"/>
        <v>0</v>
      </c>
      <c r="W736" s="305" t="str">
        <f t="shared" si="44"/>
        <v xml:space="preserve"> </v>
      </c>
      <c r="X736" s="288"/>
    </row>
    <row r="737" spans="1:24">
      <c r="A737" s="286">
        <v>100</v>
      </c>
      <c r="C737" s="286" t="s">
        <v>597</v>
      </c>
      <c r="D737" s="286" t="s">
        <v>678</v>
      </c>
      <c r="E737" s="286" t="s">
        <v>624</v>
      </c>
      <c r="F737" s="286">
        <v>26</v>
      </c>
      <c r="G737" s="425">
        <v>1500</v>
      </c>
      <c r="H737" s="425">
        <v>0</v>
      </c>
      <c r="J737" s="289"/>
      <c r="K737" s="289"/>
      <c r="L737" s="291"/>
      <c r="M737" s="291"/>
      <c r="N737" s="300"/>
      <c r="O737" s="296"/>
      <c r="P737" s="294"/>
      <c r="Q737" s="294"/>
      <c r="R737" s="295"/>
      <c r="S737" s="302">
        <f t="shared" si="45"/>
        <v>0</v>
      </c>
      <c r="T737" s="302"/>
      <c r="U737" s="303"/>
      <c r="V737" s="305">
        <f t="shared" si="46"/>
        <v>1500</v>
      </c>
      <c r="W737" s="305">
        <f t="shared" si="44"/>
        <v>375</v>
      </c>
      <c r="X737" s="288"/>
    </row>
    <row r="738" spans="1:24">
      <c r="A738" s="286">
        <v>100</v>
      </c>
      <c r="C738" s="286" t="s">
        <v>597</v>
      </c>
      <c r="D738" s="286" t="s">
        <v>678</v>
      </c>
      <c r="E738" s="286" t="s">
        <v>629</v>
      </c>
      <c r="F738" s="286">
        <v>26</v>
      </c>
      <c r="G738" s="425">
        <v>4000</v>
      </c>
      <c r="H738" s="425">
        <v>0</v>
      </c>
      <c r="J738" s="289"/>
      <c r="K738" s="289"/>
      <c r="L738" s="291"/>
      <c r="M738" s="291"/>
      <c r="N738" s="300"/>
      <c r="O738" s="296"/>
      <c r="P738" s="294"/>
      <c r="Q738" s="294"/>
      <c r="R738" s="295"/>
      <c r="S738" s="302">
        <f t="shared" si="45"/>
        <v>0</v>
      </c>
      <c r="T738" s="302"/>
      <c r="U738" s="303"/>
      <c r="V738" s="305">
        <f t="shared" si="46"/>
        <v>4000</v>
      </c>
      <c r="W738" s="305" t="str">
        <f t="shared" si="44"/>
        <v xml:space="preserve"> </v>
      </c>
      <c r="X738" s="288"/>
    </row>
    <row r="739" spans="1:24">
      <c r="A739" s="286">
        <v>101</v>
      </c>
      <c r="C739" s="286" t="s">
        <v>644</v>
      </c>
      <c r="D739" s="286"/>
      <c r="E739" s="286" t="s">
        <v>598</v>
      </c>
      <c r="F739" s="286">
        <f>IF(VLOOKUP(A739,'WP-5 Payroll Data'!$K$11:$O$151,3,FALSE)&gt;26,26,VLOOKUP(A739,'WP-5 Payroll Data'!$K$11:$O$151,3,FALSE))</f>
        <v>23</v>
      </c>
      <c r="G739" s="425">
        <v>6356.39</v>
      </c>
      <c r="H739" s="425">
        <v>375.21</v>
      </c>
      <c r="J739" s="289">
        <f>VLOOKUP(A739,'WP-5 Payroll Data'!$K$11:$O$151,4,FALSE)</f>
        <v>7893.22</v>
      </c>
      <c r="K739" s="289">
        <f>VLOOKUP(A739,'WP-5 Payroll Data'!$K$11:$O$151,5,FALSE)</f>
        <v>467.04999999999995</v>
      </c>
      <c r="L739" s="289">
        <f>J739/K739</f>
        <v>16.900160582378764</v>
      </c>
      <c r="M739" s="289"/>
      <c r="N739" s="300">
        <f>IF((K739/F739)*26&gt;1500,2080,IF((K739/F739)*26&gt;300,520,IF((K739/F739)*26&gt;100,260,K739)))</f>
        <v>520</v>
      </c>
      <c r="O739" s="296">
        <f>N739*L739</f>
        <v>8788.0835028369565</v>
      </c>
      <c r="P739" s="294"/>
      <c r="Q739" s="294">
        <f>O739*0.03</f>
        <v>263.64250508510867</v>
      </c>
      <c r="R739" s="295"/>
      <c r="S739" s="302">
        <f t="shared" si="45"/>
        <v>0</v>
      </c>
      <c r="T739" s="302"/>
      <c r="U739" s="303"/>
      <c r="V739" s="305">
        <f t="shared" si="46"/>
        <v>0</v>
      </c>
      <c r="W739" s="305" t="str">
        <f t="shared" si="44"/>
        <v xml:space="preserve"> </v>
      </c>
      <c r="X739" s="288"/>
    </row>
    <row r="740" spans="1:24">
      <c r="A740" s="286">
        <v>101</v>
      </c>
      <c r="C740" s="286" t="s">
        <v>644</v>
      </c>
      <c r="D740" s="286"/>
      <c r="E740" s="286" t="s">
        <v>599</v>
      </c>
      <c r="F740" s="286">
        <v>23</v>
      </c>
      <c r="G740" s="425">
        <v>608.46</v>
      </c>
      <c r="H740" s="425">
        <v>24.039999999999992</v>
      </c>
      <c r="J740" s="289"/>
      <c r="K740" s="289"/>
      <c r="L740" s="291"/>
      <c r="M740" s="291"/>
      <c r="N740" s="300"/>
      <c r="O740" s="296"/>
      <c r="P740" s="294"/>
      <c r="Q740" s="294"/>
      <c r="R740" s="295"/>
      <c r="S740" s="302">
        <f t="shared" si="45"/>
        <v>608.46</v>
      </c>
      <c r="T740" s="302">
        <f t="shared" si="47"/>
        <v>18.253800000000002</v>
      </c>
      <c r="U740" s="303"/>
      <c r="V740" s="305">
        <f t="shared" si="46"/>
        <v>0</v>
      </c>
      <c r="W740" s="305" t="str">
        <f t="shared" si="44"/>
        <v xml:space="preserve"> </v>
      </c>
      <c r="X740" s="288"/>
    </row>
    <row r="741" spans="1:24">
      <c r="A741" s="286">
        <v>101</v>
      </c>
      <c r="C741" s="286" t="s">
        <v>644</v>
      </c>
      <c r="D741" s="286"/>
      <c r="E741" s="286" t="s">
        <v>605</v>
      </c>
      <c r="F741" s="286">
        <v>23</v>
      </c>
      <c r="G741" s="425">
        <v>858.13000000000011</v>
      </c>
      <c r="H741" s="425">
        <v>51.75</v>
      </c>
      <c r="J741" s="289"/>
      <c r="K741" s="289"/>
      <c r="L741" s="291"/>
      <c r="M741" s="291"/>
      <c r="N741" s="300"/>
      <c r="O741" s="296"/>
      <c r="P741" s="294"/>
      <c r="Q741" s="294"/>
      <c r="R741" s="295"/>
      <c r="S741" s="302">
        <f t="shared" si="45"/>
        <v>0</v>
      </c>
      <c r="T741" s="302"/>
      <c r="U741" s="303"/>
      <c r="V741" s="305">
        <f t="shared" si="46"/>
        <v>0</v>
      </c>
      <c r="W741" s="305" t="str">
        <f t="shared" si="44"/>
        <v xml:space="preserve"> </v>
      </c>
      <c r="X741" s="288"/>
    </row>
    <row r="742" spans="1:24">
      <c r="A742" s="286">
        <v>101</v>
      </c>
      <c r="C742" s="286" t="s">
        <v>644</v>
      </c>
      <c r="D742" s="286"/>
      <c r="E742" s="286" t="s">
        <v>608</v>
      </c>
      <c r="F742" s="286">
        <v>23</v>
      </c>
      <c r="G742" s="425">
        <v>317.55</v>
      </c>
      <c r="H742" s="425">
        <v>18.810000000000002</v>
      </c>
      <c r="J742" s="289"/>
      <c r="K742" s="289"/>
      <c r="L742" s="291"/>
      <c r="M742" s="291"/>
      <c r="N742" s="300"/>
      <c r="O742" s="296"/>
      <c r="P742" s="294"/>
      <c r="Q742" s="294"/>
      <c r="R742" s="295"/>
      <c r="S742" s="302">
        <f t="shared" si="45"/>
        <v>0</v>
      </c>
      <c r="T742" s="302"/>
      <c r="U742" s="303"/>
      <c r="V742" s="305">
        <f t="shared" si="46"/>
        <v>0</v>
      </c>
      <c r="W742" s="305" t="str">
        <f t="shared" si="44"/>
        <v xml:space="preserve"> </v>
      </c>
      <c r="X742" s="288"/>
    </row>
    <row r="743" spans="1:24">
      <c r="A743" s="286">
        <v>101</v>
      </c>
      <c r="C743" s="286" t="s">
        <v>644</v>
      </c>
      <c r="D743" s="286"/>
      <c r="E743" s="286" t="s">
        <v>665</v>
      </c>
      <c r="F743" s="286">
        <v>23</v>
      </c>
      <c r="G743" s="425">
        <v>222.69</v>
      </c>
      <c r="H743" s="425">
        <v>13.03</v>
      </c>
      <c r="J743" s="289"/>
      <c r="K743" s="289"/>
      <c r="L743" s="291"/>
      <c r="M743" s="291"/>
      <c r="N743" s="300"/>
      <c r="O743" s="296"/>
      <c r="P743" s="294"/>
      <c r="Q743" s="294"/>
      <c r="R743" s="295"/>
      <c r="S743" s="302">
        <f t="shared" si="45"/>
        <v>0</v>
      </c>
      <c r="T743" s="302"/>
      <c r="U743" s="303"/>
      <c r="V743" s="305">
        <f t="shared" si="46"/>
        <v>0</v>
      </c>
      <c r="W743" s="305" t="str">
        <f t="shared" si="44"/>
        <v xml:space="preserve"> </v>
      </c>
      <c r="X743" s="288"/>
    </row>
    <row r="744" spans="1:24">
      <c r="A744" s="286">
        <v>101</v>
      </c>
      <c r="C744" s="286" t="s">
        <v>644</v>
      </c>
      <c r="D744" s="286"/>
      <c r="E744" s="286" t="s">
        <v>610</v>
      </c>
      <c r="F744" s="286">
        <v>23</v>
      </c>
      <c r="G744" s="425">
        <v>138.46</v>
      </c>
      <c r="H744" s="425">
        <v>8.25</v>
      </c>
      <c r="J744" s="289"/>
      <c r="K744" s="289"/>
      <c r="L744" s="291"/>
      <c r="M744" s="291"/>
      <c r="N744" s="300"/>
      <c r="O744" s="296"/>
      <c r="P744" s="294"/>
      <c r="Q744" s="294"/>
      <c r="R744" s="295"/>
      <c r="S744" s="302">
        <f t="shared" si="45"/>
        <v>0</v>
      </c>
      <c r="T744" s="302"/>
      <c r="U744" s="303"/>
      <c r="V744" s="305">
        <f t="shared" si="46"/>
        <v>0</v>
      </c>
      <c r="W744" s="305" t="str">
        <f t="shared" si="44"/>
        <v xml:space="preserve"> </v>
      </c>
      <c r="X744" s="288"/>
    </row>
    <row r="745" spans="1:24">
      <c r="A745" s="286">
        <v>101</v>
      </c>
      <c r="C745" s="286" t="s">
        <v>644</v>
      </c>
      <c r="D745" s="286"/>
      <c r="E745" s="286" t="s">
        <v>614</v>
      </c>
      <c r="F745" s="286">
        <v>23</v>
      </c>
      <c r="G745" s="425">
        <v>62.5</v>
      </c>
      <c r="H745" s="425">
        <v>0</v>
      </c>
      <c r="J745" s="289"/>
      <c r="K745" s="289"/>
      <c r="L745" s="291"/>
      <c r="M745" s="291"/>
      <c r="N745" s="300"/>
      <c r="O745" s="296"/>
      <c r="P745" s="294"/>
      <c r="Q745" s="294"/>
      <c r="R745" s="295"/>
      <c r="S745" s="302">
        <f t="shared" si="45"/>
        <v>0</v>
      </c>
      <c r="T745" s="302"/>
      <c r="U745" s="303"/>
      <c r="V745" s="305">
        <f t="shared" si="46"/>
        <v>62.5</v>
      </c>
      <c r="W745" s="305" t="str">
        <f t="shared" si="44"/>
        <v xml:space="preserve"> </v>
      </c>
      <c r="X745" s="288"/>
    </row>
    <row r="746" spans="1:24">
      <c r="A746" s="286">
        <v>101</v>
      </c>
      <c r="C746" s="286" t="s">
        <v>644</v>
      </c>
      <c r="D746" s="286"/>
      <c r="E746" s="286" t="s">
        <v>616</v>
      </c>
      <c r="F746" s="286">
        <v>23</v>
      </c>
      <c r="G746" s="425">
        <v>1281.25</v>
      </c>
      <c r="H746" s="425">
        <v>0</v>
      </c>
      <c r="J746" s="289"/>
      <c r="K746" s="289"/>
      <c r="L746" s="291"/>
      <c r="M746" s="291"/>
      <c r="N746" s="300"/>
      <c r="O746" s="296"/>
      <c r="P746" s="294"/>
      <c r="Q746" s="294"/>
      <c r="R746" s="295"/>
      <c r="S746" s="302">
        <f t="shared" si="45"/>
        <v>0</v>
      </c>
      <c r="T746" s="302"/>
      <c r="U746" s="303"/>
      <c r="V746" s="305">
        <f t="shared" si="46"/>
        <v>1281.25</v>
      </c>
      <c r="W746" s="305">
        <f t="shared" si="44"/>
        <v>320.3125</v>
      </c>
      <c r="X746" s="288"/>
    </row>
    <row r="747" spans="1:24">
      <c r="A747" s="286">
        <v>101</v>
      </c>
      <c r="C747" s="286" t="s">
        <v>644</v>
      </c>
      <c r="D747" s="286"/>
      <c r="E747" s="286" t="s">
        <v>632</v>
      </c>
      <c r="F747" s="286">
        <v>23</v>
      </c>
      <c r="G747" s="425">
        <v>678.25</v>
      </c>
      <c r="H747" s="425">
        <v>0</v>
      </c>
      <c r="J747" s="289"/>
      <c r="K747" s="289"/>
      <c r="L747" s="291"/>
      <c r="M747" s="291"/>
      <c r="N747" s="300"/>
      <c r="O747" s="296"/>
      <c r="P747" s="294"/>
      <c r="Q747" s="294"/>
      <c r="R747" s="295"/>
      <c r="S747" s="302">
        <f t="shared" si="45"/>
        <v>0</v>
      </c>
      <c r="T747" s="302"/>
      <c r="U747" s="303"/>
      <c r="V747" s="305">
        <f t="shared" si="46"/>
        <v>678.25</v>
      </c>
      <c r="W747" s="305">
        <f t="shared" si="44"/>
        <v>-678.25</v>
      </c>
      <c r="X747" s="288"/>
    </row>
    <row r="748" spans="1:24">
      <c r="A748" s="286">
        <v>102</v>
      </c>
      <c r="C748" s="286" t="s">
        <v>619</v>
      </c>
      <c r="D748" s="286" t="s">
        <v>668</v>
      </c>
      <c r="E748" s="286" t="s">
        <v>621</v>
      </c>
      <c r="F748" s="286">
        <f>IF(VLOOKUP(A748,'WP-5 Payroll Data'!$K$11:$O$151,3,FALSE)&gt;26,26,VLOOKUP(A748,'WP-5 Payroll Data'!$K$11:$O$151,3,FALSE))</f>
        <v>26</v>
      </c>
      <c r="G748" s="425">
        <v>35144.42</v>
      </c>
      <c r="H748" s="425">
        <v>1485.9</v>
      </c>
      <c r="J748" s="289">
        <f>VLOOKUP(A748,'WP-5 Payroll Data'!$K$11:$O$151,4,FALSE)</f>
        <v>49324.24</v>
      </c>
      <c r="K748" s="289">
        <f>VLOOKUP(A748,'WP-5 Payroll Data'!$K$11:$O$151,5,FALSE)</f>
        <v>2079.9</v>
      </c>
      <c r="L748" s="289">
        <f>J748/K748</f>
        <v>23.714717053704504</v>
      </c>
      <c r="M748" s="289"/>
      <c r="N748" s="300">
        <f>IF((K748/F748)*26&gt;1500,2080,IF((K748/F748)*26&gt;300,520,IF((K748/F748)*26&gt;100,260,K748)))</f>
        <v>2080</v>
      </c>
      <c r="O748" s="296">
        <f>N748*L748</f>
        <v>49326.611471705372</v>
      </c>
      <c r="P748" s="294"/>
      <c r="Q748" s="294">
        <f>O748*0.03</f>
        <v>1479.798344151161</v>
      </c>
      <c r="R748" s="295"/>
      <c r="S748" s="302">
        <f t="shared" si="45"/>
        <v>0</v>
      </c>
      <c r="T748" s="302"/>
      <c r="U748" s="303"/>
      <c r="V748" s="305">
        <f t="shared" si="46"/>
        <v>0</v>
      </c>
      <c r="W748" s="305" t="str">
        <f t="shared" si="44"/>
        <v xml:space="preserve"> </v>
      </c>
      <c r="X748" s="288"/>
    </row>
    <row r="749" spans="1:24">
      <c r="A749" s="286">
        <v>102</v>
      </c>
      <c r="C749" s="286" t="s">
        <v>619</v>
      </c>
      <c r="D749" s="286" t="s">
        <v>668</v>
      </c>
      <c r="E749" s="286" t="s">
        <v>622</v>
      </c>
      <c r="F749" s="286">
        <v>27</v>
      </c>
      <c r="G749" s="425">
        <v>2406.7999999999997</v>
      </c>
      <c r="H749" s="425">
        <v>96</v>
      </c>
      <c r="J749" s="289"/>
      <c r="K749" s="289"/>
      <c r="L749" s="291"/>
      <c r="M749" s="291"/>
      <c r="N749" s="300"/>
      <c r="O749" s="296"/>
      <c r="P749" s="294"/>
      <c r="Q749" s="294"/>
      <c r="R749" s="295"/>
      <c r="S749" s="302">
        <f t="shared" si="45"/>
        <v>0</v>
      </c>
      <c r="T749" s="302"/>
      <c r="U749" s="303"/>
      <c r="V749" s="305">
        <f t="shared" si="46"/>
        <v>0</v>
      </c>
      <c r="W749" s="305" t="str">
        <f t="shared" si="44"/>
        <v xml:space="preserve"> </v>
      </c>
      <c r="X749" s="288"/>
    </row>
    <row r="750" spans="1:24">
      <c r="A750" s="286">
        <v>102</v>
      </c>
      <c r="C750" s="286" t="s">
        <v>619</v>
      </c>
      <c r="D750" s="286" t="s">
        <v>668</v>
      </c>
      <c r="E750" s="286" t="s">
        <v>599</v>
      </c>
      <c r="F750" s="286">
        <v>27</v>
      </c>
      <c r="G750" s="425">
        <v>1907.3700000000001</v>
      </c>
      <c r="H750" s="425">
        <v>54.199999999999996</v>
      </c>
      <c r="J750" s="289"/>
      <c r="K750" s="289"/>
      <c r="L750" s="291"/>
      <c r="M750" s="291"/>
      <c r="N750" s="300"/>
      <c r="O750" s="296"/>
      <c r="P750" s="294"/>
      <c r="Q750" s="294"/>
      <c r="R750" s="295"/>
      <c r="S750" s="302">
        <f t="shared" si="45"/>
        <v>1907.3700000000001</v>
      </c>
      <c r="T750" s="302">
        <f t="shared" si="47"/>
        <v>57.2211</v>
      </c>
      <c r="U750" s="303"/>
      <c r="V750" s="305">
        <f t="shared" si="46"/>
        <v>0</v>
      </c>
      <c r="W750" s="305" t="str">
        <f t="shared" si="44"/>
        <v xml:space="preserve"> </v>
      </c>
      <c r="X750" s="288"/>
    </row>
    <row r="751" spans="1:24">
      <c r="A751" s="286">
        <v>102</v>
      </c>
      <c r="C751" s="286" t="s">
        <v>619</v>
      </c>
      <c r="D751" s="286" t="s">
        <v>668</v>
      </c>
      <c r="E751" s="286" t="s">
        <v>601</v>
      </c>
      <c r="F751" s="286">
        <v>27</v>
      </c>
      <c r="G751" s="425">
        <v>6864.1900000000005</v>
      </c>
      <c r="H751" s="425">
        <v>145.9</v>
      </c>
      <c r="J751" s="289"/>
      <c r="K751" s="289"/>
      <c r="L751" s="291"/>
      <c r="M751" s="291"/>
      <c r="N751" s="300"/>
      <c r="O751" s="296"/>
      <c r="P751" s="294"/>
      <c r="Q751" s="294"/>
      <c r="R751" s="295"/>
      <c r="S751" s="302">
        <f t="shared" si="45"/>
        <v>6864.1900000000005</v>
      </c>
      <c r="T751" s="302">
        <f t="shared" si="47"/>
        <v>205.92570000000001</v>
      </c>
      <c r="U751" s="303"/>
      <c r="V751" s="305">
        <f t="shared" si="46"/>
        <v>0</v>
      </c>
      <c r="W751" s="305" t="str">
        <f t="shared" si="44"/>
        <v xml:space="preserve"> </v>
      </c>
      <c r="X751" s="288"/>
    </row>
    <row r="752" spans="1:24">
      <c r="A752" s="286">
        <v>102</v>
      </c>
      <c r="C752" s="286" t="s">
        <v>619</v>
      </c>
      <c r="D752" s="286" t="s">
        <v>668</v>
      </c>
      <c r="E752" s="286" t="s">
        <v>603</v>
      </c>
      <c r="F752" s="286">
        <v>27</v>
      </c>
      <c r="G752" s="425">
        <v>461.39000000000004</v>
      </c>
      <c r="H752" s="425">
        <v>12.2</v>
      </c>
      <c r="J752" s="289"/>
      <c r="K752" s="289"/>
      <c r="L752" s="291"/>
      <c r="M752" s="291"/>
      <c r="N752" s="300"/>
      <c r="O752" s="296"/>
      <c r="P752" s="294"/>
      <c r="Q752" s="294"/>
      <c r="R752" s="295"/>
      <c r="S752" s="302">
        <f t="shared" si="45"/>
        <v>461.39000000000004</v>
      </c>
      <c r="T752" s="302">
        <f t="shared" si="47"/>
        <v>13.841700000000001</v>
      </c>
      <c r="U752" s="303"/>
      <c r="V752" s="305">
        <f t="shared" si="46"/>
        <v>0</v>
      </c>
      <c r="W752" s="305" t="str">
        <f t="shared" si="44"/>
        <v xml:space="preserve"> </v>
      </c>
      <c r="X752" s="288"/>
    </row>
    <row r="753" spans="1:24">
      <c r="A753" s="286">
        <v>102</v>
      </c>
      <c r="C753" s="286" t="s">
        <v>619</v>
      </c>
      <c r="D753" s="286" t="s">
        <v>668</v>
      </c>
      <c r="E753" s="286" t="s">
        <v>627</v>
      </c>
      <c r="F753" s="286">
        <v>27</v>
      </c>
      <c r="G753" s="425">
        <v>4809.96</v>
      </c>
      <c r="H753" s="425">
        <v>204</v>
      </c>
      <c r="J753" s="289"/>
      <c r="K753" s="289"/>
      <c r="L753" s="291"/>
      <c r="M753" s="291"/>
      <c r="N753" s="300"/>
      <c r="O753" s="296"/>
      <c r="P753" s="294"/>
      <c r="Q753" s="294"/>
      <c r="R753" s="295"/>
      <c r="S753" s="302">
        <f t="shared" si="45"/>
        <v>0</v>
      </c>
      <c r="T753" s="302"/>
      <c r="U753" s="303"/>
      <c r="V753" s="305">
        <f t="shared" si="46"/>
        <v>0</v>
      </c>
      <c r="W753" s="305" t="str">
        <f t="shared" si="44"/>
        <v xml:space="preserve"> </v>
      </c>
      <c r="X753" s="288"/>
    </row>
    <row r="754" spans="1:24">
      <c r="A754" s="286">
        <v>102</v>
      </c>
      <c r="C754" s="286" t="s">
        <v>619</v>
      </c>
      <c r="D754" s="286" t="s">
        <v>668</v>
      </c>
      <c r="E754" s="286" t="s">
        <v>630</v>
      </c>
      <c r="F754" s="286">
        <v>27</v>
      </c>
      <c r="G754" s="425">
        <v>4044.6899999999996</v>
      </c>
      <c r="H754" s="425">
        <v>171</v>
      </c>
      <c r="J754" s="289"/>
      <c r="K754" s="289"/>
      <c r="L754" s="291"/>
      <c r="M754" s="291"/>
      <c r="N754" s="300"/>
      <c r="O754" s="296"/>
      <c r="P754" s="294"/>
      <c r="Q754" s="294"/>
      <c r="R754" s="295"/>
      <c r="S754" s="302">
        <f t="shared" si="45"/>
        <v>0</v>
      </c>
      <c r="T754" s="302"/>
      <c r="U754" s="303"/>
      <c r="V754" s="305">
        <f t="shared" si="46"/>
        <v>0</v>
      </c>
      <c r="W754" s="305" t="str">
        <f t="shared" si="44"/>
        <v xml:space="preserve"> </v>
      </c>
      <c r="X754" s="288"/>
    </row>
    <row r="755" spans="1:24">
      <c r="A755" s="286">
        <v>102</v>
      </c>
      <c r="C755" s="286" t="s">
        <v>619</v>
      </c>
      <c r="D755" s="286" t="s">
        <v>668</v>
      </c>
      <c r="E755" s="286" t="s">
        <v>633</v>
      </c>
      <c r="F755" s="286">
        <v>27</v>
      </c>
      <c r="G755" s="425">
        <v>2663.28</v>
      </c>
      <c r="H755" s="425">
        <v>112</v>
      </c>
      <c r="J755" s="289"/>
      <c r="K755" s="289"/>
      <c r="L755" s="291"/>
      <c r="M755" s="291"/>
      <c r="N755" s="300"/>
      <c r="O755" s="296"/>
      <c r="P755" s="294"/>
      <c r="Q755" s="294"/>
      <c r="R755" s="295"/>
      <c r="S755" s="302">
        <f t="shared" si="45"/>
        <v>0</v>
      </c>
      <c r="T755" s="302"/>
      <c r="U755" s="303"/>
      <c r="V755" s="305">
        <f t="shared" si="46"/>
        <v>0</v>
      </c>
      <c r="W755" s="305" t="str">
        <f t="shared" si="44"/>
        <v xml:space="preserve"> </v>
      </c>
      <c r="X755" s="288"/>
    </row>
    <row r="756" spans="1:24">
      <c r="A756" s="286">
        <v>102</v>
      </c>
      <c r="C756" s="286" t="s">
        <v>619</v>
      </c>
      <c r="D756" s="286" t="s">
        <v>668</v>
      </c>
      <c r="E756" s="286" t="s">
        <v>634</v>
      </c>
      <c r="F756" s="286">
        <v>27</v>
      </c>
      <c r="G756" s="425">
        <v>255.09</v>
      </c>
      <c r="H756" s="425">
        <v>11</v>
      </c>
      <c r="J756" s="289"/>
      <c r="K756" s="289"/>
      <c r="L756" s="291"/>
      <c r="M756" s="291"/>
      <c r="N756" s="300"/>
      <c r="O756" s="296"/>
      <c r="P756" s="294"/>
      <c r="Q756" s="294"/>
      <c r="R756" s="295"/>
      <c r="S756" s="302">
        <f t="shared" si="45"/>
        <v>0</v>
      </c>
      <c r="T756" s="302"/>
      <c r="U756" s="303"/>
      <c r="V756" s="305">
        <f t="shared" si="46"/>
        <v>0</v>
      </c>
      <c r="W756" s="305" t="str">
        <f t="shared" si="44"/>
        <v xml:space="preserve"> </v>
      </c>
      <c r="X756" s="288"/>
    </row>
    <row r="757" spans="1:24">
      <c r="A757" s="286">
        <v>102</v>
      </c>
      <c r="C757" s="286" t="s">
        <v>619</v>
      </c>
      <c r="D757" s="286" t="s">
        <v>668</v>
      </c>
      <c r="E757" s="286" t="s">
        <v>623</v>
      </c>
      <c r="F757" s="286">
        <v>27</v>
      </c>
      <c r="G757" s="425">
        <v>250</v>
      </c>
      <c r="H757" s="425">
        <v>0</v>
      </c>
      <c r="J757" s="289"/>
      <c r="K757" s="289"/>
      <c r="L757" s="291"/>
      <c r="M757" s="291"/>
      <c r="N757" s="300"/>
      <c r="O757" s="296"/>
      <c r="P757" s="294"/>
      <c r="Q757" s="294"/>
      <c r="R757" s="295"/>
      <c r="S757" s="302">
        <f t="shared" si="45"/>
        <v>0</v>
      </c>
      <c r="T757" s="302"/>
      <c r="U757" s="303"/>
      <c r="V757" s="305">
        <f t="shared" si="46"/>
        <v>250</v>
      </c>
      <c r="W757" s="305" t="str">
        <f t="shared" si="44"/>
        <v xml:space="preserve"> </v>
      </c>
      <c r="X757" s="288"/>
    </row>
    <row r="758" spans="1:24">
      <c r="A758" s="286">
        <v>102</v>
      </c>
      <c r="C758" s="286" t="s">
        <v>619</v>
      </c>
      <c r="D758" s="286" t="s">
        <v>668</v>
      </c>
      <c r="E758" s="286" t="s">
        <v>625</v>
      </c>
      <c r="F758" s="286">
        <v>27</v>
      </c>
      <c r="G758" s="425">
        <v>4200</v>
      </c>
      <c r="H758" s="425">
        <v>0</v>
      </c>
      <c r="J758" s="289"/>
      <c r="K758" s="289"/>
      <c r="L758" s="291"/>
      <c r="M758" s="291"/>
      <c r="N758" s="300"/>
      <c r="O758" s="296"/>
      <c r="P758" s="294"/>
      <c r="Q758" s="294"/>
      <c r="R758" s="295"/>
      <c r="S758" s="302">
        <f t="shared" si="45"/>
        <v>0</v>
      </c>
      <c r="T758" s="302"/>
      <c r="U758" s="303"/>
      <c r="V758" s="305">
        <f t="shared" si="46"/>
        <v>4200</v>
      </c>
      <c r="W758" s="305">
        <f t="shared" si="44"/>
        <v>1050</v>
      </c>
      <c r="X758" s="288"/>
    </row>
    <row r="759" spans="1:24">
      <c r="A759" s="286">
        <v>102</v>
      </c>
      <c r="C759" s="286" t="s">
        <v>619</v>
      </c>
      <c r="D759" s="286" t="s">
        <v>668</v>
      </c>
      <c r="E759" s="286" t="s">
        <v>629</v>
      </c>
      <c r="F759" s="286">
        <v>27</v>
      </c>
      <c r="G759" s="425">
        <v>3875</v>
      </c>
      <c r="H759" s="425">
        <v>0</v>
      </c>
      <c r="J759" s="289"/>
      <c r="K759" s="289"/>
      <c r="L759" s="291"/>
      <c r="M759" s="291"/>
      <c r="N759" s="300"/>
      <c r="O759" s="296"/>
      <c r="P759" s="294"/>
      <c r="Q759" s="294"/>
      <c r="R759" s="295"/>
      <c r="S759" s="302">
        <f t="shared" si="45"/>
        <v>0</v>
      </c>
      <c r="T759" s="302"/>
      <c r="U759" s="303"/>
      <c r="V759" s="305">
        <f t="shared" si="46"/>
        <v>3875</v>
      </c>
      <c r="W759" s="305" t="str">
        <f t="shared" si="44"/>
        <v xml:space="preserve"> </v>
      </c>
      <c r="X759" s="288"/>
    </row>
    <row r="760" spans="1:24">
      <c r="A760" s="286">
        <v>102</v>
      </c>
      <c r="C760" s="286" t="s">
        <v>619</v>
      </c>
      <c r="D760" s="286" t="s">
        <v>668</v>
      </c>
      <c r="E760" s="286" t="s">
        <v>632</v>
      </c>
      <c r="F760" s="286">
        <v>27</v>
      </c>
      <c r="G760" s="425">
        <v>11487.76</v>
      </c>
      <c r="H760" s="425">
        <v>0</v>
      </c>
      <c r="J760" s="289"/>
      <c r="K760" s="289"/>
      <c r="L760" s="291"/>
      <c r="M760" s="291"/>
      <c r="N760" s="300"/>
      <c r="O760" s="296"/>
      <c r="P760" s="294"/>
      <c r="Q760" s="294"/>
      <c r="R760" s="295"/>
      <c r="S760" s="302">
        <f t="shared" si="45"/>
        <v>0</v>
      </c>
      <c r="T760" s="302"/>
      <c r="U760" s="303"/>
      <c r="V760" s="305">
        <f t="shared" si="46"/>
        <v>11487.76</v>
      </c>
      <c r="W760" s="305">
        <f t="shared" si="44"/>
        <v>-11487.76</v>
      </c>
      <c r="X760" s="288"/>
    </row>
    <row r="761" spans="1:24">
      <c r="A761" s="286">
        <v>103</v>
      </c>
      <c r="C761" s="286" t="s">
        <v>597</v>
      </c>
      <c r="D761" s="286"/>
      <c r="E761" s="286" t="s">
        <v>598</v>
      </c>
      <c r="F761" s="286">
        <f>IF(VLOOKUP(A761,'WP-5 Payroll Data'!$K$11:$O$151,3,FALSE)&gt;26,26,VLOOKUP(A761,'WP-5 Payroll Data'!$K$11:$O$151,3,FALSE))</f>
        <v>26</v>
      </c>
      <c r="G761" s="425">
        <v>7606.4800000000014</v>
      </c>
      <c r="H761" s="425">
        <v>217.80999999999997</v>
      </c>
      <c r="J761" s="289">
        <f>VLOOKUP(A761,'WP-5 Payroll Data'!$K$11:$O$151,4,FALSE)</f>
        <v>9005.24</v>
      </c>
      <c r="K761" s="289">
        <f>VLOOKUP(A761,'WP-5 Payroll Data'!$K$11:$O$151,5,FALSE)</f>
        <v>258.06</v>
      </c>
      <c r="L761" s="289">
        <f>J761/K761</f>
        <v>34.895915678524375</v>
      </c>
      <c r="M761" s="289"/>
      <c r="N761" s="300">
        <f>IF((K761/F761)*26&gt;1500,2080,IF((K761/F761)*26&gt;300,520,IF((K761/F761)*26&gt;100,260,K761)))</f>
        <v>260</v>
      </c>
      <c r="O761" s="296">
        <f>N761*L761</f>
        <v>9072.9380764163379</v>
      </c>
      <c r="P761" s="294"/>
      <c r="Q761" s="294">
        <f>O761*0.03</f>
        <v>272.18814229249011</v>
      </c>
      <c r="R761" s="295"/>
      <c r="S761" s="302">
        <f t="shared" si="45"/>
        <v>0</v>
      </c>
      <c r="T761" s="302"/>
      <c r="U761" s="303"/>
      <c r="V761" s="305">
        <f t="shared" si="46"/>
        <v>0</v>
      </c>
      <c r="W761" s="305" t="str">
        <f t="shared" si="44"/>
        <v xml:space="preserve"> </v>
      </c>
      <c r="X761" s="288"/>
    </row>
    <row r="762" spans="1:24">
      <c r="A762" s="286">
        <v>103</v>
      </c>
      <c r="C762" s="286" t="s">
        <v>597</v>
      </c>
      <c r="D762" s="286"/>
      <c r="E762" s="286" t="s">
        <v>605</v>
      </c>
      <c r="F762" s="286">
        <v>26</v>
      </c>
      <c r="G762" s="425">
        <v>873.16</v>
      </c>
      <c r="H762" s="425">
        <v>25.069999999999997</v>
      </c>
      <c r="J762" s="289"/>
      <c r="K762" s="289"/>
      <c r="L762" s="291"/>
      <c r="M762" s="291"/>
      <c r="N762" s="300"/>
      <c r="O762" s="296"/>
      <c r="P762" s="294"/>
      <c r="Q762" s="294"/>
      <c r="R762" s="295"/>
      <c r="S762" s="302">
        <f t="shared" si="45"/>
        <v>0</v>
      </c>
      <c r="T762" s="302"/>
      <c r="U762" s="303"/>
      <c r="V762" s="305">
        <f t="shared" si="46"/>
        <v>0</v>
      </c>
      <c r="W762" s="305" t="str">
        <f t="shared" si="44"/>
        <v xml:space="preserve"> </v>
      </c>
      <c r="X762" s="288"/>
    </row>
    <row r="763" spans="1:24">
      <c r="A763" s="286">
        <v>103</v>
      </c>
      <c r="C763" s="286" t="s">
        <v>597</v>
      </c>
      <c r="D763" s="286"/>
      <c r="E763" s="286" t="s">
        <v>608</v>
      </c>
      <c r="F763" s="286">
        <v>26</v>
      </c>
      <c r="G763" s="425">
        <v>394.38000000000005</v>
      </c>
      <c r="H763" s="425">
        <v>11.3</v>
      </c>
      <c r="J763" s="289"/>
      <c r="K763" s="289"/>
      <c r="L763" s="291"/>
      <c r="M763" s="291"/>
      <c r="N763" s="300"/>
      <c r="O763" s="296"/>
      <c r="P763" s="294"/>
      <c r="Q763" s="294"/>
      <c r="R763" s="295"/>
      <c r="S763" s="302">
        <f t="shared" si="45"/>
        <v>0</v>
      </c>
      <c r="T763" s="302"/>
      <c r="U763" s="303"/>
      <c r="V763" s="305">
        <f t="shared" si="46"/>
        <v>0</v>
      </c>
      <c r="W763" s="305" t="str">
        <f t="shared" si="44"/>
        <v xml:space="preserve"> </v>
      </c>
      <c r="X763" s="288"/>
    </row>
    <row r="764" spans="1:24">
      <c r="A764" s="286">
        <v>103</v>
      </c>
      <c r="C764" s="286" t="s">
        <v>597</v>
      </c>
      <c r="D764" s="286"/>
      <c r="E764" s="286" t="s">
        <v>652</v>
      </c>
      <c r="F764" s="286">
        <v>26</v>
      </c>
      <c r="G764" s="425">
        <v>-4.24</v>
      </c>
      <c r="H764" s="425">
        <v>0</v>
      </c>
      <c r="J764" s="289"/>
      <c r="K764" s="289"/>
      <c r="L764" s="291"/>
      <c r="M764" s="291"/>
      <c r="N764" s="300"/>
      <c r="O764" s="296"/>
      <c r="P764" s="294"/>
      <c r="Q764" s="294"/>
      <c r="R764" s="295"/>
      <c r="S764" s="302">
        <f t="shared" si="45"/>
        <v>0</v>
      </c>
      <c r="T764" s="302"/>
      <c r="U764" s="303"/>
      <c r="V764" s="305">
        <f t="shared" si="46"/>
        <v>0</v>
      </c>
      <c r="W764" s="305" t="str">
        <f t="shared" si="44"/>
        <v xml:space="preserve"> </v>
      </c>
      <c r="X764" s="288"/>
    </row>
    <row r="765" spans="1:24">
      <c r="A765" s="286">
        <v>103</v>
      </c>
      <c r="C765" s="286" t="s">
        <v>597</v>
      </c>
      <c r="D765" s="286"/>
      <c r="E765" s="286" t="s">
        <v>602</v>
      </c>
      <c r="F765" s="286">
        <v>26</v>
      </c>
      <c r="G765" s="425">
        <v>69.91</v>
      </c>
      <c r="H765" s="425">
        <v>2.0099999999999998</v>
      </c>
      <c r="J765" s="289"/>
      <c r="K765" s="289"/>
      <c r="L765" s="291"/>
      <c r="M765" s="291"/>
      <c r="N765" s="300"/>
      <c r="O765" s="296"/>
      <c r="P765" s="294"/>
      <c r="Q765" s="294"/>
      <c r="R765" s="295"/>
      <c r="S765" s="302">
        <f t="shared" si="45"/>
        <v>0</v>
      </c>
      <c r="T765" s="302"/>
      <c r="U765" s="303"/>
      <c r="V765" s="305">
        <f t="shared" si="46"/>
        <v>69.91</v>
      </c>
      <c r="W765" s="305" t="str">
        <f t="shared" si="44"/>
        <v xml:space="preserve"> </v>
      </c>
      <c r="X765" s="288"/>
    </row>
    <row r="766" spans="1:24">
      <c r="A766" s="286">
        <v>103</v>
      </c>
      <c r="C766" s="286" t="s">
        <v>597</v>
      </c>
      <c r="D766" s="286"/>
      <c r="E766" s="286" t="s">
        <v>646</v>
      </c>
      <c r="F766" s="286">
        <v>26</v>
      </c>
      <c r="G766" s="425">
        <v>17.48</v>
      </c>
      <c r="H766" s="425">
        <v>0.5</v>
      </c>
      <c r="J766" s="289"/>
      <c r="K766" s="289"/>
      <c r="L766" s="291"/>
      <c r="M766" s="291"/>
      <c r="N766" s="300"/>
      <c r="O766" s="296"/>
      <c r="P766" s="294"/>
      <c r="Q766" s="294"/>
      <c r="R766" s="295"/>
      <c r="S766" s="302">
        <f t="shared" si="45"/>
        <v>0</v>
      </c>
      <c r="T766" s="302"/>
      <c r="U766" s="303"/>
      <c r="V766" s="305">
        <f t="shared" si="46"/>
        <v>0</v>
      </c>
      <c r="W766" s="305" t="str">
        <f t="shared" si="44"/>
        <v xml:space="preserve"> </v>
      </c>
      <c r="X766" s="288"/>
    </row>
    <row r="767" spans="1:24">
      <c r="A767" s="286">
        <v>103</v>
      </c>
      <c r="C767" s="286" t="s">
        <v>597</v>
      </c>
      <c r="D767" s="286"/>
      <c r="E767" s="286" t="s">
        <v>610</v>
      </c>
      <c r="F767" s="286">
        <v>26</v>
      </c>
      <c r="G767" s="425">
        <v>117.98</v>
      </c>
      <c r="H767" s="425">
        <v>3.38</v>
      </c>
      <c r="J767" s="289"/>
      <c r="K767" s="289"/>
      <c r="L767" s="291"/>
      <c r="M767" s="291"/>
      <c r="N767" s="300"/>
      <c r="O767" s="296"/>
      <c r="P767" s="294"/>
      <c r="Q767" s="294"/>
      <c r="R767" s="295"/>
      <c r="S767" s="302">
        <f t="shared" si="45"/>
        <v>0</v>
      </c>
      <c r="T767" s="302"/>
      <c r="U767" s="303"/>
      <c r="V767" s="305">
        <f t="shared" si="46"/>
        <v>0</v>
      </c>
      <c r="W767" s="305" t="str">
        <f t="shared" si="44"/>
        <v xml:space="preserve"> </v>
      </c>
      <c r="X767" s="288"/>
    </row>
    <row r="768" spans="1:24">
      <c r="A768" s="286">
        <v>103</v>
      </c>
      <c r="C768" s="286" t="s">
        <v>597</v>
      </c>
      <c r="D768" s="286"/>
      <c r="E768" s="286" t="s">
        <v>612</v>
      </c>
      <c r="F768" s="286">
        <v>26</v>
      </c>
      <c r="G768" s="425">
        <v>12.5</v>
      </c>
      <c r="H768" s="425">
        <v>0</v>
      </c>
      <c r="J768" s="289"/>
      <c r="K768" s="289"/>
      <c r="L768" s="291"/>
      <c r="M768" s="291"/>
      <c r="N768" s="300"/>
      <c r="O768" s="296"/>
      <c r="P768" s="294"/>
      <c r="Q768" s="294"/>
      <c r="R768" s="295"/>
      <c r="S768" s="302">
        <f t="shared" si="45"/>
        <v>0</v>
      </c>
      <c r="T768" s="302"/>
      <c r="U768" s="303"/>
      <c r="V768" s="305">
        <f t="shared" si="46"/>
        <v>12.5</v>
      </c>
      <c r="W768" s="305" t="str">
        <f t="shared" si="44"/>
        <v xml:space="preserve"> </v>
      </c>
      <c r="X768" s="288"/>
    </row>
    <row r="769" spans="1:24">
      <c r="A769" s="286">
        <v>103</v>
      </c>
      <c r="C769" s="286" t="s">
        <v>597</v>
      </c>
      <c r="D769" s="286"/>
      <c r="E769" s="286" t="s">
        <v>624</v>
      </c>
      <c r="F769" s="286">
        <v>26</v>
      </c>
      <c r="G769" s="425">
        <v>375</v>
      </c>
      <c r="H769" s="425">
        <v>0</v>
      </c>
      <c r="J769" s="289"/>
      <c r="K769" s="289"/>
      <c r="L769" s="291"/>
      <c r="M769" s="291"/>
      <c r="N769" s="300"/>
      <c r="O769" s="296"/>
      <c r="P769" s="294"/>
      <c r="Q769" s="294"/>
      <c r="R769" s="295"/>
      <c r="S769" s="302">
        <f t="shared" si="45"/>
        <v>0</v>
      </c>
      <c r="T769" s="302"/>
      <c r="U769" s="303"/>
      <c r="V769" s="305">
        <f t="shared" si="46"/>
        <v>375</v>
      </c>
      <c r="W769" s="305">
        <f t="shared" si="44"/>
        <v>93.75</v>
      </c>
      <c r="X769" s="288"/>
    </row>
    <row r="770" spans="1:24">
      <c r="A770" s="286">
        <v>104</v>
      </c>
      <c r="C770" s="286" t="s">
        <v>597</v>
      </c>
      <c r="D770" s="286"/>
      <c r="E770" s="286" t="s">
        <v>598</v>
      </c>
      <c r="F770" s="286">
        <f>IF(VLOOKUP(A770,'WP-5 Payroll Data'!$K$11:$O$151,3,FALSE)&gt;26,26,VLOOKUP(A770,'WP-5 Payroll Data'!$K$11:$O$151,3,FALSE))</f>
        <v>26</v>
      </c>
      <c r="G770" s="425">
        <v>17725.5</v>
      </c>
      <c r="H770" s="425">
        <v>338</v>
      </c>
      <c r="J770" s="289">
        <f>VLOOKUP(A770,'WP-5 Payroll Data'!$K$11:$O$151,4,FALSE)</f>
        <v>17725.5</v>
      </c>
      <c r="K770" s="289">
        <f>VLOOKUP(A770,'WP-5 Payroll Data'!$K$11:$O$151,5,FALSE)</f>
        <v>338</v>
      </c>
      <c r="L770" s="289">
        <f>J770/K770</f>
        <v>52.442307692307693</v>
      </c>
      <c r="M770" s="289"/>
      <c r="N770" s="300">
        <f>IF((K770/F770)*26&gt;1500,2080,IF((K770/F770)*26&gt;300,520,IF((K770/F770)*26&gt;100,260,K770)))</f>
        <v>520</v>
      </c>
      <c r="O770" s="296">
        <f>N770*L770</f>
        <v>27270</v>
      </c>
      <c r="P770" s="294"/>
      <c r="Q770" s="294">
        <f>O770*0.03</f>
        <v>818.1</v>
      </c>
      <c r="R770" s="295"/>
      <c r="S770" s="302">
        <f t="shared" si="45"/>
        <v>0</v>
      </c>
      <c r="T770" s="302"/>
      <c r="U770" s="303"/>
      <c r="V770" s="305">
        <f t="shared" si="46"/>
        <v>0</v>
      </c>
      <c r="W770" s="305" t="str">
        <f t="shared" si="44"/>
        <v xml:space="preserve"> </v>
      </c>
      <c r="X770" s="288"/>
    </row>
    <row r="771" spans="1:24">
      <c r="A771" s="286">
        <v>104</v>
      </c>
      <c r="C771" s="286" t="s">
        <v>597</v>
      </c>
      <c r="D771" s="286"/>
      <c r="E771" s="286" t="s">
        <v>624</v>
      </c>
      <c r="F771" s="286">
        <v>26</v>
      </c>
      <c r="G771" s="425">
        <v>48.75</v>
      </c>
      <c r="H771" s="425">
        <v>0</v>
      </c>
      <c r="J771" s="289"/>
      <c r="K771" s="289"/>
      <c r="L771" s="291"/>
      <c r="M771" s="291"/>
      <c r="N771" s="300"/>
      <c r="O771" s="296"/>
      <c r="P771" s="294"/>
      <c r="Q771" s="294"/>
      <c r="R771" s="295"/>
      <c r="S771" s="302">
        <f t="shared" si="45"/>
        <v>0</v>
      </c>
      <c r="T771" s="302"/>
      <c r="U771" s="303"/>
      <c r="V771" s="305">
        <f t="shared" si="46"/>
        <v>48.75</v>
      </c>
      <c r="W771" s="305">
        <f t="shared" si="44"/>
        <v>12.1875</v>
      </c>
      <c r="X771" s="288"/>
    </row>
    <row r="772" spans="1:24">
      <c r="A772" s="286">
        <v>105</v>
      </c>
      <c r="C772" s="286" t="s">
        <v>644</v>
      </c>
      <c r="D772" s="286"/>
      <c r="E772" s="286" t="s">
        <v>598</v>
      </c>
      <c r="F772" s="286">
        <f>IF(VLOOKUP(A772,'WP-5 Payroll Data'!$K$11:$O$151,3,FALSE)&gt;26,26,VLOOKUP(A772,'WP-5 Payroll Data'!$K$11:$O$151,3,FALSE))</f>
        <v>26</v>
      </c>
      <c r="G772" s="425">
        <v>8081.6500000000024</v>
      </c>
      <c r="H772" s="425">
        <v>469.75</v>
      </c>
      <c r="J772" s="289">
        <f>VLOOKUP(A772,'WP-5 Payroll Data'!$K$11:$O$151,4,FALSE)</f>
        <v>8947.2400000000016</v>
      </c>
      <c r="K772" s="289">
        <f>VLOOKUP(A772,'WP-5 Payroll Data'!$K$11:$O$151,5,FALSE)</f>
        <v>520</v>
      </c>
      <c r="L772" s="289">
        <f>J772/K772</f>
        <v>17.206230769230771</v>
      </c>
      <c r="M772" s="289"/>
      <c r="N772" s="300">
        <f>IF((K772/F772)*26&gt;1500,2080,IF((K772/F772)*26&gt;300,520,IF((K772/F772)*26&gt;100,260,K772)))</f>
        <v>520</v>
      </c>
      <c r="O772" s="296">
        <f>N772*L772</f>
        <v>8947.2400000000016</v>
      </c>
      <c r="P772" s="294"/>
      <c r="Q772" s="294">
        <f>O772*0.03</f>
        <v>268.41720000000004</v>
      </c>
      <c r="R772" s="295"/>
      <c r="S772" s="302">
        <f t="shared" si="45"/>
        <v>0</v>
      </c>
      <c r="T772" s="302"/>
      <c r="U772" s="303"/>
      <c r="V772" s="305">
        <f t="shared" si="46"/>
        <v>0</v>
      </c>
      <c r="W772" s="305" t="str">
        <f t="shared" si="44"/>
        <v xml:space="preserve"> </v>
      </c>
      <c r="X772" s="288"/>
    </row>
    <row r="773" spans="1:24">
      <c r="A773" s="286">
        <v>105</v>
      </c>
      <c r="C773" s="286" t="s">
        <v>644</v>
      </c>
      <c r="D773" s="286"/>
      <c r="E773" s="286" t="s">
        <v>599</v>
      </c>
      <c r="F773" s="286">
        <v>26</v>
      </c>
      <c r="G773" s="425">
        <v>90.98</v>
      </c>
      <c r="H773" s="425">
        <v>3.5499999999999994</v>
      </c>
      <c r="J773" s="289"/>
      <c r="K773" s="289"/>
      <c r="L773" s="291"/>
      <c r="M773" s="291"/>
      <c r="N773" s="300"/>
      <c r="O773" s="296"/>
      <c r="P773" s="294"/>
      <c r="Q773" s="294"/>
      <c r="R773" s="295"/>
      <c r="S773" s="302">
        <f t="shared" si="45"/>
        <v>90.98</v>
      </c>
      <c r="T773" s="302">
        <f t="shared" si="47"/>
        <v>2.7294</v>
      </c>
      <c r="U773" s="303"/>
      <c r="V773" s="305">
        <f t="shared" si="46"/>
        <v>0</v>
      </c>
      <c r="W773" s="305" t="str">
        <f t="shared" si="44"/>
        <v xml:space="preserve"> </v>
      </c>
      <c r="X773" s="288"/>
    </row>
    <row r="774" spans="1:24">
      <c r="A774" s="286">
        <v>105</v>
      </c>
      <c r="C774" s="286" t="s">
        <v>644</v>
      </c>
      <c r="D774" s="286"/>
      <c r="E774" s="286" t="s">
        <v>605</v>
      </c>
      <c r="F774" s="286">
        <v>26</v>
      </c>
      <c r="G774" s="425">
        <v>516.77</v>
      </c>
      <c r="H774" s="425">
        <v>30</v>
      </c>
      <c r="J774" s="289"/>
      <c r="K774" s="289"/>
      <c r="L774" s="291"/>
      <c r="M774" s="291"/>
      <c r="N774" s="300"/>
      <c r="O774" s="296"/>
      <c r="P774" s="294"/>
      <c r="Q774" s="294"/>
      <c r="R774" s="295"/>
      <c r="S774" s="302">
        <f t="shared" si="45"/>
        <v>0</v>
      </c>
      <c r="T774" s="302"/>
      <c r="U774" s="303"/>
      <c r="V774" s="305">
        <f t="shared" si="46"/>
        <v>0</v>
      </c>
      <c r="W774" s="305" t="str">
        <f t="shared" si="44"/>
        <v xml:space="preserve"> </v>
      </c>
      <c r="X774" s="288"/>
    </row>
    <row r="775" spans="1:24">
      <c r="A775" s="286">
        <v>105</v>
      </c>
      <c r="C775" s="286" t="s">
        <v>644</v>
      </c>
      <c r="D775" s="286"/>
      <c r="E775" s="286" t="s">
        <v>608</v>
      </c>
      <c r="F775" s="286">
        <v>26</v>
      </c>
      <c r="G775" s="425">
        <v>245.46999999999997</v>
      </c>
      <c r="H775" s="425">
        <v>14.25</v>
      </c>
      <c r="J775" s="289"/>
      <c r="K775" s="289"/>
      <c r="L775" s="291"/>
      <c r="M775" s="291"/>
      <c r="N775" s="300"/>
      <c r="O775" s="296"/>
      <c r="P775" s="294"/>
      <c r="Q775" s="294"/>
      <c r="R775" s="295"/>
      <c r="S775" s="302">
        <f t="shared" si="45"/>
        <v>0</v>
      </c>
      <c r="T775" s="302"/>
      <c r="U775" s="303"/>
      <c r="V775" s="305">
        <f t="shared" si="46"/>
        <v>0</v>
      </c>
      <c r="W775" s="305" t="str">
        <f t="shared" si="44"/>
        <v xml:space="preserve"> </v>
      </c>
      <c r="X775" s="288"/>
    </row>
    <row r="776" spans="1:24">
      <c r="A776" s="286">
        <v>105</v>
      </c>
      <c r="C776" s="286" t="s">
        <v>644</v>
      </c>
      <c r="D776" s="286"/>
      <c r="E776" s="286" t="s">
        <v>610</v>
      </c>
      <c r="F776" s="286">
        <v>26</v>
      </c>
      <c r="G776" s="425">
        <v>103.35000000000001</v>
      </c>
      <c r="H776" s="425">
        <v>6</v>
      </c>
      <c r="J776" s="289"/>
      <c r="K776" s="289"/>
      <c r="L776" s="291"/>
      <c r="M776" s="291"/>
      <c r="N776" s="300"/>
      <c r="O776" s="296"/>
      <c r="P776" s="294"/>
      <c r="Q776" s="294"/>
      <c r="R776" s="295"/>
      <c r="S776" s="302">
        <f t="shared" si="45"/>
        <v>0</v>
      </c>
      <c r="T776" s="302"/>
      <c r="U776" s="303"/>
      <c r="V776" s="305">
        <f t="shared" si="46"/>
        <v>0</v>
      </c>
      <c r="W776" s="305" t="str">
        <f t="shared" si="44"/>
        <v xml:space="preserve"> </v>
      </c>
      <c r="X776" s="288"/>
    </row>
    <row r="777" spans="1:24">
      <c r="A777" s="286">
        <v>105</v>
      </c>
      <c r="C777" s="286" t="s">
        <v>644</v>
      </c>
      <c r="D777" s="286"/>
      <c r="E777" s="286" t="s">
        <v>612</v>
      </c>
      <c r="F777" s="286">
        <v>26</v>
      </c>
      <c r="G777" s="425">
        <v>50</v>
      </c>
      <c r="H777" s="425">
        <v>0</v>
      </c>
      <c r="J777" s="289"/>
      <c r="K777" s="289"/>
      <c r="L777" s="291"/>
      <c r="M777" s="291"/>
      <c r="N777" s="300"/>
      <c r="O777" s="296"/>
      <c r="P777" s="294"/>
      <c r="Q777" s="294"/>
      <c r="R777" s="295"/>
      <c r="S777" s="302">
        <f t="shared" si="45"/>
        <v>0</v>
      </c>
      <c r="T777" s="302"/>
      <c r="U777" s="303"/>
      <c r="V777" s="305">
        <f t="shared" si="46"/>
        <v>50</v>
      </c>
      <c r="W777" s="305" t="str">
        <f t="shared" si="44"/>
        <v xml:space="preserve"> </v>
      </c>
      <c r="X777" s="288"/>
    </row>
    <row r="778" spans="1:24">
      <c r="A778" s="286">
        <v>105</v>
      </c>
      <c r="C778" s="286" t="s">
        <v>644</v>
      </c>
      <c r="D778" s="286"/>
      <c r="E778" s="286" t="s">
        <v>614</v>
      </c>
      <c r="F778" s="286">
        <v>26</v>
      </c>
      <c r="G778" s="425">
        <v>62.5</v>
      </c>
      <c r="H778" s="425">
        <v>0</v>
      </c>
      <c r="J778" s="289"/>
      <c r="K778" s="289"/>
      <c r="L778" s="291"/>
      <c r="M778" s="291"/>
      <c r="N778" s="300"/>
      <c r="O778" s="296"/>
      <c r="P778" s="294"/>
      <c r="Q778" s="294"/>
      <c r="R778" s="295"/>
      <c r="S778" s="302">
        <f t="shared" si="45"/>
        <v>0</v>
      </c>
      <c r="T778" s="302"/>
      <c r="U778" s="303"/>
      <c r="V778" s="305">
        <f t="shared" si="46"/>
        <v>62.5</v>
      </c>
      <c r="W778" s="305" t="str">
        <f t="shared" ref="W778:W841" si="48">IF($E778=$AA$29,-$V778,IF(OR($E778=$AA$18,$E778=$AA$23,$E778=$AA$24,$E778=$AA$26),(($V778/200)*50)," "))</f>
        <v xml:space="preserve"> </v>
      </c>
      <c r="X778" s="288"/>
    </row>
    <row r="779" spans="1:24">
      <c r="A779" s="286">
        <v>105</v>
      </c>
      <c r="C779" s="286" t="s">
        <v>644</v>
      </c>
      <c r="D779" s="286"/>
      <c r="E779" s="286" t="s">
        <v>616</v>
      </c>
      <c r="F779" s="286">
        <v>26</v>
      </c>
      <c r="G779" s="425">
        <v>300</v>
      </c>
      <c r="H779" s="425">
        <v>0</v>
      </c>
      <c r="J779" s="289"/>
      <c r="K779" s="289"/>
      <c r="L779" s="291"/>
      <c r="M779" s="291"/>
      <c r="N779" s="300"/>
      <c r="O779" s="296"/>
      <c r="P779" s="294"/>
      <c r="Q779" s="294"/>
      <c r="R779" s="295"/>
      <c r="S779" s="302">
        <f t="shared" ref="S779:S842" si="49">IF(OR($E779=$Y$10,$E779=$Y$11,$E779=$Y$12,$E779=$Y$13),$G779,0)</f>
        <v>0</v>
      </c>
      <c r="T779" s="302"/>
      <c r="U779" s="303"/>
      <c r="V779" s="305">
        <f t="shared" ref="V779:V842" si="50">IF(OR($E779=$AA$10,$E779=$AA$11,$E779=$AA$12,$E779=$AA$13,$E779=$AA$14,$E779=$AA$15,$E779=$AA$16,$E779=$AA$17,$E779=$AA$18,$E779=$AA$19,$E779=$AA$20,$E779=$AA$21,$E779=$AA$22,$E779=$AA$23,$E779=$AA$24,$E779=$AA$25,$E779=$AA$26,$E779=$AA$27,$E779=$AA$28,$E779=$AA$29),G779,0)</f>
        <v>300</v>
      </c>
      <c r="W779" s="305">
        <f t="shared" si="48"/>
        <v>75</v>
      </c>
      <c r="X779" s="288"/>
    </row>
    <row r="780" spans="1:24">
      <c r="A780" s="286">
        <v>106</v>
      </c>
      <c r="C780" s="286" t="s">
        <v>656</v>
      </c>
      <c r="D780" s="286"/>
      <c r="E780" s="286" t="s">
        <v>648</v>
      </c>
      <c r="F780" s="286">
        <f>IF(VLOOKUP(A780,'WP-5 Payroll Data'!$K$11:$O$151,3,FALSE)&gt;26,26,VLOOKUP(A780,'WP-5 Payroll Data'!$K$11:$O$151,3,FALSE))</f>
        <v>26</v>
      </c>
      <c r="G780" s="424">
        <v>5127</v>
      </c>
      <c r="H780" s="425">
        <v>346</v>
      </c>
      <c r="J780" s="289">
        <f>VLOOKUP(A780,'WP-5 Payroll Data'!$K$11:$O$151,4,FALSE)</f>
        <v>5295.75</v>
      </c>
      <c r="K780" s="289">
        <f>VLOOKUP(A780,'WP-5 Payroll Data'!$K$11:$O$151,5,FALSE)</f>
        <v>357.25</v>
      </c>
      <c r="L780" s="289">
        <f>J780/K780</f>
        <v>14.823652904128762</v>
      </c>
      <c r="M780" s="289"/>
      <c r="N780" s="300">
        <f>IF((K780/F780)*26&gt;1500,2080,IF((K780/F780)*26&gt;300,520,IF((K780/F780)*26&gt;100,260,K780)))</f>
        <v>520</v>
      </c>
      <c r="O780" s="296">
        <f>N780*L780</f>
        <v>7708.299510146956</v>
      </c>
      <c r="P780" s="294"/>
      <c r="Q780" s="294">
        <f>O780*0.03</f>
        <v>231.24898530440868</v>
      </c>
      <c r="R780" s="295"/>
      <c r="S780" s="302">
        <f t="shared" si="49"/>
        <v>0</v>
      </c>
      <c r="T780" s="302"/>
      <c r="U780" s="303"/>
      <c r="V780" s="305">
        <f t="shared" si="50"/>
        <v>0</v>
      </c>
      <c r="W780" s="305" t="str">
        <f t="shared" si="48"/>
        <v xml:space="preserve"> </v>
      </c>
      <c r="X780" s="288"/>
    </row>
    <row r="781" spans="1:24">
      <c r="A781" s="286">
        <v>106</v>
      </c>
      <c r="C781" s="286" t="s">
        <v>656</v>
      </c>
      <c r="D781" s="286"/>
      <c r="E781" s="286" t="s">
        <v>627</v>
      </c>
      <c r="F781" s="286">
        <v>26</v>
      </c>
      <c r="G781" s="424">
        <v>168.75</v>
      </c>
      <c r="H781" s="425">
        <v>11.25</v>
      </c>
      <c r="J781" s="289"/>
      <c r="K781" s="289"/>
      <c r="L781" s="291"/>
      <c r="M781" s="291"/>
      <c r="N781" s="300"/>
      <c r="O781" s="296"/>
      <c r="P781" s="294"/>
      <c r="Q781" s="294"/>
      <c r="R781" s="295"/>
      <c r="S781" s="302">
        <f t="shared" si="49"/>
        <v>0</v>
      </c>
      <c r="T781" s="302"/>
      <c r="U781" s="303"/>
      <c r="V781" s="305">
        <f t="shared" si="50"/>
        <v>0</v>
      </c>
      <c r="W781" s="305" t="str">
        <f t="shared" si="48"/>
        <v xml:space="preserve"> </v>
      </c>
      <c r="X781" s="288"/>
    </row>
    <row r="782" spans="1:24">
      <c r="A782" s="286">
        <v>107</v>
      </c>
      <c r="C782" s="286" t="s">
        <v>650</v>
      </c>
      <c r="D782" s="286"/>
      <c r="E782" s="286" t="s">
        <v>598</v>
      </c>
      <c r="F782" s="286">
        <f>IF(VLOOKUP(A782,'WP-5 Payroll Data'!$K$11:$O$151,3,FALSE)&gt;26,26,VLOOKUP(A782,'WP-5 Payroll Data'!$K$11:$O$151,3,FALSE))</f>
        <v>26</v>
      </c>
      <c r="G782" s="425">
        <v>3689.8100000000009</v>
      </c>
      <c r="H782" s="425">
        <v>121.5</v>
      </c>
      <c r="J782" s="289">
        <f>VLOOKUP(A782,'WP-5 Payroll Data'!$K$11:$O$151,4,FALSE)</f>
        <v>3944.6000000000008</v>
      </c>
      <c r="K782" s="289">
        <f>VLOOKUP(A782,'WP-5 Payroll Data'!$K$11:$O$151,5,FALSE)</f>
        <v>130</v>
      </c>
      <c r="L782" s="289">
        <f>J782/K782</f>
        <v>30.343076923076929</v>
      </c>
      <c r="M782" s="289"/>
      <c r="N782" s="300">
        <f>IF((K782/F782)*26&gt;1500,2080,IF((K782/F782)*26&gt;300,520,IF((K782/F782)*26&gt;100,260,K782)))</f>
        <v>260</v>
      </c>
      <c r="O782" s="296">
        <f>N782*L782</f>
        <v>7889.2000000000016</v>
      </c>
      <c r="P782" s="294"/>
      <c r="Q782" s="294">
        <f>O782*0.03</f>
        <v>236.67600000000004</v>
      </c>
      <c r="R782" s="295"/>
      <c r="S782" s="302">
        <f t="shared" si="49"/>
        <v>0</v>
      </c>
      <c r="T782" s="302"/>
      <c r="U782" s="303"/>
      <c r="V782" s="305">
        <f t="shared" si="50"/>
        <v>0</v>
      </c>
      <c r="W782" s="305" t="str">
        <f t="shared" si="48"/>
        <v xml:space="preserve"> </v>
      </c>
      <c r="X782" s="288"/>
    </row>
    <row r="783" spans="1:24">
      <c r="A783" s="286">
        <v>107</v>
      </c>
      <c r="C783" s="286" t="s">
        <v>650</v>
      </c>
      <c r="D783" s="286"/>
      <c r="E783" s="286" t="s">
        <v>605</v>
      </c>
      <c r="F783" s="286">
        <v>26</v>
      </c>
      <c r="G783" s="425">
        <v>254.79</v>
      </c>
      <c r="H783" s="425">
        <v>8.5</v>
      </c>
      <c r="J783" s="289"/>
      <c r="K783" s="289"/>
      <c r="L783" s="291"/>
      <c r="M783" s="291"/>
      <c r="N783" s="300"/>
      <c r="O783" s="296"/>
      <c r="P783" s="294"/>
      <c r="Q783" s="294"/>
      <c r="R783" s="295"/>
      <c r="S783" s="302">
        <f t="shared" si="49"/>
        <v>0</v>
      </c>
      <c r="T783" s="302"/>
      <c r="U783" s="303"/>
      <c r="V783" s="305">
        <f t="shared" si="50"/>
        <v>0</v>
      </c>
      <c r="W783" s="305" t="str">
        <f t="shared" si="48"/>
        <v xml:space="preserve"> </v>
      </c>
      <c r="X783" s="288"/>
    </row>
    <row r="784" spans="1:24">
      <c r="A784" s="286">
        <v>107</v>
      </c>
      <c r="C784" s="286" t="s">
        <v>650</v>
      </c>
      <c r="D784" s="286"/>
      <c r="E784" s="286" t="s">
        <v>612</v>
      </c>
      <c r="F784" s="286">
        <v>26</v>
      </c>
      <c r="G784" s="425">
        <v>6.25</v>
      </c>
      <c r="H784" s="425">
        <v>0</v>
      </c>
      <c r="J784" s="289"/>
      <c r="K784" s="289"/>
      <c r="L784" s="291"/>
      <c r="M784" s="291"/>
      <c r="N784" s="300"/>
      <c r="O784" s="296"/>
      <c r="P784" s="294"/>
      <c r="Q784" s="294"/>
      <c r="R784" s="295"/>
      <c r="S784" s="302">
        <f t="shared" si="49"/>
        <v>0</v>
      </c>
      <c r="T784" s="302"/>
      <c r="U784" s="303"/>
      <c r="V784" s="305">
        <f t="shared" si="50"/>
        <v>6.25</v>
      </c>
      <c r="W784" s="305" t="str">
        <f t="shared" si="48"/>
        <v xml:space="preserve"> </v>
      </c>
      <c r="X784" s="288"/>
    </row>
    <row r="785" spans="1:24">
      <c r="A785" s="286">
        <v>107</v>
      </c>
      <c r="C785" s="286" t="s">
        <v>650</v>
      </c>
      <c r="D785" s="286"/>
      <c r="E785" s="286" t="s">
        <v>624</v>
      </c>
      <c r="F785" s="286">
        <v>26</v>
      </c>
      <c r="G785" s="425">
        <v>43.75</v>
      </c>
      <c r="H785" s="425">
        <v>0</v>
      </c>
      <c r="J785" s="289"/>
      <c r="K785" s="289"/>
      <c r="L785" s="291"/>
      <c r="M785" s="291"/>
      <c r="N785" s="300"/>
      <c r="O785" s="296"/>
      <c r="P785" s="294"/>
      <c r="Q785" s="294"/>
      <c r="R785" s="295"/>
      <c r="S785" s="302">
        <f t="shared" si="49"/>
        <v>0</v>
      </c>
      <c r="T785" s="302"/>
      <c r="U785" s="303"/>
      <c r="V785" s="305">
        <f t="shared" si="50"/>
        <v>43.75</v>
      </c>
      <c r="W785" s="305">
        <f t="shared" si="48"/>
        <v>10.9375</v>
      </c>
      <c r="X785" s="288"/>
    </row>
    <row r="786" spans="1:24">
      <c r="A786" s="286">
        <v>108</v>
      </c>
      <c r="C786" s="286" t="s">
        <v>619</v>
      </c>
      <c r="D786" s="286" t="s">
        <v>679</v>
      </c>
      <c r="E786" s="286" t="s">
        <v>621</v>
      </c>
      <c r="F786" s="286">
        <f>IF(VLOOKUP(A786,'WP-5 Payroll Data'!$K$11:$O$151,3,FALSE)&gt;26,26,VLOOKUP(A786,'WP-5 Payroll Data'!$K$11:$O$151,3,FALSE))</f>
        <v>26</v>
      </c>
      <c r="G786" s="425">
        <v>37754.239999999998</v>
      </c>
      <c r="H786" s="425">
        <v>1487.3100000000002</v>
      </c>
      <c r="J786" s="289">
        <f>VLOOKUP(A786,'WP-5 Payroll Data'!$K$11:$O$151,4,FALSE)</f>
        <v>52619.959999999992</v>
      </c>
      <c r="K786" s="289">
        <f>VLOOKUP(A786,'WP-5 Payroll Data'!$K$11:$O$151,5,FALSE)</f>
        <v>2072.6799999999998</v>
      </c>
      <c r="L786" s="289">
        <f>J786/K786</f>
        <v>25.387401817936198</v>
      </c>
      <c r="M786" s="289"/>
      <c r="N786" s="300">
        <f>IF((K786/F786)*26&gt;1500,2080,IF((K786/F786)*26&gt;300,520,IF((K786/F786)*26&gt;100,260,K786)))</f>
        <v>2080</v>
      </c>
      <c r="O786" s="296">
        <f>N786*L786</f>
        <v>52805.795781307294</v>
      </c>
      <c r="P786" s="294"/>
      <c r="Q786" s="294">
        <f>O786*0.03</f>
        <v>1584.1738734392188</v>
      </c>
      <c r="R786" s="295"/>
      <c r="S786" s="302">
        <f t="shared" si="49"/>
        <v>0</v>
      </c>
      <c r="T786" s="302"/>
      <c r="U786" s="303"/>
      <c r="V786" s="305">
        <f t="shared" si="50"/>
        <v>0</v>
      </c>
      <c r="W786" s="305" t="str">
        <f t="shared" si="48"/>
        <v xml:space="preserve"> </v>
      </c>
      <c r="X786" s="288"/>
    </row>
    <row r="787" spans="1:24">
      <c r="A787" s="286">
        <v>108</v>
      </c>
      <c r="C787" s="286" t="s">
        <v>619</v>
      </c>
      <c r="D787" s="286" t="s">
        <v>679</v>
      </c>
      <c r="E787" s="286" t="s">
        <v>599</v>
      </c>
      <c r="F787" s="286">
        <v>27</v>
      </c>
      <c r="G787" s="425">
        <v>863.06000000000006</v>
      </c>
      <c r="H787" s="425">
        <v>22.39</v>
      </c>
      <c r="J787" s="289"/>
      <c r="K787" s="289"/>
      <c r="L787" s="291"/>
      <c r="M787" s="291"/>
      <c r="N787" s="300"/>
      <c r="O787" s="296"/>
      <c r="P787" s="294"/>
      <c r="Q787" s="294"/>
      <c r="R787" s="295"/>
      <c r="S787" s="302">
        <f t="shared" si="49"/>
        <v>863.06000000000006</v>
      </c>
      <c r="T787" s="302">
        <f t="shared" ref="T787:T833" si="51">S787*0.03</f>
        <v>25.8918</v>
      </c>
      <c r="U787" s="303"/>
      <c r="V787" s="305">
        <f t="shared" si="50"/>
        <v>0</v>
      </c>
      <c r="W787" s="305" t="str">
        <f t="shared" si="48"/>
        <v xml:space="preserve"> </v>
      </c>
      <c r="X787" s="288"/>
    </row>
    <row r="788" spans="1:24">
      <c r="A788" s="286">
        <v>108</v>
      </c>
      <c r="C788" s="286" t="s">
        <v>619</v>
      </c>
      <c r="D788" s="286" t="s">
        <v>679</v>
      </c>
      <c r="E788" s="286" t="s">
        <v>601</v>
      </c>
      <c r="F788" s="286">
        <v>27</v>
      </c>
      <c r="G788" s="425">
        <v>3520.2</v>
      </c>
      <c r="H788" s="425">
        <v>69</v>
      </c>
      <c r="J788" s="289"/>
      <c r="K788" s="289"/>
      <c r="L788" s="291"/>
      <c r="M788" s="291"/>
      <c r="N788" s="300"/>
      <c r="O788" s="296"/>
      <c r="P788" s="294"/>
      <c r="Q788" s="294"/>
      <c r="R788" s="295"/>
      <c r="S788" s="302">
        <f t="shared" si="49"/>
        <v>3520.2</v>
      </c>
      <c r="T788" s="302">
        <f t="shared" si="51"/>
        <v>105.60599999999999</v>
      </c>
      <c r="U788" s="303"/>
      <c r="V788" s="305">
        <f t="shared" si="50"/>
        <v>0</v>
      </c>
      <c r="W788" s="305" t="str">
        <f t="shared" si="48"/>
        <v xml:space="preserve"> </v>
      </c>
      <c r="X788" s="288"/>
    </row>
    <row r="789" spans="1:24">
      <c r="A789" s="286">
        <v>108</v>
      </c>
      <c r="C789" s="286" t="s">
        <v>619</v>
      </c>
      <c r="D789" s="286" t="s">
        <v>679</v>
      </c>
      <c r="E789" s="286" t="s">
        <v>627</v>
      </c>
      <c r="F789" s="286">
        <v>27</v>
      </c>
      <c r="G789" s="425">
        <v>5271.369999999999</v>
      </c>
      <c r="H789" s="425">
        <v>211.32000000000002</v>
      </c>
      <c r="J789" s="289"/>
      <c r="K789" s="289"/>
      <c r="L789" s="291"/>
      <c r="M789" s="291"/>
      <c r="N789" s="300"/>
      <c r="O789" s="296"/>
      <c r="P789" s="294"/>
      <c r="Q789" s="294"/>
      <c r="R789" s="295"/>
      <c r="S789" s="302">
        <f t="shared" si="49"/>
        <v>0</v>
      </c>
      <c r="T789" s="302"/>
      <c r="U789" s="303"/>
      <c r="V789" s="305">
        <f t="shared" si="50"/>
        <v>0</v>
      </c>
      <c r="W789" s="305" t="str">
        <f t="shared" si="48"/>
        <v xml:space="preserve"> </v>
      </c>
      <c r="X789" s="288"/>
    </row>
    <row r="790" spans="1:24">
      <c r="A790" s="286">
        <v>108</v>
      </c>
      <c r="C790" s="286" t="s">
        <v>619</v>
      </c>
      <c r="D790" s="286" t="s">
        <v>679</v>
      </c>
      <c r="E790" s="286" t="s">
        <v>630</v>
      </c>
      <c r="F790" s="286">
        <v>27</v>
      </c>
      <c r="G790" s="425">
        <v>5423.61</v>
      </c>
      <c r="H790" s="425">
        <v>212.1</v>
      </c>
      <c r="J790" s="289"/>
      <c r="K790" s="289"/>
      <c r="L790" s="291"/>
      <c r="M790" s="291"/>
      <c r="N790" s="300"/>
      <c r="O790" s="296"/>
      <c r="P790" s="294"/>
      <c r="Q790" s="294"/>
      <c r="R790" s="295"/>
      <c r="S790" s="302">
        <f t="shared" si="49"/>
        <v>0</v>
      </c>
      <c r="T790" s="302"/>
      <c r="U790" s="303"/>
      <c r="V790" s="305">
        <f t="shared" si="50"/>
        <v>0</v>
      </c>
      <c r="W790" s="305" t="str">
        <f t="shared" si="48"/>
        <v xml:space="preserve"> </v>
      </c>
      <c r="X790" s="288"/>
    </row>
    <row r="791" spans="1:24">
      <c r="A791" s="286">
        <v>108</v>
      </c>
      <c r="C791" s="286" t="s">
        <v>619</v>
      </c>
      <c r="D791" s="286" t="s">
        <v>679</v>
      </c>
      <c r="E791" s="286" t="s">
        <v>633</v>
      </c>
      <c r="F791" s="286">
        <v>27</v>
      </c>
      <c r="G791" s="425">
        <v>2850.24</v>
      </c>
      <c r="H791" s="425">
        <v>112</v>
      </c>
      <c r="J791" s="289"/>
      <c r="K791" s="289"/>
      <c r="L791" s="291"/>
      <c r="M791" s="291"/>
      <c r="N791" s="300"/>
      <c r="O791" s="296"/>
      <c r="P791" s="294"/>
      <c r="Q791" s="294"/>
      <c r="R791" s="295"/>
      <c r="S791" s="302">
        <f t="shared" si="49"/>
        <v>0</v>
      </c>
      <c r="T791" s="302"/>
      <c r="U791" s="303"/>
      <c r="V791" s="305">
        <f t="shared" si="50"/>
        <v>0</v>
      </c>
      <c r="W791" s="305" t="str">
        <f t="shared" si="48"/>
        <v xml:space="preserve"> </v>
      </c>
      <c r="X791" s="288"/>
    </row>
    <row r="792" spans="1:24">
      <c r="A792" s="286">
        <v>108</v>
      </c>
      <c r="C792" s="286" t="s">
        <v>619</v>
      </c>
      <c r="D792" s="286" t="s">
        <v>679</v>
      </c>
      <c r="E792" s="286" t="s">
        <v>680</v>
      </c>
      <c r="F792" s="286">
        <v>27</v>
      </c>
      <c r="G792" s="425">
        <v>212.64</v>
      </c>
      <c r="H792" s="425">
        <v>8</v>
      </c>
      <c r="J792" s="289"/>
      <c r="K792" s="289"/>
      <c r="L792" s="291"/>
      <c r="M792" s="291"/>
      <c r="N792" s="300"/>
      <c r="O792" s="296"/>
      <c r="P792" s="294"/>
      <c r="Q792" s="294"/>
      <c r="R792" s="295"/>
      <c r="S792" s="302">
        <f t="shared" si="49"/>
        <v>0</v>
      </c>
      <c r="T792" s="302"/>
      <c r="U792" s="303"/>
      <c r="V792" s="305">
        <f t="shared" si="50"/>
        <v>0</v>
      </c>
      <c r="W792" s="305" t="str">
        <f t="shared" si="48"/>
        <v xml:space="preserve"> </v>
      </c>
      <c r="X792" s="288"/>
    </row>
    <row r="793" spans="1:24">
      <c r="A793" s="286">
        <v>108</v>
      </c>
      <c r="C793" s="286" t="s">
        <v>619</v>
      </c>
      <c r="D793" s="286" t="s">
        <v>679</v>
      </c>
      <c r="E793" s="286" t="s">
        <v>681</v>
      </c>
      <c r="F793" s="286">
        <v>27</v>
      </c>
      <c r="G793" s="425">
        <v>411.2</v>
      </c>
      <c r="H793" s="425">
        <v>16</v>
      </c>
      <c r="J793" s="289"/>
      <c r="K793" s="289"/>
      <c r="L793" s="291"/>
      <c r="M793" s="291"/>
      <c r="N793" s="300"/>
      <c r="O793" s="296"/>
      <c r="P793" s="294"/>
      <c r="Q793" s="294"/>
      <c r="R793" s="295"/>
      <c r="S793" s="302">
        <f t="shared" si="49"/>
        <v>0</v>
      </c>
      <c r="T793" s="302"/>
      <c r="U793" s="303"/>
      <c r="V793" s="305">
        <f t="shared" si="50"/>
        <v>0</v>
      </c>
      <c r="W793" s="305" t="str">
        <f t="shared" si="48"/>
        <v xml:space="preserve"> </v>
      </c>
      <c r="X793" s="288"/>
    </row>
    <row r="794" spans="1:24">
      <c r="A794" s="286">
        <v>108</v>
      </c>
      <c r="C794" s="286" t="s">
        <v>619</v>
      </c>
      <c r="D794" s="286" t="s">
        <v>679</v>
      </c>
      <c r="E794" s="286" t="s">
        <v>634</v>
      </c>
      <c r="F794" s="286">
        <v>27</v>
      </c>
      <c r="G794" s="425">
        <v>597.38</v>
      </c>
      <c r="H794" s="425">
        <v>23.95</v>
      </c>
      <c r="J794" s="289"/>
      <c r="K794" s="289"/>
      <c r="L794" s="291"/>
      <c r="M794" s="291"/>
      <c r="N794" s="300"/>
      <c r="O794" s="296"/>
      <c r="P794" s="294"/>
      <c r="Q794" s="294"/>
      <c r="R794" s="295"/>
      <c r="S794" s="302">
        <f t="shared" si="49"/>
        <v>0</v>
      </c>
      <c r="T794" s="302"/>
      <c r="U794" s="303"/>
      <c r="V794" s="305">
        <f t="shared" si="50"/>
        <v>0</v>
      </c>
      <c r="W794" s="305" t="str">
        <f t="shared" si="48"/>
        <v xml:space="preserve"> </v>
      </c>
      <c r="X794" s="288"/>
    </row>
    <row r="795" spans="1:24">
      <c r="A795" s="286">
        <v>108</v>
      </c>
      <c r="C795" s="286" t="s">
        <v>619</v>
      </c>
      <c r="D795" s="286" t="s">
        <v>679</v>
      </c>
      <c r="E795" s="286" t="s">
        <v>655</v>
      </c>
      <c r="F795" s="286">
        <v>27</v>
      </c>
      <c r="G795" s="425">
        <v>99.28</v>
      </c>
      <c r="H795" s="425">
        <v>2</v>
      </c>
      <c r="J795" s="289"/>
      <c r="K795" s="289"/>
      <c r="L795" s="291"/>
      <c r="M795" s="291"/>
      <c r="N795" s="300"/>
      <c r="O795" s="296"/>
      <c r="P795" s="294"/>
      <c r="Q795" s="294"/>
      <c r="R795" s="295"/>
      <c r="S795" s="302">
        <f t="shared" si="49"/>
        <v>0</v>
      </c>
      <c r="T795" s="302"/>
      <c r="U795" s="303"/>
      <c r="V795" s="305">
        <f t="shared" si="50"/>
        <v>0</v>
      </c>
      <c r="W795" s="305" t="str">
        <f t="shared" si="48"/>
        <v xml:space="preserve"> </v>
      </c>
      <c r="X795" s="288"/>
    </row>
    <row r="796" spans="1:24">
      <c r="A796" s="286">
        <v>108</v>
      </c>
      <c r="C796" s="286" t="s">
        <v>619</v>
      </c>
      <c r="D796" s="286" t="s">
        <v>679</v>
      </c>
      <c r="E796" s="286" t="s">
        <v>623</v>
      </c>
      <c r="F796" s="286">
        <v>27</v>
      </c>
      <c r="G796" s="425">
        <v>250</v>
      </c>
      <c r="H796" s="425">
        <v>0</v>
      </c>
      <c r="J796" s="289"/>
      <c r="K796" s="289"/>
      <c r="L796" s="291"/>
      <c r="M796" s="291"/>
      <c r="N796" s="300"/>
      <c r="O796" s="296"/>
      <c r="P796" s="294"/>
      <c r="Q796" s="294"/>
      <c r="R796" s="295"/>
      <c r="S796" s="302">
        <f t="shared" si="49"/>
        <v>0</v>
      </c>
      <c r="T796" s="302"/>
      <c r="U796" s="303"/>
      <c r="V796" s="305">
        <f t="shared" si="50"/>
        <v>250</v>
      </c>
      <c r="W796" s="305" t="str">
        <f t="shared" si="48"/>
        <v xml:space="preserve"> </v>
      </c>
      <c r="X796" s="288"/>
    </row>
    <row r="797" spans="1:24">
      <c r="A797" s="286">
        <v>108</v>
      </c>
      <c r="C797" s="286" t="s">
        <v>619</v>
      </c>
      <c r="D797" s="286" t="s">
        <v>679</v>
      </c>
      <c r="E797" s="286" t="s">
        <v>625</v>
      </c>
      <c r="F797" s="286">
        <v>27</v>
      </c>
      <c r="G797" s="425">
        <v>5800</v>
      </c>
      <c r="H797" s="425">
        <v>0</v>
      </c>
      <c r="J797" s="289"/>
      <c r="K797" s="289"/>
      <c r="L797" s="291"/>
      <c r="M797" s="291"/>
      <c r="N797" s="300"/>
      <c r="O797" s="296"/>
      <c r="P797" s="294"/>
      <c r="Q797" s="294"/>
      <c r="R797" s="295"/>
      <c r="S797" s="302">
        <f t="shared" si="49"/>
        <v>0</v>
      </c>
      <c r="T797" s="302"/>
      <c r="U797" s="303"/>
      <c r="V797" s="305">
        <f t="shared" si="50"/>
        <v>5800</v>
      </c>
      <c r="W797" s="305">
        <f t="shared" si="48"/>
        <v>1450</v>
      </c>
      <c r="X797" s="288"/>
    </row>
    <row r="798" spans="1:24">
      <c r="A798" s="286">
        <v>108</v>
      </c>
      <c r="C798" s="286" t="s">
        <v>619</v>
      </c>
      <c r="D798" s="286" t="s">
        <v>679</v>
      </c>
      <c r="E798" s="286" t="s">
        <v>629</v>
      </c>
      <c r="F798" s="286">
        <v>27</v>
      </c>
      <c r="G798" s="425">
        <v>3125</v>
      </c>
      <c r="H798" s="425">
        <v>0</v>
      </c>
      <c r="J798" s="289"/>
      <c r="K798" s="289"/>
      <c r="L798" s="291"/>
      <c r="M798" s="291"/>
      <c r="N798" s="300"/>
      <c r="O798" s="296"/>
      <c r="P798" s="294"/>
      <c r="Q798" s="294"/>
      <c r="R798" s="295"/>
      <c r="S798" s="302">
        <f t="shared" si="49"/>
        <v>0</v>
      </c>
      <c r="T798" s="302"/>
      <c r="U798" s="303"/>
      <c r="V798" s="305">
        <f t="shared" si="50"/>
        <v>3125</v>
      </c>
      <c r="W798" s="305" t="str">
        <f t="shared" si="48"/>
        <v xml:space="preserve"> </v>
      </c>
      <c r="X798" s="288"/>
    </row>
    <row r="799" spans="1:24">
      <c r="A799" s="286">
        <v>108</v>
      </c>
      <c r="C799" s="286" t="s">
        <v>619</v>
      </c>
      <c r="D799" s="286" t="s">
        <v>679</v>
      </c>
      <c r="E799" s="286" t="s">
        <v>632</v>
      </c>
      <c r="F799" s="286">
        <v>27</v>
      </c>
      <c r="G799" s="425">
        <v>9918.2900000000009</v>
      </c>
      <c r="H799" s="425">
        <v>0</v>
      </c>
      <c r="J799" s="289"/>
      <c r="K799" s="289"/>
      <c r="L799" s="291"/>
      <c r="M799" s="291"/>
      <c r="N799" s="300"/>
      <c r="O799" s="296"/>
      <c r="P799" s="294"/>
      <c r="Q799" s="294"/>
      <c r="R799" s="295"/>
      <c r="S799" s="302">
        <f t="shared" si="49"/>
        <v>0</v>
      </c>
      <c r="T799" s="302"/>
      <c r="U799" s="303"/>
      <c r="V799" s="305">
        <f t="shared" si="50"/>
        <v>9918.2900000000009</v>
      </c>
      <c r="W799" s="305">
        <f t="shared" si="48"/>
        <v>-9918.2900000000009</v>
      </c>
      <c r="X799" s="288"/>
    </row>
    <row r="800" spans="1:24">
      <c r="A800" s="286">
        <v>109</v>
      </c>
      <c r="C800" s="286" t="s">
        <v>619</v>
      </c>
      <c r="D800" s="286" t="s">
        <v>670</v>
      </c>
      <c r="E800" s="286" t="s">
        <v>621</v>
      </c>
      <c r="F800" s="286">
        <f>IF(VLOOKUP(A800,'WP-5 Payroll Data'!$K$11:$O$151,3,FALSE)&gt;26,26,VLOOKUP(A800,'WP-5 Payroll Data'!$K$11:$O$151,3,FALSE))</f>
        <v>26</v>
      </c>
      <c r="G800" s="425">
        <v>39999.949999999997</v>
      </c>
      <c r="H800" s="425">
        <v>1673.5000000000002</v>
      </c>
      <c r="J800" s="289">
        <f>VLOOKUP(A800,'WP-5 Payroll Data'!$K$11:$O$151,4,FALSE)</f>
        <v>49159.689999999995</v>
      </c>
      <c r="K800" s="289">
        <f>VLOOKUP(A800,'WP-5 Payroll Data'!$K$11:$O$151,5,FALSE)</f>
        <v>2056</v>
      </c>
      <c r="L800" s="289">
        <f>J800/K800</f>
        <v>23.910355058365756</v>
      </c>
      <c r="M800" s="289"/>
      <c r="N800" s="300">
        <f>IF((K800/F800)*26&gt;1500,2080,IF((K800/F800)*26&gt;300,520,IF((K800/F800)*26&gt;100,260,K800)))</f>
        <v>2080</v>
      </c>
      <c r="O800" s="296">
        <f>N800*L800</f>
        <v>49733.538521400769</v>
      </c>
      <c r="P800" s="294"/>
      <c r="Q800" s="294">
        <f>O800*0.03</f>
        <v>1492.006155642023</v>
      </c>
      <c r="R800" s="295"/>
      <c r="S800" s="302">
        <f t="shared" si="49"/>
        <v>0</v>
      </c>
      <c r="T800" s="302"/>
      <c r="U800" s="303"/>
      <c r="V800" s="305">
        <f t="shared" si="50"/>
        <v>0</v>
      </c>
      <c r="W800" s="305" t="str">
        <f t="shared" si="48"/>
        <v xml:space="preserve"> </v>
      </c>
      <c r="X800" s="288"/>
    </row>
    <row r="801" spans="1:24">
      <c r="A801" s="286">
        <v>109</v>
      </c>
      <c r="C801" s="286" t="s">
        <v>619</v>
      </c>
      <c r="D801" s="286" t="s">
        <v>670</v>
      </c>
      <c r="E801" s="286" t="s">
        <v>599</v>
      </c>
      <c r="F801" s="286">
        <v>27</v>
      </c>
      <c r="G801" s="425">
        <v>31.61</v>
      </c>
      <c r="H801" s="425">
        <v>0.9</v>
      </c>
      <c r="J801" s="289"/>
      <c r="K801" s="289"/>
      <c r="L801" s="291"/>
      <c r="M801" s="291"/>
      <c r="N801" s="300"/>
      <c r="O801" s="296"/>
      <c r="P801" s="294"/>
      <c r="Q801" s="294"/>
      <c r="R801" s="295"/>
      <c r="S801" s="302">
        <f t="shared" si="49"/>
        <v>31.61</v>
      </c>
      <c r="T801" s="302">
        <f t="shared" si="51"/>
        <v>0.94829999999999992</v>
      </c>
      <c r="U801" s="303"/>
      <c r="V801" s="305">
        <f t="shared" si="50"/>
        <v>0</v>
      </c>
      <c r="W801" s="305" t="str">
        <f t="shared" si="48"/>
        <v xml:space="preserve"> </v>
      </c>
      <c r="X801" s="288"/>
    </row>
    <row r="802" spans="1:24">
      <c r="A802" s="286">
        <v>109</v>
      </c>
      <c r="C802" s="286" t="s">
        <v>619</v>
      </c>
      <c r="D802" s="286" t="s">
        <v>670</v>
      </c>
      <c r="E802" s="286" t="s">
        <v>601</v>
      </c>
      <c r="F802" s="286">
        <v>27</v>
      </c>
      <c r="G802" s="425">
        <v>862.80000000000007</v>
      </c>
      <c r="H802" s="425">
        <v>18</v>
      </c>
      <c r="J802" s="289"/>
      <c r="K802" s="289"/>
      <c r="L802" s="291"/>
      <c r="M802" s="291"/>
      <c r="N802" s="300"/>
      <c r="O802" s="296"/>
      <c r="P802" s="294"/>
      <c r="Q802" s="294"/>
      <c r="R802" s="295"/>
      <c r="S802" s="302">
        <f t="shared" si="49"/>
        <v>862.80000000000007</v>
      </c>
      <c r="T802" s="302">
        <f t="shared" si="51"/>
        <v>25.884</v>
      </c>
      <c r="U802" s="303"/>
      <c r="V802" s="305">
        <f t="shared" si="50"/>
        <v>0</v>
      </c>
      <c r="W802" s="305" t="str">
        <f t="shared" si="48"/>
        <v xml:space="preserve"> </v>
      </c>
      <c r="X802" s="288"/>
    </row>
    <row r="803" spans="1:24">
      <c r="A803" s="286">
        <v>109</v>
      </c>
      <c r="C803" s="286" t="s">
        <v>619</v>
      </c>
      <c r="D803" s="286" t="s">
        <v>670</v>
      </c>
      <c r="E803" s="286" t="s">
        <v>627</v>
      </c>
      <c r="F803" s="286">
        <v>27</v>
      </c>
      <c r="G803" s="425">
        <v>4788.8799999999992</v>
      </c>
      <c r="H803" s="425">
        <v>200</v>
      </c>
      <c r="J803" s="289"/>
      <c r="K803" s="289"/>
      <c r="L803" s="291"/>
      <c r="M803" s="291"/>
      <c r="N803" s="300"/>
      <c r="O803" s="296"/>
      <c r="P803" s="294"/>
      <c r="Q803" s="294"/>
      <c r="R803" s="295"/>
      <c r="S803" s="302">
        <f t="shared" si="49"/>
        <v>0</v>
      </c>
      <c r="T803" s="302"/>
      <c r="U803" s="303"/>
      <c r="V803" s="305">
        <f t="shared" si="50"/>
        <v>0</v>
      </c>
      <c r="W803" s="305" t="str">
        <f t="shared" si="48"/>
        <v xml:space="preserve"> </v>
      </c>
      <c r="X803" s="288"/>
    </row>
    <row r="804" spans="1:24">
      <c r="A804" s="286">
        <v>109</v>
      </c>
      <c r="C804" s="286" t="s">
        <v>619</v>
      </c>
      <c r="D804" s="286" t="s">
        <v>670</v>
      </c>
      <c r="E804" s="286" t="s">
        <v>630</v>
      </c>
      <c r="F804" s="286">
        <v>27</v>
      </c>
      <c r="G804" s="425">
        <v>526.73</v>
      </c>
      <c r="H804" s="425">
        <v>22.5</v>
      </c>
      <c r="J804" s="289"/>
      <c r="K804" s="289"/>
      <c r="L804" s="291"/>
      <c r="M804" s="291"/>
      <c r="N804" s="300"/>
      <c r="O804" s="296"/>
      <c r="P804" s="294"/>
      <c r="Q804" s="294"/>
      <c r="R804" s="295"/>
      <c r="S804" s="302">
        <f t="shared" si="49"/>
        <v>0</v>
      </c>
      <c r="T804" s="302"/>
      <c r="U804" s="303"/>
      <c r="V804" s="305">
        <f t="shared" si="50"/>
        <v>0</v>
      </c>
      <c r="W804" s="305" t="str">
        <f t="shared" si="48"/>
        <v xml:space="preserve"> </v>
      </c>
      <c r="X804" s="288"/>
    </row>
    <row r="805" spans="1:24">
      <c r="A805" s="286">
        <v>109</v>
      </c>
      <c r="C805" s="286" t="s">
        <v>619</v>
      </c>
      <c r="D805" s="286" t="s">
        <v>670</v>
      </c>
      <c r="E805" s="286" t="s">
        <v>633</v>
      </c>
      <c r="F805" s="286">
        <v>27</v>
      </c>
      <c r="G805" s="425">
        <v>2688.7200000000003</v>
      </c>
      <c r="H805" s="425">
        <v>112</v>
      </c>
      <c r="J805" s="289"/>
      <c r="K805" s="289"/>
      <c r="L805" s="291"/>
      <c r="M805" s="291"/>
      <c r="N805" s="300"/>
      <c r="O805" s="296"/>
      <c r="P805" s="294"/>
      <c r="Q805" s="294"/>
      <c r="R805" s="295"/>
      <c r="S805" s="302">
        <f t="shared" si="49"/>
        <v>0</v>
      </c>
      <c r="T805" s="302"/>
      <c r="U805" s="303"/>
      <c r="V805" s="305">
        <f t="shared" si="50"/>
        <v>0</v>
      </c>
      <c r="W805" s="305" t="str">
        <f t="shared" si="48"/>
        <v xml:space="preserve"> </v>
      </c>
      <c r="X805" s="288"/>
    </row>
    <row r="806" spans="1:24">
      <c r="A806" s="286">
        <v>109</v>
      </c>
      <c r="C806" s="286" t="s">
        <v>619</v>
      </c>
      <c r="D806" s="286" t="s">
        <v>670</v>
      </c>
      <c r="E806" s="286" t="s">
        <v>604</v>
      </c>
      <c r="F806" s="286">
        <v>27</v>
      </c>
      <c r="G806" s="425">
        <v>601.91999999999996</v>
      </c>
      <c r="H806" s="425">
        <v>24</v>
      </c>
      <c r="J806" s="289"/>
      <c r="K806" s="289"/>
      <c r="L806" s="291"/>
      <c r="M806" s="291"/>
      <c r="N806" s="300"/>
      <c r="O806" s="296"/>
      <c r="P806" s="294"/>
      <c r="Q806" s="294"/>
      <c r="R806" s="295"/>
      <c r="S806" s="302">
        <f t="shared" si="49"/>
        <v>0</v>
      </c>
      <c r="T806" s="302"/>
      <c r="U806" s="303"/>
      <c r="V806" s="305">
        <f t="shared" si="50"/>
        <v>601.91999999999996</v>
      </c>
      <c r="W806" s="305" t="str">
        <f t="shared" si="48"/>
        <v xml:space="preserve"> </v>
      </c>
      <c r="X806" s="288"/>
    </row>
    <row r="807" spans="1:24">
      <c r="A807" s="286">
        <v>109</v>
      </c>
      <c r="C807" s="286" t="s">
        <v>619</v>
      </c>
      <c r="D807" s="286" t="s">
        <v>670</v>
      </c>
      <c r="E807" s="286" t="s">
        <v>634</v>
      </c>
      <c r="F807" s="286">
        <v>27</v>
      </c>
      <c r="G807" s="425">
        <v>593.56999999999994</v>
      </c>
      <c r="H807" s="425">
        <v>24</v>
      </c>
      <c r="J807" s="289"/>
      <c r="K807" s="289"/>
      <c r="L807" s="291"/>
      <c r="M807" s="291"/>
      <c r="N807" s="300"/>
      <c r="O807" s="296"/>
      <c r="P807" s="294"/>
      <c r="Q807" s="294"/>
      <c r="R807" s="295"/>
      <c r="S807" s="302">
        <f t="shared" si="49"/>
        <v>0</v>
      </c>
      <c r="T807" s="302"/>
      <c r="U807" s="303"/>
      <c r="V807" s="305">
        <f t="shared" si="50"/>
        <v>0</v>
      </c>
      <c r="W807" s="305" t="str">
        <f t="shared" si="48"/>
        <v xml:space="preserve"> </v>
      </c>
      <c r="X807" s="288"/>
    </row>
    <row r="808" spans="1:24">
      <c r="A808" s="286">
        <v>109</v>
      </c>
      <c r="C808" s="286" t="s">
        <v>619</v>
      </c>
      <c r="D808" s="286" t="s">
        <v>670</v>
      </c>
      <c r="E808" s="286" t="s">
        <v>635</v>
      </c>
      <c r="F808" s="286">
        <v>27</v>
      </c>
      <c r="G808" s="425">
        <v>561.84</v>
      </c>
      <c r="H808" s="425">
        <v>24</v>
      </c>
      <c r="J808" s="289"/>
      <c r="K808" s="289"/>
      <c r="L808" s="291"/>
      <c r="M808" s="291"/>
      <c r="N808" s="300"/>
      <c r="O808" s="296"/>
      <c r="P808" s="294"/>
      <c r="Q808" s="294"/>
      <c r="R808" s="295"/>
      <c r="S808" s="302">
        <f t="shared" si="49"/>
        <v>0</v>
      </c>
      <c r="T808" s="302"/>
      <c r="U808" s="303"/>
      <c r="V808" s="305">
        <f t="shared" si="50"/>
        <v>0</v>
      </c>
      <c r="W808" s="305" t="str">
        <f t="shared" si="48"/>
        <v xml:space="preserve"> </v>
      </c>
      <c r="X808" s="288"/>
    </row>
    <row r="809" spans="1:24">
      <c r="A809" s="286">
        <v>109</v>
      </c>
      <c r="C809" s="286" t="s">
        <v>619</v>
      </c>
      <c r="D809" s="286" t="s">
        <v>670</v>
      </c>
      <c r="E809" s="286" t="s">
        <v>612</v>
      </c>
      <c r="F809" s="286">
        <v>27</v>
      </c>
      <c r="G809" s="425">
        <v>200</v>
      </c>
      <c r="H809" s="425">
        <v>0</v>
      </c>
      <c r="J809" s="289"/>
      <c r="K809" s="289"/>
      <c r="L809" s="291"/>
      <c r="M809" s="291"/>
      <c r="N809" s="300"/>
      <c r="O809" s="296"/>
      <c r="P809" s="294"/>
      <c r="Q809" s="294"/>
      <c r="R809" s="295"/>
      <c r="S809" s="302">
        <f t="shared" si="49"/>
        <v>0</v>
      </c>
      <c r="T809" s="302"/>
      <c r="U809" s="303"/>
      <c r="V809" s="305">
        <f t="shared" si="50"/>
        <v>200</v>
      </c>
      <c r="W809" s="305" t="str">
        <f t="shared" si="48"/>
        <v xml:space="preserve"> </v>
      </c>
      <c r="X809" s="288"/>
    </row>
    <row r="810" spans="1:24">
      <c r="A810" s="286">
        <v>109</v>
      </c>
      <c r="C810" s="286" t="s">
        <v>619</v>
      </c>
      <c r="D810" s="286" t="s">
        <v>670</v>
      </c>
      <c r="E810" s="286" t="s">
        <v>623</v>
      </c>
      <c r="F810" s="286">
        <v>27</v>
      </c>
      <c r="G810" s="425">
        <v>250</v>
      </c>
      <c r="H810" s="425">
        <v>0</v>
      </c>
      <c r="J810" s="289"/>
      <c r="K810" s="289"/>
      <c r="L810" s="291"/>
      <c r="M810" s="291"/>
      <c r="N810" s="300"/>
      <c r="O810" s="296"/>
      <c r="P810" s="294"/>
      <c r="Q810" s="294"/>
      <c r="R810" s="295"/>
      <c r="S810" s="302">
        <f t="shared" si="49"/>
        <v>0</v>
      </c>
      <c r="T810" s="302"/>
      <c r="U810" s="303"/>
      <c r="V810" s="305">
        <f t="shared" si="50"/>
        <v>250</v>
      </c>
      <c r="W810" s="305" t="str">
        <f t="shared" si="48"/>
        <v xml:space="preserve"> </v>
      </c>
      <c r="X810" s="288"/>
    </row>
    <row r="811" spans="1:24">
      <c r="A811" s="286">
        <v>109</v>
      </c>
      <c r="C811" s="286" t="s">
        <v>619</v>
      </c>
      <c r="D811" s="286" t="s">
        <v>670</v>
      </c>
      <c r="E811" s="286" t="s">
        <v>625</v>
      </c>
      <c r="F811" s="286">
        <v>27</v>
      </c>
      <c r="G811" s="425">
        <v>5200</v>
      </c>
      <c r="H811" s="425">
        <v>0</v>
      </c>
      <c r="J811" s="289"/>
      <c r="K811" s="289"/>
      <c r="L811" s="291"/>
      <c r="M811" s="291"/>
      <c r="N811" s="300"/>
      <c r="O811" s="296"/>
      <c r="P811" s="294"/>
      <c r="Q811" s="294"/>
      <c r="R811" s="295"/>
      <c r="S811" s="302">
        <f t="shared" si="49"/>
        <v>0</v>
      </c>
      <c r="T811" s="302"/>
      <c r="U811" s="303"/>
      <c r="V811" s="305">
        <f t="shared" si="50"/>
        <v>5200</v>
      </c>
      <c r="W811" s="305">
        <f t="shared" si="48"/>
        <v>1300</v>
      </c>
      <c r="X811" s="288"/>
    </row>
    <row r="812" spans="1:24">
      <c r="A812" s="286">
        <v>109</v>
      </c>
      <c r="C812" s="286" t="s">
        <v>619</v>
      </c>
      <c r="D812" s="286" t="s">
        <v>670</v>
      </c>
      <c r="E812" s="286" t="s">
        <v>632</v>
      </c>
      <c r="F812" s="286">
        <v>27</v>
      </c>
      <c r="G812" s="425">
        <v>6999.74</v>
      </c>
      <c r="H812" s="425">
        <v>0</v>
      </c>
      <c r="J812" s="289"/>
      <c r="K812" s="289"/>
      <c r="L812" s="291"/>
      <c r="M812" s="291"/>
      <c r="N812" s="300"/>
      <c r="O812" s="296"/>
      <c r="P812" s="294"/>
      <c r="Q812" s="294"/>
      <c r="R812" s="295"/>
      <c r="S812" s="302">
        <f t="shared" si="49"/>
        <v>0</v>
      </c>
      <c r="T812" s="302"/>
      <c r="U812" s="303"/>
      <c r="V812" s="305">
        <f t="shared" si="50"/>
        <v>6999.74</v>
      </c>
      <c r="W812" s="305">
        <f t="shared" si="48"/>
        <v>-6999.74</v>
      </c>
      <c r="X812" s="288"/>
    </row>
    <row r="813" spans="1:24">
      <c r="A813" s="286">
        <v>110</v>
      </c>
      <c r="C813" s="286" t="s">
        <v>597</v>
      </c>
      <c r="D813" s="286"/>
      <c r="E813" s="286" t="s">
        <v>598</v>
      </c>
      <c r="F813" s="286">
        <f>IF(VLOOKUP(A813,'WP-5 Payroll Data'!$K$11:$O$151,3,FALSE)&gt;26,26,VLOOKUP(A813,'WP-5 Payroll Data'!$K$11:$O$151,3,FALSE))</f>
        <v>26</v>
      </c>
      <c r="G813" s="425">
        <v>7025.0099999999984</v>
      </c>
      <c r="H813" s="425">
        <v>214.14</v>
      </c>
      <c r="J813" s="289">
        <f>VLOOKUP(A813,'WP-5 Payroll Data'!$K$11:$O$151,4,FALSE)</f>
        <v>8691.909999999998</v>
      </c>
      <c r="K813" s="289">
        <f>VLOOKUP(A813,'WP-5 Payroll Data'!$K$11:$O$151,5,FALSE)</f>
        <v>265.3</v>
      </c>
      <c r="L813" s="289">
        <f>J813/K813</f>
        <v>32.762570674707867</v>
      </c>
      <c r="M813" s="289"/>
      <c r="N813" s="300">
        <f>IF((K813/F813)*26&gt;1500,2080,IF((K813/F813)*26&gt;300,520,IF((K813/F813)*26&gt;100,260,K813)))</f>
        <v>260</v>
      </c>
      <c r="O813" s="296">
        <f>N813*L813</f>
        <v>8518.2683754240461</v>
      </c>
      <c r="P813" s="294"/>
      <c r="Q813" s="294">
        <f>O813*0.03</f>
        <v>255.54805126272137</v>
      </c>
      <c r="R813" s="295"/>
      <c r="S813" s="302">
        <f t="shared" si="49"/>
        <v>0</v>
      </c>
      <c r="T813" s="302"/>
      <c r="U813" s="303"/>
      <c r="V813" s="305">
        <f t="shared" si="50"/>
        <v>0</v>
      </c>
      <c r="W813" s="305" t="str">
        <f t="shared" si="48"/>
        <v xml:space="preserve"> </v>
      </c>
      <c r="X813" s="288"/>
    </row>
    <row r="814" spans="1:24">
      <c r="A814" s="286">
        <v>110</v>
      </c>
      <c r="C814" s="286" t="s">
        <v>597</v>
      </c>
      <c r="D814" s="286"/>
      <c r="E814" s="286" t="s">
        <v>605</v>
      </c>
      <c r="F814" s="286">
        <v>26</v>
      </c>
      <c r="G814" s="425">
        <v>765.04000000000008</v>
      </c>
      <c r="H814" s="425">
        <v>23.629999999999995</v>
      </c>
      <c r="J814" s="289"/>
      <c r="K814" s="289"/>
      <c r="L814" s="291"/>
      <c r="M814" s="291"/>
      <c r="N814" s="300"/>
      <c r="O814" s="296"/>
      <c r="P814" s="294"/>
      <c r="Q814" s="294"/>
      <c r="R814" s="295"/>
      <c r="S814" s="302">
        <f t="shared" si="49"/>
        <v>0</v>
      </c>
      <c r="T814" s="302"/>
      <c r="U814" s="303"/>
      <c r="V814" s="305">
        <f t="shared" si="50"/>
        <v>0</v>
      </c>
      <c r="W814" s="305" t="str">
        <f t="shared" si="48"/>
        <v xml:space="preserve"> </v>
      </c>
      <c r="X814" s="288"/>
    </row>
    <row r="815" spans="1:24">
      <c r="A815" s="286">
        <v>110</v>
      </c>
      <c r="C815" s="286" t="s">
        <v>597</v>
      </c>
      <c r="D815" s="286"/>
      <c r="E815" s="286" t="s">
        <v>608</v>
      </c>
      <c r="F815" s="286">
        <v>26</v>
      </c>
      <c r="G815" s="425">
        <v>801.43</v>
      </c>
      <c r="H815" s="425">
        <v>24.460000000000008</v>
      </c>
      <c r="J815" s="289"/>
      <c r="K815" s="289"/>
      <c r="L815" s="291"/>
      <c r="M815" s="291"/>
      <c r="N815" s="300"/>
      <c r="O815" s="296"/>
      <c r="P815" s="294"/>
      <c r="Q815" s="294"/>
      <c r="R815" s="295"/>
      <c r="S815" s="302">
        <f t="shared" si="49"/>
        <v>0</v>
      </c>
      <c r="T815" s="302"/>
      <c r="U815" s="303"/>
      <c r="V815" s="305">
        <f t="shared" si="50"/>
        <v>0</v>
      </c>
      <c r="W815" s="305" t="str">
        <f t="shared" si="48"/>
        <v xml:space="preserve"> </v>
      </c>
      <c r="X815" s="288"/>
    </row>
    <row r="816" spans="1:24">
      <c r="A816" s="286">
        <v>110</v>
      </c>
      <c r="C816" s="286" t="s">
        <v>597</v>
      </c>
      <c r="D816" s="286"/>
      <c r="E816" s="286" t="s">
        <v>610</v>
      </c>
      <c r="F816" s="286">
        <v>26</v>
      </c>
      <c r="G816" s="425">
        <v>100.42999999999999</v>
      </c>
      <c r="H816" s="425">
        <v>3.0700000000000003</v>
      </c>
      <c r="J816" s="289"/>
      <c r="K816" s="289"/>
      <c r="L816" s="291"/>
      <c r="M816" s="291"/>
      <c r="N816" s="300"/>
      <c r="O816" s="296"/>
      <c r="P816" s="294"/>
      <c r="Q816" s="294"/>
      <c r="R816" s="295"/>
      <c r="S816" s="302">
        <f t="shared" si="49"/>
        <v>0</v>
      </c>
      <c r="T816" s="302"/>
      <c r="U816" s="303"/>
      <c r="V816" s="305">
        <f t="shared" si="50"/>
        <v>0</v>
      </c>
      <c r="W816" s="305" t="str">
        <f t="shared" si="48"/>
        <v xml:space="preserve"> </v>
      </c>
      <c r="X816" s="288"/>
    </row>
    <row r="817" spans="1:24">
      <c r="A817" s="286">
        <v>110</v>
      </c>
      <c r="C817" s="286" t="s">
        <v>597</v>
      </c>
      <c r="D817" s="286"/>
      <c r="E817" s="286" t="s">
        <v>624</v>
      </c>
      <c r="F817" s="286">
        <v>26</v>
      </c>
      <c r="G817" s="425">
        <v>267.75</v>
      </c>
      <c r="H817" s="425">
        <v>0</v>
      </c>
      <c r="J817" s="289"/>
      <c r="K817" s="289"/>
      <c r="L817" s="291"/>
      <c r="M817" s="291"/>
      <c r="N817" s="300"/>
      <c r="O817" s="296"/>
      <c r="P817" s="294"/>
      <c r="Q817" s="294"/>
      <c r="R817" s="295"/>
      <c r="S817" s="302">
        <f t="shared" si="49"/>
        <v>0</v>
      </c>
      <c r="T817" s="302"/>
      <c r="U817" s="303"/>
      <c r="V817" s="305">
        <f t="shared" si="50"/>
        <v>267.75</v>
      </c>
      <c r="W817" s="305">
        <f t="shared" si="48"/>
        <v>66.9375</v>
      </c>
      <c r="X817" s="288"/>
    </row>
    <row r="818" spans="1:24">
      <c r="A818" s="286">
        <v>111</v>
      </c>
      <c r="C818" s="286" t="s">
        <v>663</v>
      </c>
      <c r="D818" s="286"/>
      <c r="E818" s="286" t="s">
        <v>598</v>
      </c>
      <c r="F818" s="286">
        <f>IF(VLOOKUP(A818,'WP-5 Payroll Data'!$K$11:$O$151,3,FALSE)&gt;26,26,VLOOKUP(A818,'WP-5 Payroll Data'!$K$11:$O$151,3,FALSE))</f>
        <v>26</v>
      </c>
      <c r="G818" s="424">
        <v>14040</v>
      </c>
      <c r="H818" s="425">
        <v>520</v>
      </c>
      <c r="J818" s="289">
        <f>VLOOKUP(A818,'WP-5 Payroll Data'!$K$11:$O$151,4,FALSE)</f>
        <v>14040</v>
      </c>
      <c r="K818" s="289">
        <f>VLOOKUP(A818,'WP-5 Payroll Data'!$K$11:$O$151,5,FALSE)</f>
        <v>520</v>
      </c>
      <c r="L818" s="289">
        <f>J818/K818</f>
        <v>27</v>
      </c>
      <c r="M818" s="289"/>
      <c r="N818" s="300">
        <f>IF((K818/F818)*26&gt;1500,2080,IF((K818/F818)*26&gt;300,520,IF((K818/F818)*26&gt;100,260,K818)))</f>
        <v>520</v>
      </c>
      <c r="O818" s="296">
        <f>N818*L818</f>
        <v>14040</v>
      </c>
      <c r="P818" s="294"/>
      <c r="Q818" s="294">
        <f>O818*0.03</f>
        <v>421.2</v>
      </c>
      <c r="R818" s="295"/>
      <c r="S818" s="302">
        <f t="shared" si="49"/>
        <v>0</v>
      </c>
      <c r="T818" s="302"/>
      <c r="U818" s="303"/>
      <c r="V818" s="305">
        <f t="shared" si="50"/>
        <v>0</v>
      </c>
      <c r="W818" s="305" t="str">
        <f t="shared" si="48"/>
        <v xml:space="preserve"> </v>
      </c>
      <c r="X818" s="288"/>
    </row>
    <row r="819" spans="1:24">
      <c r="A819" s="286">
        <v>112</v>
      </c>
      <c r="C819" s="286" t="s">
        <v>619</v>
      </c>
      <c r="D819" s="286" t="s">
        <v>677</v>
      </c>
      <c r="E819" s="286" t="s">
        <v>621</v>
      </c>
      <c r="F819" s="286">
        <f>IF(VLOOKUP(A819,'WP-5 Payroll Data'!$K$11:$O$151,3,FALSE)&gt;26,26,VLOOKUP(A819,'WP-5 Payroll Data'!$K$11:$O$151,3,FALSE))</f>
        <v>26</v>
      </c>
      <c r="G819" s="425">
        <v>52885.659999999996</v>
      </c>
      <c r="H819" s="425">
        <v>1706</v>
      </c>
      <c r="J819" s="289">
        <f>VLOOKUP(A819,'WP-5 Payroll Data'!$K$11:$O$151,4,FALSE)</f>
        <v>66754.87999999999</v>
      </c>
      <c r="K819" s="289">
        <f>VLOOKUP(A819,'WP-5 Payroll Data'!$K$11:$O$151,5,FALSE)</f>
        <v>2152</v>
      </c>
      <c r="L819" s="289">
        <f>J819/K819</f>
        <v>31.019925650557617</v>
      </c>
      <c r="M819" s="289"/>
      <c r="N819" s="300">
        <f>IF((K819/F819)*26&gt;1500,2080,IF((K819/F819)*26&gt;300,520,IF((K819/F819)*26&gt;100,260,K819)))</f>
        <v>2080</v>
      </c>
      <c r="O819" s="296">
        <f>N819*L819</f>
        <v>64521.445353159841</v>
      </c>
      <c r="P819" s="294"/>
      <c r="Q819" s="294">
        <f>O819*0.03</f>
        <v>1935.6433605947952</v>
      </c>
      <c r="R819" s="295"/>
      <c r="S819" s="302">
        <f t="shared" si="49"/>
        <v>0</v>
      </c>
      <c r="T819" s="302"/>
      <c r="U819" s="303"/>
      <c r="V819" s="305">
        <f t="shared" si="50"/>
        <v>0</v>
      </c>
      <c r="W819" s="305" t="str">
        <f t="shared" si="48"/>
        <v xml:space="preserve"> </v>
      </c>
      <c r="X819" s="288"/>
    </row>
    <row r="820" spans="1:24">
      <c r="A820" s="286">
        <v>112</v>
      </c>
      <c r="C820" s="286" t="s">
        <v>619</v>
      </c>
      <c r="D820" s="286" t="s">
        <v>677</v>
      </c>
      <c r="E820" s="286" t="s">
        <v>599</v>
      </c>
      <c r="F820" s="286">
        <v>27</v>
      </c>
      <c r="G820" s="425">
        <v>3819.8500000000004</v>
      </c>
      <c r="H820" s="425">
        <v>80.3</v>
      </c>
      <c r="J820" s="289"/>
      <c r="K820" s="289"/>
      <c r="L820" s="291"/>
      <c r="M820" s="291"/>
      <c r="N820" s="300"/>
      <c r="O820" s="296"/>
      <c r="P820" s="294"/>
      <c r="Q820" s="294"/>
      <c r="R820" s="295"/>
      <c r="S820" s="302">
        <f t="shared" si="49"/>
        <v>3819.8500000000004</v>
      </c>
      <c r="T820" s="302">
        <f t="shared" si="51"/>
        <v>114.5955</v>
      </c>
      <c r="U820" s="303"/>
      <c r="V820" s="305">
        <f t="shared" si="50"/>
        <v>0</v>
      </c>
      <c r="W820" s="305" t="str">
        <f t="shared" si="48"/>
        <v xml:space="preserve"> </v>
      </c>
      <c r="X820" s="288"/>
    </row>
    <row r="821" spans="1:24">
      <c r="A821" s="286">
        <v>112</v>
      </c>
      <c r="C821" s="286" t="s">
        <v>619</v>
      </c>
      <c r="D821" s="286" t="s">
        <v>677</v>
      </c>
      <c r="E821" s="286" t="s">
        <v>601</v>
      </c>
      <c r="F821" s="286">
        <v>27</v>
      </c>
      <c r="G821" s="425">
        <v>2521.44</v>
      </c>
      <c r="H821" s="425">
        <v>40</v>
      </c>
      <c r="J821" s="289"/>
      <c r="K821" s="289"/>
      <c r="L821" s="291"/>
      <c r="M821" s="291"/>
      <c r="N821" s="300"/>
      <c r="O821" s="296"/>
      <c r="P821" s="294"/>
      <c r="Q821" s="294"/>
      <c r="R821" s="295"/>
      <c r="S821" s="302">
        <f t="shared" si="49"/>
        <v>2521.44</v>
      </c>
      <c r="T821" s="302">
        <f t="shared" si="51"/>
        <v>75.643199999999993</v>
      </c>
      <c r="U821" s="303"/>
      <c r="V821" s="305">
        <f t="shared" si="50"/>
        <v>0</v>
      </c>
      <c r="W821" s="305" t="str">
        <f t="shared" si="48"/>
        <v xml:space="preserve"> </v>
      </c>
      <c r="X821" s="288"/>
    </row>
    <row r="822" spans="1:24">
      <c r="A822" s="286">
        <v>112</v>
      </c>
      <c r="C822" s="286" t="s">
        <v>619</v>
      </c>
      <c r="D822" s="286" t="s">
        <v>677</v>
      </c>
      <c r="E822" s="286" t="s">
        <v>603</v>
      </c>
      <c r="F822" s="286">
        <v>27</v>
      </c>
      <c r="G822" s="425">
        <v>4542.5599999999995</v>
      </c>
      <c r="H822" s="425">
        <v>96</v>
      </c>
      <c r="J822" s="289"/>
      <c r="K822" s="289"/>
      <c r="L822" s="291"/>
      <c r="M822" s="291"/>
      <c r="N822" s="300"/>
      <c r="O822" s="296"/>
      <c r="P822" s="294"/>
      <c r="Q822" s="294"/>
      <c r="R822" s="295"/>
      <c r="S822" s="302">
        <f t="shared" si="49"/>
        <v>4542.5599999999995</v>
      </c>
      <c r="T822" s="302">
        <f t="shared" si="51"/>
        <v>136.27679999999998</v>
      </c>
      <c r="U822" s="303"/>
      <c r="V822" s="305">
        <f t="shared" si="50"/>
        <v>0</v>
      </c>
      <c r="W822" s="305" t="str">
        <f t="shared" si="48"/>
        <v xml:space="preserve"> </v>
      </c>
      <c r="X822" s="288"/>
    </row>
    <row r="823" spans="1:24">
      <c r="A823" s="286">
        <v>112</v>
      </c>
      <c r="C823" s="286" t="s">
        <v>619</v>
      </c>
      <c r="D823" s="286" t="s">
        <v>677</v>
      </c>
      <c r="E823" s="286" t="s">
        <v>627</v>
      </c>
      <c r="F823" s="286">
        <v>27</v>
      </c>
      <c r="G823" s="425">
        <v>4213.88</v>
      </c>
      <c r="H823" s="425">
        <v>136</v>
      </c>
      <c r="J823" s="289"/>
      <c r="K823" s="289"/>
      <c r="L823" s="291"/>
      <c r="M823" s="291"/>
      <c r="N823" s="300"/>
      <c r="O823" s="296"/>
      <c r="P823" s="294"/>
      <c r="Q823" s="294"/>
      <c r="R823" s="295"/>
      <c r="S823" s="302">
        <f t="shared" si="49"/>
        <v>0</v>
      </c>
      <c r="T823" s="302"/>
      <c r="U823" s="303"/>
      <c r="V823" s="305">
        <f t="shared" si="50"/>
        <v>0</v>
      </c>
      <c r="W823" s="305" t="str">
        <f t="shared" si="48"/>
        <v xml:space="preserve"> </v>
      </c>
      <c r="X823" s="288"/>
    </row>
    <row r="824" spans="1:24">
      <c r="A824" s="286">
        <v>112</v>
      </c>
      <c r="C824" s="286" t="s">
        <v>619</v>
      </c>
      <c r="D824" s="286" t="s">
        <v>677</v>
      </c>
      <c r="E824" s="286" t="s">
        <v>606</v>
      </c>
      <c r="F824" s="286">
        <v>27</v>
      </c>
      <c r="G824" s="425">
        <v>500.32</v>
      </c>
      <c r="H824" s="425">
        <v>8</v>
      </c>
      <c r="J824" s="289"/>
      <c r="K824" s="289"/>
      <c r="L824" s="291"/>
      <c r="M824" s="291"/>
      <c r="N824" s="300"/>
      <c r="O824" s="296"/>
      <c r="P824" s="294"/>
      <c r="Q824" s="294"/>
      <c r="R824" s="295"/>
      <c r="S824" s="302">
        <f t="shared" si="49"/>
        <v>500.32</v>
      </c>
      <c r="T824" s="302">
        <f t="shared" si="51"/>
        <v>15.009599999999999</v>
      </c>
      <c r="U824" s="303"/>
      <c r="V824" s="305">
        <f t="shared" si="50"/>
        <v>0</v>
      </c>
      <c r="W824" s="305" t="str">
        <f t="shared" si="48"/>
        <v xml:space="preserve"> </v>
      </c>
      <c r="X824" s="288"/>
    </row>
    <row r="825" spans="1:24">
      <c r="A825" s="286">
        <v>112</v>
      </c>
      <c r="C825" s="286" t="s">
        <v>619</v>
      </c>
      <c r="D825" s="286" t="s">
        <v>677</v>
      </c>
      <c r="E825" s="286" t="s">
        <v>630</v>
      </c>
      <c r="F825" s="286">
        <v>27</v>
      </c>
      <c r="G825" s="425">
        <v>5438.2199999999993</v>
      </c>
      <c r="H825" s="425">
        <v>174</v>
      </c>
      <c r="J825" s="289"/>
      <c r="K825" s="289"/>
      <c r="L825" s="291"/>
      <c r="M825" s="291"/>
      <c r="N825" s="300"/>
      <c r="O825" s="296"/>
      <c r="P825" s="294"/>
      <c r="Q825" s="294"/>
      <c r="R825" s="295"/>
      <c r="S825" s="302">
        <f t="shared" si="49"/>
        <v>0</v>
      </c>
      <c r="T825" s="302"/>
      <c r="U825" s="303"/>
      <c r="V825" s="305">
        <f t="shared" si="50"/>
        <v>0</v>
      </c>
      <c r="W825" s="305" t="str">
        <f t="shared" si="48"/>
        <v xml:space="preserve"> </v>
      </c>
      <c r="X825" s="288"/>
    </row>
    <row r="826" spans="1:24">
      <c r="A826" s="286">
        <v>112</v>
      </c>
      <c r="C826" s="286" t="s">
        <v>619</v>
      </c>
      <c r="D826" s="286" t="s">
        <v>677</v>
      </c>
      <c r="E826" s="286" t="s">
        <v>633</v>
      </c>
      <c r="F826" s="286">
        <v>27</v>
      </c>
      <c r="G826" s="425">
        <v>3478.6399999999994</v>
      </c>
      <c r="H826" s="425">
        <v>112</v>
      </c>
      <c r="J826" s="289"/>
      <c r="K826" s="289"/>
      <c r="L826" s="291"/>
      <c r="M826" s="291"/>
      <c r="N826" s="300"/>
      <c r="O826" s="296"/>
      <c r="P826" s="294"/>
      <c r="Q826" s="294"/>
      <c r="R826" s="295"/>
      <c r="S826" s="302">
        <f t="shared" si="49"/>
        <v>0</v>
      </c>
      <c r="T826" s="302"/>
      <c r="U826" s="303"/>
      <c r="V826" s="305">
        <f t="shared" si="50"/>
        <v>0</v>
      </c>
      <c r="W826" s="305" t="str">
        <f t="shared" si="48"/>
        <v xml:space="preserve"> </v>
      </c>
      <c r="X826" s="288"/>
    </row>
    <row r="827" spans="1:24">
      <c r="A827" s="286">
        <v>112</v>
      </c>
      <c r="C827" s="286" t="s">
        <v>619</v>
      </c>
      <c r="D827" s="286" t="s">
        <v>677</v>
      </c>
      <c r="E827" s="286" t="s">
        <v>604</v>
      </c>
      <c r="F827" s="286">
        <v>27</v>
      </c>
      <c r="G827" s="425">
        <v>492.32</v>
      </c>
      <c r="H827" s="425">
        <v>16</v>
      </c>
      <c r="J827" s="289"/>
      <c r="K827" s="289"/>
      <c r="L827" s="291"/>
      <c r="M827" s="291"/>
      <c r="N827" s="300"/>
      <c r="O827" s="296"/>
      <c r="P827" s="294"/>
      <c r="Q827" s="294"/>
      <c r="R827" s="295"/>
      <c r="S827" s="302">
        <f t="shared" si="49"/>
        <v>0</v>
      </c>
      <c r="T827" s="302"/>
      <c r="U827" s="303"/>
      <c r="V827" s="305">
        <f t="shared" si="50"/>
        <v>492.32</v>
      </c>
      <c r="W827" s="305" t="str">
        <f t="shared" si="48"/>
        <v xml:space="preserve"> </v>
      </c>
      <c r="X827" s="288"/>
    </row>
    <row r="828" spans="1:24">
      <c r="A828" s="286">
        <v>112</v>
      </c>
      <c r="C828" s="286" t="s">
        <v>619</v>
      </c>
      <c r="D828" s="286" t="s">
        <v>677</v>
      </c>
      <c r="E828" s="286" t="s">
        <v>634</v>
      </c>
      <c r="F828" s="286">
        <v>27</v>
      </c>
      <c r="G828" s="425">
        <v>738.48</v>
      </c>
      <c r="H828" s="425">
        <v>24</v>
      </c>
      <c r="J828" s="289"/>
      <c r="K828" s="289"/>
      <c r="L828" s="291"/>
      <c r="M828" s="291"/>
      <c r="N828" s="300"/>
      <c r="O828" s="296"/>
      <c r="P828" s="294"/>
      <c r="Q828" s="294"/>
      <c r="R828" s="295"/>
      <c r="S828" s="302">
        <f t="shared" si="49"/>
        <v>0</v>
      </c>
      <c r="T828" s="302"/>
      <c r="U828" s="303"/>
      <c r="V828" s="305">
        <f t="shared" si="50"/>
        <v>0</v>
      </c>
      <c r="W828" s="305" t="str">
        <f t="shared" si="48"/>
        <v xml:space="preserve"> </v>
      </c>
      <c r="X828" s="288"/>
    </row>
    <row r="829" spans="1:24">
      <c r="A829" s="286">
        <v>112</v>
      </c>
      <c r="C829" s="286" t="s">
        <v>619</v>
      </c>
      <c r="D829" s="286" t="s">
        <v>677</v>
      </c>
      <c r="E829" s="286" t="s">
        <v>623</v>
      </c>
      <c r="F829" s="286">
        <v>27</v>
      </c>
      <c r="G829" s="425">
        <v>250</v>
      </c>
      <c r="H829" s="425">
        <v>0</v>
      </c>
      <c r="J829" s="289"/>
      <c r="K829" s="289"/>
      <c r="L829" s="291"/>
      <c r="M829" s="291"/>
      <c r="N829" s="300"/>
      <c r="O829" s="296"/>
      <c r="P829" s="294"/>
      <c r="Q829" s="294"/>
      <c r="R829" s="295"/>
      <c r="S829" s="302">
        <f t="shared" si="49"/>
        <v>0</v>
      </c>
      <c r="T829" s="302"/>
      <c r="U829" s="303"/>
      <c r="V829" s="305">
        <f t="shared" si="50"/>
        <v>250</v>
      </c>
      <c r="W829" s="305" t="str">
        <f t="shared" si="48"/>
        <v xml:space="preserve"> </v>
      </c>
      <c r="X829" s="288"/>
    </row>
    <row r="830" spans="1:24">
      <c r="A830" s="286">
        <v>112</v>
      </c>
      <c r="C830" s="286" t="s">
        <v>619</v>
      </c>
      <c r="D830" s="286" t="s">
        <v>677</v>
      </c>
      <c r="E830" s="286" t="s">
        <v>625</v>
      </c>
      <c r="F830" s="286">
        <v>27</v>
      </c>
      <c r="G830" s="425">
        <v>2200</v>
      </c>
      <c r="H830" s="425">
        <v>0</v>
      </c>
      <c r="J830" s="289"/>
      <c r="K830" s="289"/>
      <c r="L830" s="291"/>
      <c r="M830" s="291"/>
      <c r="N830" s="300"/>
      <c r="O830" s="296"/>
      <c r="P830" s="294"/>
      <c r="Q830" s="294"/>
      <c r="R830" s="295"/>
      <c r="S830" s="302">
        <f t="shared" si="49"/>
        <v>0</v>
      </c>
      <c r="T830" s="302"/>
      <c r="U830" s="303"/>
      <c r="V830" s="305">
        <f t="shared" si="50"/>
        <v>2200</v>
      </c>
      <c r="W830" s="305">
        <f t="shared" si="48"/>
        <v>550</v>
      </c>
      <c r="X830" s="288"/>
    </row>
    <row r="831" spans="1:24">
      <c r="A831" s="286">
        <v>112</v>
      </c>
      <c r="C831" s="286" t="s">
        <v>619</v>
      </c>
      <c r="D831" s="286" t="s">
        <v>677</v>
      </c>
      <c r="E831" s="286" t="s">
        <v>632</v>
      </c>
      <c r="F831" s="286">
        <v>27</v>
      </c>
      <c r="G831" s="425">
        <v>3092.86</v>
      </c>
      <c r="H831" s="425">
        <v>0</v>
      </c>
      <c r="J831" s="289"/>
      <c r="K831" s="289"/>
      <c r="L831" s="291"/>
      <c r="M831" s="291"/>
      <c r="N831" s="300"/>
      <c r="O831" s="296"/>
      <c r="P831" s="294"/>
      <c r="Q831" s="294"/>
      <c r="R831" s="295"/>
      <c r="S831" s="302">
        <f t="shared" si="49"/>
        <v>0</v>
      </c>
      <c r="T831" s="302"/>
      <c r="U831" s="303"/>
      <c r="V831" s="305">
        <f t="shared" si="50"/>
        <v>3092.86</v>
      </c>
      <c r="W831" s="305">
        <f t="shared" si="48"/>
        <v>-3092.86</v>
      </c>
      <c r="X831" s="288"/>
    </row>
    <row r="832" spans="1:24">
      <c r="A832" s="286">
        <v>113</v>
      </c>
      <c r="C832" s="286" t="s">
        <v>644</v>
      </c>
      <c r="D832" s="286" t="s">
        <v>682</v>
      </c>
      <c r="E832" s="286" t="s">
        <v>598</v>
      </c>
      <c r="F832" s="286">
        <f>IF(VLOOKUP(A832,'WP-5 Payroll Data'!$K$11:$O$151,3,FALSE)&gt;26,26,VLOOKUP(A832,'WP-5 Payroll Data'!$K$11:$O$151,3,FALSE))</f>
        <v>26</v>
      </c>
      <c r="G832" s="425">
        <v>32842.71</v>
      </c>
      <c r="H832" s="425">
        <v>1738.71</v>
      </c>
      <c r="J832" s="289">
        <f>VLOOKUP(A832,'WP-5 Payroll Data'!$K$11:$O$151,4,FALSE)</f>
        <v>38974.01</v>
      </c>
      <c r="K832" s="289">
        <f>VLOOKUP(A832,'WP-5 Payroll Data'!$K$11:$O$151,5,FALSE)</f>
        <v>2061.1299999999997</v>
      </c>
      <c r="L832" s="289">
        <f>J832/K832</f>
        <v>18.909049890108829</v>
      </c>
      <c r="M832" s="289"/>
      <c r="N832" s="300">
        <f>IF((K832/F832)*26&gt;1500,2080,IF((K832/F832)*26&gt;300,520,IF((K832/F832)*26&gt;100,260,K832)))</f>
        <v>2080</v>
      </c>
      <c r="O832" s="296">
        <f>N832*L832</f>
        <v>39330.823771426367</v>
      </c>
      <c r="P832" s="294"/>
      <c r="Q832" s="294">
        <f>O832*0.03</f>
        <v>1179.924713142791</v>
      </c>
      <c r="R832" s="295"/>
      <c r="S832" s="302">
        <f t="shared" si="49"/>
        <v>0</v>
      </c>
      <c r="T832" s="302"/>
      <c r="U832" s="303"/>
      <c r="V832" s="305">
        <f t="shared" si="50"/>
        <v>0</v>
      </c>
      <c r="W832" s="305" t="str">
        <f t="shared" si="48"/>
        <v xml:space="preserve"> </v>
      </c>
      <c r="X832" s="288"/>
    </row>
    <row r="833" spans="1:24">
      <c r="A833" s="286">
        <v>113</v>
      </c>
      <c r="C833" s="286" t="s">
        <v>644</v>
      </c>
      <c r="D833" s="286" t="s">
        <v>682</v>
      </c>
      <c r="E833" s="286" t="s">
        <v>599</v>
      </c>
      <c r="F833" s="286">
        <v>26</v>
      </c>
      <c r="G833" s="425">
        <v>1472.5300000000002</v>
      </c>
      <c r="H833" s="425">
        <v>51.940000000000005</v>
      </c>
      <c r="J833" s="289"/>
      <c r="K833" s="289"/>
      <c r="L833" s="291"/>
      <c r="M833" s="291"/>
      <c r="N833" s="300"/>
      <c r="O833" s="296"/>
      <c r="P833" s="294"/>
      <c r="Q833" s="294"/>
      <c r="R833" s="295"/>
      <c r="S833" s="302">
        <f t="shared" si="49"/>
        <v>1472.5300000000002</v>
      </c>
      <c r="T833" s="302">
        <f t="shared" si="51"/>
        <v>44.175900000000006</v>
      </c>
      <c r="U833" s="303"/>
      <c r="V833" s="305">
        <f t="shared" si="50"/>
        <v>0</v>
      </c>
      <c r="W833" s="305" t="str">
        <f t="shared" si="48"/>
        <v xml:space="preserve"> </v>
      </c>
      <c r="X833" s="288"/>
    </row>
    <row r="834" spans="1:24">
      <c r="A834" s="286">
        <v>113</v>
      </c>
      <c r="C834" s="286" t="s">
        <v>644</v>
      </c>
      <c r="D834" s="286" t="s">
        <v>682</v>
      </c>
      <c r="E834" s="286" t="s">
        <v>605</v>
      </c>
      <c r="F834" s="286">
        <v>26</v>
      </c>
      <c r="G834" s="425">
        <v>3757.57</v>
      </c>
      <c r="H834" s="425">
        <v>197.37</v>
      </c>
      <c r="J834" s="289"/>
      <c r="K834" s="289"/>
      <c r="L834" s="291"/>
      <c r="M834" s="291"/>
      <c r="N834" s="300"/>
      <c r="O834" s="296"/>
      <c r="P834" s="294"/>
      <c r="Q834" s="294"/>
      <c r="R834" s="295"/>
      <c r="S834" s="302">
        <f t="shared" si="49"/>
        <v>0</v>
      </c>
      <c r="T834" s="302"/>
      <c r="U834" s="303"/>
      <c r="V834" s="305">
        <f t="shared" si="50"/>
        <v>0</v>
      </c>
      <c r="W834" s="305" t="str">
        <f t="shared" si="48"/>
        <v xml:space="preserve"> </v>
      </c>
      <c r="X834" s="288"/>
    </row>
    <row r="835" spans="1:24">
      <c r="A835" s="286">
        <v>113</v>
      </c>
      <c r="C835" s="286" t="s">
        <v>644</v>
      </c>
      <c r="D835" s="286" t="s">
        <v>682</v>
      </c>
      <c r="E835" s="286" t="s">
        <v>608</v>
      </c>
      <c r="F835" s="286">
        <v>26</v>
      </c>
      <c r="G835" s="425">
        <v>1936.7200000000003</v>
      </c>
      <c r="H835" s="425">
        <v>102.41</v>
      </c>
      <c r="J835" s="289"/>
      <c r="K835" s="289"/>
      <c r="L835" s="291"/>
      <c r="M835" s="291"/>
      <c r="N835" s="300"/>
      <c r="O835" s="296"/>
      <c r="P835" s="294"/>
      <c r="Q835" s="294"/>
      <c r="R835" s="295"/>
      <c r="S835" s="302">
        <f t="shared" si="49"/>
        <v>0</v>
      </c>
      <c r="T835" s="302"/>
      <c r="U835" s="303"/>
      <c r="V835" s="305">
        <f t="shared" si="50"/>
        <v>0</v>
      </c>
      <c r="W835" s="305" t="str">
        <f t="shared" si="48"/>
        <v xml:space="preserve"> </v>
      </c>
      <c r="X835" s="288"/>
    </row>
    <row r="836" spans="1:24">
      <c r="A836" s="286">
        <v>113</v>
      </c>
      <c r="C836" s="286" t="s">
        <v>644</v>
      </c>
      <c r="D836" s="286" t="s">
        <v>682</v>
      </c>
      <c r="E836" s="286" t="s">
        <v>602</v>
      </c>
      <c r="F836" s="286">
        <v>26</v>
      </c>
      <c r="G836" s="425">
        <v>364.97</v>
      </c>
      <c r="H836" s="425">
        <v>18.87</v>
      </c>
      <c r="J836" s="289"/>
      <c r="K836" s="289"/>
      <c r="L836" s="291"/>
      <c r="M836" s="291"/>
      <c r="N836" s="300"/>
      <c r="O836" s="296"/>
      <c r="P836" s="294"/>
      <c r="Q836" s="294"/>
      <c r="R836" s="295"/>
      <c r="S836" s="302">
        <f t="shared" si="49"/>
        <v>0</v>
      </c>
      <c r="T836" s="302"/>
      <c r="U836" s="303"/>
      <c r="V836" s="305">
        <f t="shared" si="50"/>
        <v>364.97</v>
      </c>
      <c r="W836" s="305" t="str">
        <f t="shared" si="48"/>
        <v xml:space="preserve"> </v>
      </c>
      <c r="X836" s="288"/>
    </row>
    <row r="837" spans="1:24">
      <c r="A837" s="286">
        <v>113</v>
      </c>
      <c r="C837" s="286" t="s">
        <v>644</v>
      </c>
      <c r="D837" s="286" t="s">
        <v>682</v>
      </c>
      <c r="E837" s="286" t="s">
        <v>610</v>
      </c>
      <c r="F837" s="286">
        <v>26</v>
      </c>
      <c r="G837" s="425">
        <v>348.66</v>
      </c>
      <c r="H837" s="425">
        <v>17.920000000000002</v>
      </c>
      <c r="J837" s="289"/>
      <c r="K837" s="289"/>
      <c r="L837" s="291"/>
      <c r="M837" s="291"/>
      <c r="N837" s="300"/>
      <c r="O837" s="296"/>
      <c r="P837" s="294"/>
      <c r="Q837" s="294"/>
      <c r="R837" s="295"/>
      <c r="S837" s="302">
        <f t="shared" si="49"/>
        <v>0</v>
      </c>
      <c r="T837" s="302"/>
      <c r="U837" s="303"/>
      <c r="V837" s="305">
        <f t="shared" si="50"/>
        <v>0</v>
      </c>
      <c r="W837" s="305" t="str">
        <f t="shared" si="48"/>
        <v xml:space="preserve"> </v>
      </c>
      <c r="X837" s="288"/>
    </row>
    <row r="838" spans="1:24">
      <c r="A838" s="286">
        <v>113</v>
      </c>
      <c r="C838" s="286" t="s">
        <v>644</v>
      </c>
      <c r="D838" s="286" t="s">
        <v>682</v>
      </c>
      <c r="E838" s="286" t="s">
        <v>642</v>
      </c>
      <c r="F838" s="286">
        <v>26</v>
      </c>
      <c r="G838" s="425">
        <v>88.35</v>
      </c>
      <c r="H838" s="425">
        <v>4.72</v>
      </c>
      <c r="J838" s="289"/>
      <c r="K838" s="289"/>
      <c r="L838" s="291"/>
      <c r="M838" s="291"/>
      <c r="N838" s="300"/>
      <c r="O838" s="296"/>
      <c r="P838" s="294"/>
      <c r="Q838" s="294"/>
      <c r="R838" s="295"/>
      <c r="S838" s="302">
        <f t="shared" si="49"/>
        <v>0</v>
      </c>
      <c r="T838" s="302"/>
      <c r="U838" s="303"/>
      <c r="V838" s="305">
        <f t="shared" si="50"/>
        <v>0</v>
      </c>
      <c r="W838" s="305" t="str">
        <f t="shared" si="48"/>
        <v xml:space="preserve"> </v>
      </c>
      <c r="X838" s="288"/>
    </row>
    <row r="839" spans="1:24">
      <c r="A839" s="286">
        <v>113</v>
      </c>
      <c r="C839" s="286" t="s">
        <v>644</v>
      </c>
      <c r="D839" s="286" t="s">
        <v>682</v>
      </c>
      <c r="E839" s="286" t="s">
        <v>612</v>
      </c>
      <c r="F839" s="286">
        <v>26</v>
      </c>
      <c r="G839" s="425">
        <v>200</v>
      </c>
      <c r="H839" s="425">
        <v>0</v>
      </c>
      <c r="J839" s="289"/>
      <c r="K839" s="289"/>
      <c r="L839" s="291"/>
      <c r="M839" s="291"/>
      <c r="N839" s="300"/>
      <c r="O839" s="296"/>
      <c r="P839" s="294"/>
      <c r="Q839" s="294"/>
      <c r="R839" s="295"/>
      <c r="S839" s="302">
        <f t="shared" si="49"/>
        <v>0</v>
      </c>
      <c r="T839" s="302"/>
      <c r="U839" s="303"/>
      <c r="V839" s="305">
        <f t="shared" si="50"/>
        <v>200</v>
      </c>
      <c r="W839" s="305" t="str">
        <f t="shared" si="48"/>
        <v xml:space="preserve"> </v>
      </c>
      <c r="X839" s="288"/>
    </row>
    <row r="840" spans="1:24">
      <c r="A840" s="286">
        <v>113</v>
      </c>
      <c r="C840" s="286" t="s">
        <v>644</v>
      </c>
      <c r="D840" s="286" t="s">
        <v>682</v>
      </c>
      <c r="E840" s="286" t="s">
        <v>614</v>
      </c>
      <c r="F840" s="286">
        <v>26</v>
      </c>
      <c r="G840" s="425">
        <v>250</v>
      </c>
      <c r="H840" s="425">
        <v>0</v>
      </c>
      <c r="J840" s="289"/>
      <c r="K840" s="289"/>
      <c r="L840" s="291"/>
      <c r="M840" s="291"/>
      <c r="N840" s="300"/>
      <c r="O840" s="296"/>
      <c r="P840" s="294"/>
      <c r="Q840" s="294"/>
      <c r="R840" s="295"/>
      <c r="S840" s="302">
        <f t="shared" si="49"/>
        <v>0</v>
      </c>
      <c r="T840" s="302"/>
      <c r="U840" s="303"/>
      <c r="V840" s="305">
        <f t="shared" si="50"/>
        <v>250</v>
      </c>
      <c r="W840" s="305" t="str">
        <f t="shared" si="48"/>
        <v xml:space="preserve"> </v>
      </c>
      <c r="X840" s="288"/>
    </row>
    <row r="841" spans="1:24">
      <c r="A841" s="286">
        <v>113</v>
      </c>
      <c r="C841" s="286" t="s">
        <v>644</v>
      </c>
      <c r="D841" s="286" t="s">
        <v>682</v>
      </c>
      <c r="E841" s="286" t="s">
        <v>616</v>
      </c>
      <c r="F841" s="286">
        <v>26</v>
      </c>
      <c r="G841" s="425">
        <v>4200</v>
      </c>
      <c r="H841" s="425">
        <v>0</v>
      </c>
      <c r="J841" s="289"/>
      <c r="K841" s="289"/>
      <c r="L841" s="291"/>
      <c r="M841" s="291"/>
      <c r="N841" s="300"/>
      <c r="O841" s="296"/>
      <c r="P841" s="294"/>
      <c r="Q841" s="294"/>
      <c r="R841" s="295"/>
      <c r="S841" s="302">
        <f t="shared" si="49"/>
        <v>0</v>
      </c>
      <c r="T841" s="302"/>
      <c r="U841" s="303"/>
      <c r="V841" s="305">
        <f t="shared" si="50"/>
        <v>4200</v>
      </c>
      <c r="W841" s="305">
        <f t="shared" si="48"/>
        <v>1050</v>
      </c>
      <c r="X841" s="288"/>
    </row>
    <row r="842" spans="1:24">
      <c r="A842" s="286">
        <v>113</v>
      </c>
      <c r="C842" s="286" t="s">
        <v>644</v>
      </c>
      <c r="D842" s="286" t="s">
        <v>682</v>
      </c>
      <c r="E842" s="286" t="s">
        <v>632</v>
      </c>
      <c r="F842" s="286">
        <v>26</v>
      </c>
      <c r="G842" s="425">
        <v>1127.2</v>
      </c>
      <c r="H842" s="425">
        <v>0</v>
      </c>
      <c r="J842" s="289"/>
      <c r="K842" s="289"/>
      <c r="L842" s="291"/>
      <c r="M842" s="291"/>
      <c r="N842" s="300"/>
      <c r="O842" s="296"/>
      <c r="P842" s="294"/>
      <c r="Q842" s="294"/>
      <c r="R842" s="295"/>
      <c r="S842" s="302">
        <f t="shared" si="49"/>
        <v>0</v>
      </c>
      <c r="T842" s="302"/>
      <c r="U842" s="303"/>
      <c r="V842" s="305">
        <f t="shared" si="50"/>
        <v>1127.2</v>
      </c>
      <c r="W842" s="305">
        <f t="shared" ref="W842:W905" si="52">IF($E842=$AA$29,-$V842,IF(OR($E842=$AA$18,$E842=$AA$23,$E842=$AA$24,$E842=$AA$26),(($V842/200)*50)," "))</f>
        <v>-1127.2</v>
      </c>
      <c r="X842" s="288"/>
    </row>
    <row r="843" spans="1:24">
      <c r="A843" s="286">
        <v>114</v>
      </c>
      <c r="C843" s="286" t="s">
        <v>597</v>
      </c>
      <c r="D843" s="286"/>
      <c r="E843" s="286" t="s">
        <v>598</v>
      </c>
      <c r="F843" s="286">
        <f>IF(VLOOKUP(A843,'WP-5 Payroll Data'!$K$11:$O$151,3,FALSE)&gt;26,26,VLOOKUP(A843,'WP-5 Payroll Data'!$K$11:$O$151,3,FALSE))</f>
        <v>11</v>
      </c>
      <c r="G843" s="425">
        <v>2154.1600000000003</v>
      </c>
      <c r="H843" s="425">
        <v>109</v>
      </c>
      <c r="J843" s="289">
        <f>VLOOKUP(A843,'WP-5 Payroll Data'!$K$11:$O$151,4,FALSE)</f>
        <v>2173.9200000000005</v>
      </c>
      <c r="K843" s="289">
        <f>VLOOKUP(A843,'WP-5 Payroll Data'!$K$11:$O$151,5,FALSE)</f>
        <v>110</v>
      </c>
      <c r="L843" s="289">
        <f>J843/K843</f>
        <v>19.762909090909094</v>
      </c>
      <c r="M843" s="289"/>
      <c r="N843" s="300">
        <f>IF((K843/F843)*26&gt;1500,2080,IF((K843/F843)*26&gt;300,520,IF((K843/F843)*26&gt;100,260,K843)))</f>
        <v>260</v>
      </c>
      <c r="O843" s="296">
        <f>N843*L843</f>
        <v>5138.3563636363642</v>
      </c>
      <c r="P843" s="294"/>
      <c r="Q843" s="294">
        <f>O843*0.03</f>
        <v>154.15069090909091</v>
      </c>
      <c r="R843" s="295"/>
      <c r="S843" s="302">
        <f t="shared" ref="S843:S906" si="53">IF(OR($E843=$Y$10,$E843=$Y$11,$E843=$Y$12,$E843=$Y$13),$G843,0)</f>
        <v>0</v>
      </c>
      <c r="T843" s="302"/>
      <c r="U843" s="303"/>
      <c r="V843" s="305">
        <f t="shared" ref="V843:V906" si="54">IF(OR($E843=$AA$10,$E843=$AA$11,$E843=$AA$12,$E843=$AA$13,$E843=$AA$14,$E843=$AA$15,$E843=$AA$16,$E843=$AA$17,$E843=$AA$18,$E843=$AA$19,$E843=$AA$20,$E843=$AA$21,$E843=$AA$22,$E843=$AA$23,$E843=$AA$24,$E843=$AA$25,$E843=$AA$26,$E843=$AA$27,$E843=$AA$28,$E843=$AA$29),G843,0)</f>
        <v>0</v>
      </c>
      <c r="W843" s="305" t="str">
        <f t="shared" si="52"/>
        <v xml:space="preserve"> </v>
      </c>
      <c r="X843" s="288"/>
    </row>
    <row r="844" spans="1:24">
      <c r="A844" s="286">
        <v>114</v>
      </c>
      <c r="C844" s="286" t="s">
        <v>597</v>
      </c>
      <c r="D844" s="286"/>
      <c r="E844" s="286" t="s">
        <v>608</v>
      </c>
      <c r="F844" s="286">
        <v>11</v>
      </c>
      <c r="G844" s="425">
        <v>19.760000000000002</v>
      </c>
      <c r="H844" s="425">
        <v>1</v>
      </c>
      <c r="J844" s="289"/>
      <c r="K844" s="289"/>
      <c r="L844" s="291"/>
      <c r="M844" s="291"/>
      <c r="N844" s="300"/>
      <c r="O844" s="296"/>
      <c r="P844" s="294"/>
      <c r="Q844" s="294"/>
      <c r="R844" s="295"/>
      <c r="S844" s="302">
        <f t="shared" si="53"/>
        <v>0</v>
      </c>
      <c r="T844" s="302"/>
      <c r="U844" s="303"/>
      <c r="V844" s="305">
        <f t="shared" si="54"/>
        <v>0</v>
      </c>
      <c r="W844" s="305" t="str">
        <f t="shared" si="52"/>
        <v xml:space="preserve"> </v>
      </c>
      <c r="X844" s="288"/>
    </row>
    <row r="845" spans="1:24">
      <c r="A845" s="286">
        <v>115</v>
      </c>
      <c r="C845" s="286" t="s">
        <v>644</v>
      </c>
      <c r="D845" s="286"/>
      <c r="E845" s="286" t="s">
        <v>598</v>
      </c>
      <c r="F845" s="286">
        <f>IF(VLOOKUP(A845,'WP-5 Payroll Data'!$K$11:$O$151,3,FALSE)&gt;26,26,VLOOKUP(A845,'WP-5 Payroll Data'!$K$11:$O$151,3,FALSE))</f>
        <v>26</v>
      </c>
      <c r="G845" s="425">
        <v>7081.8599999999969</v>
      </c>
      <c r="H845" s="425">
        <v>467.25</v>
      </c>
      <c r="J845" s="289">
        <f>VLOOKUP(A845,'WP-5 Payroll Data'!$K$11:$O$151,4,FALSE)</f>
        <v>7876.4799999999968</v>
      </c>
      <c r="K845" s="289">
        <f>VLOOKUP(A845,'WP-5 Payroll Data'!$K$11:$O$151,5,FALSE)</f>
        <v>520</v>
      </c>
      <c r="L845" s="289">
        <f>J845/K845</f>
        <v>15.147076923076916</v>
      </c>
      <c r="M845" s="289"/>
      <c r="N845" s="300">
        <f>IF((K845/F845)*26&gt;1500,2080,IF((K845/F845)*26&gt;300,520,IF((K845/F845)*26&gt;100,260,K845)))</f>
        <v>520</v>
      </c>
      <c r="O845" s="296">
        <f>N845*L845</f>
        <v>7876.4799999999968</v>
      </c>
      <c r="P845" s="294"/>
      <c r="Q845" s="294">
        <f>O845*0.03</f>
        <v>236.29439999999988</v>
      </c>
      <c r="R845" s="295"/>
      <c r="S845" s="302">
        <f t="shared" si="53"/>
        <v>0</v>
      </c>
      <c r="T845" s="302"/>
      <c r="U845" s="303"/>
      <c r="V845" s="305">
        <f t="shared" si="54"/>
        <v>0</v>
      </c>
      <c r="W845" s="305" t="str">
        <f t="shared" si="52"/>
        <v xml:space="preserve"> </v>
      </c>
      <c r="X845" s="288"/>
    </row>
    <row r="846" spans="1:24">
      <c r="A846" s="286">
        <v>115</v>
      </c>
      <c r="C846" s="286" t="s">
        <v>644</v>
      </c>
      <c r="D846" s="286"/>
      <c r="E846" s="286" t="s">
        <v>599</v>
      </c>
      <c r="F846" s="286">
        <v>26</v>
      </c>
      <c r="G846" s="425">
        <v>494.48000000000008</v>
      </c>
      <c r="H846" s="425">
        <v>21.81</v>
      </c>
      <c r="J846" s="289"/>
      <c r="K846" s="289"/>
      <c r="L846" s="291"/>
      <c r="M846" s="291"/>
      <c r="N846" s="300"/>
      <c r="O846" s="296"/>
      <c r="P846" s="294"/>
      <c r="Q846" s="294"/>
      <c r="R846" s="295"/>
      <c r="S846" s="302">
        <f t="shared" si="53"/>
        <v>494.48000000000008</v>
      </c>
      <c r="T846" s="302">
        <f t="shared" ref="T846:T898" si="55">S846*0.03</f>
        <v>14.834400000000002</v>
      </c>
      <c r="U846" s="303"/>
      <c r="V846" s="305">
        <f t="shared" si="54"/>
        <v>0</v>
      </c>
      <c r="W846" s="305" t="str">
        <f t="shared" si="52"/>
        <v xml:space="preserve"> </v>
      </c>
      <c r="X846" s="288"/>
    </row>
    <row r="847" spans="1:24">
      <c r="A847" s="286">
        <v>115</v>
      </c>
      <c r="C847" s="286" t="s">
        <v>644</v>
      </c>
      <c r="D847" s="286"/>
      <c r="E847" s="286" t="s">
        <v>605</v>
      </c>
      <c r="F847" s="286">
        <v>26</v>
      </c>
      <c r="G847" s="425">
        <v>297.7</v>
      </c>
      <c r="H847" s="425">
        <v>19.920000000000002</v>
      </c>
      <c r="J847" s="289"/>
      <c r="K847" s="289"/>
      <c r="L847" s="291"/>
      <c r="M847" s="291"/>
      <c r="N847" s="300"/>
      <c r="O847" s="296"/>
      <c r="P847" s="294"/>
      <c r="Q847" s="294"/>
      <c r="R847" s="295"/>
      <c r="S847" s="302">
        <f t="shared" si="53"/>
        <v>0</v>
      </c>
      <c r="T847" s="302"/>
      <c r="U847" s="303"/>
      <c r="V847" s="305">
        <f t="shared" si="54"/>
        <v>0</v>
      </c>
      <c r="W847" s="305" t="str">
        <f t="shared" si="52"/>
        <v xml:space="preserve"> </v>
      </c>
      <c r="X847" s="288"/>
    </row>
    <row r="848" spans="1:24">
      <c r="A848" s="286">
        <v>115</v>
      </c>
      <c r="C848" s="286" t="s">
        <v>644</v>
      </c>
      <c r="D848" s="286"/>
      <c r="E848" s="286" t="s">
        <v>608</v>
      </c>
      <c r="F848" s="286">
        <v>26</v>
      </c>
      <c r="G848" s="425">
        <v>223.67000000000002</v>
      </c>
      <c r="H848" s="425">
        <v>14.75</v>
      </c>
      <c r="J848" s="289"/>
      <c r="K848" s="289"/>
      <c r="L848" s="291"/>
      <c r="M848" s="291"/>
      <c r="N848" s="300"/>
      <c r="O848" s="296"/>
      <c r="P848" s="294"/>
      <c r="Q848" s="294"/>
      <c r="R848" s="295"/>
      <c r="S848" s="302">
        <f t="shared" si="53"/>
        <v>0</v>
      </c>
      <c r="T848" s="302"/>
      <c r="U848" s="303"/>
      <c r="V848" s="305">
        <f t="shared" si="54"/>
        <v>0</v>
      </c>
      <c r="W848" s="305" t="str">
        <f t="shared" si="52"/>
        <v xml:space="preserve"> </v>
      </c>
      <c r="X848" s="288"/>
    </row>
    <row r="849" spans="1:24">
      <c r="A849" s="286">
        <v>115</v>
      </c>
      <c r="C849" s="286" t="s">
        <v>644</v>
      </c>
      <c r="D849" s="286"/>
      <c r="E849" s="286" t="s">
        <v>610</v>
      </c>
      <c r="F849" s="286">
        <v>26</v>
      </c>
      <c r="G849" s="425">
        <v>121.61</v>
      </c>
      <c r="H849" s="425">
        <v>8.08</v>
      </c>
      <c r="J849" s="289"/>
      <c r="K849" s="289"/>
      <c r="L849" s="291"/>
      <c r="M849" s="291"/>
      <c r="N849" s="300"/>
      <c r="O849" s="296"/>
      <c r="P849" s="294"/>
      <c r="Q849" s="294"/>
      <c r="R849" s="295"/>
      <c r="S849" s="302">
        <f t="shared" si="53"/>
        <v>0</v>
      </c>
      <c r="T849" s="302"/>
      <c r="U849" s="303"/>
      <c r="V849" s="305">
        <f t="shared" si="54"/>
        <v>0</v>
      </c>
      <c r="W849" s="305" t="str">
        <f t="shared" si="52"/>
        <v xml:space="preserve"> </v>
      </c>
      <c r="X849" s="288"/>
    </row>
    <row r="850" spans="1:24">
      <c r="A850" s="286">
        <v>115</v>
      </c>
      <c r="C850" s="286" t="s">
        <v>644</v>
      </c>
      <c r="D850" s="286"/>
      <c r="E850" s="286" t="s">
        <v>638</v>
      </c>
      <c r="F850" s="286">
        <v>26</v>
      </c>
      <c r="G850" s="425">
        <v>151.63999999999999</v>
      </c>
      <c r="H850" s="425">
        <v>10</v>
      </c>
      <c r="J850" s="289"/>
      <c r="K850" s="289"/>
      <c r="L850" s="291"/>
      <c r="M850" s="291"/>
      <c r="N850" s="300"/>
      <c r="O850" s="296"/>
      <c r="P850" s="294"/>
      <c r="Q850" s="294"/>
      <c r="R850" s="295"/>
      <c r="S850" s="302">
        <f t="shared" si="53"/>
        <v>0</v>
      </c>
      <c r="T850" s="302"/>
      <c r="U850" s="303"/>
      <c r="V850" s="305">
        <f t="shared" si="54"/>
        <v>0</v>
      </c>
      <c r="W850" s="305" t="str">
        <f t="shared" si="52"/>
        <v xml:space="preserve"> </v>
      </c>
      <c r="X850" s="288"/>
    </row>
    <row r="851" spans="1:24">
      <c r="A851" s="286">
        <v>115</v>
      </c>
      <c r="C851" s="286" t="s">
        <v>644</v>
      </c>
      <c r="D851" s="286"/>
      <c r="E851" s="286" t="s">
        <v>614</v>
      </c>
      <c r="F851" s="286">
        <v>26</v>
      </c>
      <c r="G851" s="425">
        <v>62.5</v>
      </c>
      <c r="H851" s="425">
        <v>0</v>
      </c>
      <c r="J851" s="289"/>
      <c r="K851" s="289"/>
      <c r="L851" s="291"/>
      <c r="M851" s="291"/>
      <c r="N851" s="300"/>
      <c r="O851" s="296"/>
      <c r="P851" s="294"/>
      <c r="Q851" s="294"/>
      <c r="R851" s="295"/>
      <c r="S851" s="302">
        <f t="shared" si="53"/>
        <v>0</v>
      </c>
      <c r="T851" s="302"/>
      <c r="U851" s="303"/>
      <c r="V851" s="305">
        <f t="shared" si="54"/>
        <v>62.5</v>
      </c>
      <c r="W851" s="305" t="str">
        <f t="shared" si="52"/>
        <v xml:space="preserve"> </v>
      </c>
      <c r="X851" s="288"/>
    </row>
    <row r="852" spans="1:24">
      <c r="A852" s="286">
        <v>115</v>
      </c>
      <c r="C852" s="286" t="s">
        <v>644</v>
      </c>
      <c r="D852" s="286"/>
      <c r="E852" s="286" t="s">
        <v>616</v>
      </c>
      <c r="F852" s="286">
        <v>26</v>
      </c>
      <c r="G852" s="425">
        <v>100</v>
      </c>
      <c r="H852" s="425">
        <v>0</v>
      </c>
      <c r="J852" s="289"/>
      <c r="K852" s="289"/>
      <c r="L852" s="291"/>
      <c r="M852" s="291"/>
      <c r="N852" s="300"/>
      <c r="O852" s="296"/>
      <c r="P852" s="294"/>
      <c r="Q852" s="294"/>
      <c r="R852" s="295"/>
      <c r="S852" s="302">
        <f t="shared" si="53"/>
        <v>0</v>
      </c>
      <c r="T852" s="302"/>
      <c r="U852" s="303"/>
      <c r="V852" s="305">
        <f t="shared" si="54"/>
        <v>100</v>
      </c>
      <c r="W852" s="305">
        <f t="shared" si="52"/>
        <v>25</v>
      </c>
      <c r="X852" s="288"/>
    </row>
    <row r="853" spans="1:24">
      <c r="A853" s="286">
        <v>116</v>
      </c>
      <c r="C853" s="286" t="s">
        <v>644</v>
      </c>
      <c r="D853" s="286"/>
      <c r="E853" s="286" t="s">
        <v>598</v>
      </c>
      <c r="F853" s="286">
        <f>IF(VLOOKUP(A853,'WP-5 Payroll Data'!$K$11:$O$151,3,FALSE)&gt;26,26,VLOOKUP(A853,'WP-5 Payroll Data'!$K$11:$O$151,3,FALSE))</f>
        <v>26</v>
      </c>
      <c r="G853" s="425">
        <v>4991.07</v>
      </c>
      <c r="H853" s="425">
        <v>232.43</v>
      </c>
      <c r="J853" s="289">
        <f>VLOOKUP(A853,'WP-5 Payroll Data'!$K$11:$O$151,4,FALSE)</f>
        <v>5584.26</v>
      </c>
      <c r="K853" s="289">
        <f>VLOOKUP(A853,'WP-5 Payroll Data'!$K$11:$O$151,5,FALSE)</f>
        <v>260.05</v>
      </c>
      <c r="L853" s="289">
        <f>J853/K853</f>
        <v>21.473793501249759</v>
      </c>
      <c r="M853" s="289"/>
      <c r="N853" s="300">
        <f>IF((K853/F853)*26&gt;1500,2080,IF((K853/F853)*26&gt;300,520,IF((K853/F853)*26&gt;100,260,K853)))</f>
        <v>260</v>
      </c>
      <c r="O853" s="296">
        <f>N853*L853</f>
        <v>5583.186310324937</v>
      </c>
      <c r="P853" s="294"/>
      <c r="Q853" s="294">
        <f>O853*0.03</f>
        <v>167.49558930974811</v>
      </c>
      <c r="R853" s="295"/>
      <c r="S853" s="302">
        <f t="shared" si="53"/>
        <v>0</v>
      </c>
      <c r="T853" s="302"/>
      <c r="U853" s="303"/>
      <c r="V853" s="305">
        <f t="shared" si="54"/>
        <v>0</v>
      </c>
      <c r="W853" s="305" t="str">
        <f t="shared" si="52"/>
        <v xml:space="preserve"> </v>
      </c>
      <c r="X853" s="288"/>
    </row>
    <row r="854" spans="1:24">
      <c r="A854" s="286">
        <v>116</v>
      </c>
      <c r="C854" s="286" t="s">
        <v>644</v>
      </c>
      <c r="D854" s="286"/>
      <c r="E854" s="286" t="s">
        <v>599</v>
      </c>
      <c r="F854" s="286">
        <v>26</v>
      </c>
      <c r="G854" s="425">
        <v>117.33999999999999</v>
      </c>
      <c r="H854" s="425">
        <v>3.6699999999999995</v>
      </c>
      <c r="J854" s="289"/>
      <c r="K854" s="289"/>
      <c r="L854" s="291"/>
      <c r="M854" s="291"/>
      <c r="N854" s="300"/>
      <c r="O854" s="296"/>
      <c r="P854" s="294"/>
      <c r="Q854" s="294"/>
      <c r="R854" s="295"/>
      <c r="S854" s="302">
        <f t="shared" si="53"/>
        <v>117.33999999999999</v>
      </c>
      <c r="T854" s="302">
        <f t="shared" si="55"/>
        <v>3.5201999999999996</v>
      </c>
      <c r="U854" s="303"/>
      <c r="V854" s="305">
        <f t="shared" si="54"/>
        <v>0</v>
      </c>
      <c r="W854" s="305" t="str">
        <f t="shared" si="52"/>
        <v xml:space="preserve"> </v>
      </c>
      <c r="X854" s="288"/>
    </row>
    <row r="855" spans="1:24">
      <c r="A855" s="286">
        <v>116</v>
      </c>
      <c r="C855" s="286" t="s">
        <v>644</v>
      </c>
      <c r="D855" s="286"/>
      <c r="E855" s="286" t="s">
        <v>601</v>
      </c>
      <c r="F855" s="286">
        <v>26</v>
      </c>
      <c r="G855" s="425">
        <v>419.28</v>
      </c>
      <c r="H855" s="425">
        <v>9.77</v>
      </c>
      <c r="J855" s="289"/>
      <c r="K855" s="289"/>
      <c r="L855" s="291"/>
      <c r="M855" s="291"/>
      <c r="N855" s="300"/>
      <c r="O855" s="296"/>
      <c r="P855" s="294"/>
      <c r="Q855" s="294"/>
      <c r="R855" s="295"/>
      <c r="S855" s="302">
        <f t="shared" si="53"/>
        <v>419.28</v>
      </c>
      <c r="T855" s="302">
        <f t="shared" si="55"/>
        <v>12.578399999999998</v>
      </c>
      <c r="U855" s="303"/>
      <c r="V855" s="305">
        <f t="shared" si="54"/>
        <v>0</v>
      </c>
      <c r="W855" s="305" t="str">
        <f t="shared" si="52"/>
        <v xml:space="preserve"> </v>
      </c>
      <c r="X855" s="288"/>
    </row>
    <row r="856" spans="1:24">
      <c r="A856" s="286">
        <v>116</v>
      </c>
      <c r="C856" s="286" t="s">
        <v>644</v>
      </c>
      <c r="D856" s="286"/>
      <c r="E856" s="286" t="s">
        <v>605</v>
      </c>
      <c r="F856" s="286">
        <v>26</v>
      </c>
      <c r="G856" s="425">
        <v>301.01</v>
      </c>
      <c r="H856" s="425">
        <v>14</v>
      </c>
      <c r="J856" s="289"/>
      <c r="K856" s="289"/>
      <c r="L856" s="291"/>
      <c r="M856" s="291"/>
      <c r="N856" s="300"/>
      <c r="O856" s="296"/>
      <c r="P856" s="294"/>
      <c r="Q856" s="294"/>
      <c r="R856" s="295"/>
      <c r="S856" s="302">
        <f t="shared" si="53"/>
        <v>0</v>
      </c>
      <c r="T856" s="302"/>
      <c r="U856" s="303"/>
      <c r="V856" s="305">
        <f t="shared" si="54"/>
        <v>0</v>
      </c>
      <c r="W856" s="305" t="str">
        <f t="shared" si="52"/>
        <v xml:space="preserve"> </v>
      </c>
      <c r="X856" s="288"/>
    </row>
    <row r="857" spans="1:24">
      <c r="A857" s="286">
        <v>116</v>
      </c>
      <c r="C857" s="286" t="s">
        <v>644</v>
      </c>
      <c r="D857" s="286"/>
      <c r="E857" s="286" t="s">
        <v>608</v>
      </c>
      <c r="F857" s="286">
        <v>26</v>
      </c>
      <c r="G857" s="425">
        <v>233.76999999999998</v>
      </c>
      <c r="H857" s="425">
        <v>10.900000000000002</v>
      </c>
      <c r="J857" s="289"/>
      <c r="K857" s="289"/>
      <c r="L857" s="291"/>
      <c r="M857" s="291"/>
      <c r="N857" s="300"/>
      <c r="O857" s="296"/>
      <c r="P857" s="294"/>
      <c r="Q857" s="294"/>
      <c r="R857" s="295"/>
      <c r="S857" s="302">
        <f t="shared" si="53"/>
        <v>0</v>
      </c>
      <c r="T857" s="302"/>
      <c r="U857" s="303"/>
      <c r="V857" s="305">
        <f t="shared" si="54"/>
        <v>0</v>
      </c>
      <c r="W857" s="305" t="str">
        <f t="shared" si="52"/>
        <v xml:space="preserve"> </v>
      </c>
      <c r="X857" s="288"/>
    </row>
    <row r="858" spans="1:24">
      <c r="A858" s="286">
        <v>116</v>
      </c>
      <c r="C858" s="286" t="s">
        <v>644</v>
      </c>
      <c r="D858" s="286"/>
      <c r="E858" s="286" t="s">
        <v>610</v>
      </c>
      <c r="F858" s="286">
        <v>26</v>
      </c>
      <c r="G858" s="425">
        <v>58.41</v>
      </c>
      <c r="H858" s="425">
        <v>2.7199999999999998</v>
      </c>
      <c r="J858" s="289"/>
      <c r="K858" s="289"/>
      <c r="L858" s="291"/>
      <c r="M858" s="291"/>
      <c r="N858" s="300"/>
      <c r="O858" s="296"/>
      <c r="P858" s="294"/>
      <c r="Q858" s="294"/>
      <c r="R858" s="295"/>
      <c r="S858" s="302">
        <f t="shared" si="53"/>
        <v>0</v>
      </c>
      <c r="T858" s="302"/>
      <c r="U858" s="303"/>
      <c r="V858" s="305">
        <f t="shared" si="54"/>
        <v>0</v>
      </c>
      <c r="W858" s="305" t="str">
        <f t="shared" si="52"/>
        <v xml:space="preserve"> </v>
      </c>
      <c r="X858" s="288"/>
    </row>
    <row r="859" spans="1:24">
      <c r="A859" s="286">
        <v>116</v>
      </c>
      <c r="C859" s="286" t="s">
        <v>644</v>
      </c>
      <c r="D859" s="286"/>
      <c r="E859" s="286" t="s">
        <v>613</v>
      </c>
      <c r="F859" s="286">
        <v>26</v>
      </c>
      <c r="G859" s="425">
        <v>93.76</v>
      </c>
      <c r="H859" s="425">
        <v>0</v>
      </c>
      <c r="J859" s="289"/>
      <c r="K859" s="289"/>
      <c r="L859" s="291"/>
      <c r="M859" s="291"/>
      <c r="N859" s="300"/>
      <c r="O859" s="296"/>
      <c r="P859" s="294"/>
      <c r="Q859" s="294"/>
      <c r="R859" s="295"/>
      <c r="S859" s="302">
        <f t="shared" si="53"/>
        <v>0</v>
      </c>
      <c r="T859" s="302"/>
      <c r="U859" s="303"/>
      <c r="V859" s="305">
        <f t="shared" si="54"/>
        <v>93.76</v>
      </c>
      <c r="W859" s="305" t="str">
        <f t="shared" si="52"/>
        <v xml:space="preserve"> </v>
      </c>
      <c r="X859" s="288"/>
    </row>
    <row r="860" spans="1:24">
      <c r="A860" s="286">
        <v>116</v>
      </c>
      <c r="C860" s="286" t="s">
        <v>644</v>
      </c>
      <c r="D860" s="286"/>
      <c r="E860" s="286" t="s">
        <v>614</v>
      </c>
      <c r="F860" s="286">
        <v>26</v>
      </c>
      <c r="G860" s="425">
        <v>31.25</v>
      </c>
      <c r="H860" s="425">
        <v>0</v>
      </c>
      <c r="J860" s="289"/>
      <c r="K860" s="289"/>
      <c r="L860" s="291"/>
      <c r="M860" s="291"/>
      <c r="N860" s="300"/>
      <c r="O860" s="296"/>
      <c r="P860" s="294"/>
      <c r="Q860" s="294"/>
      <c r="R860" s="295"/>
      <c r="S860" s="302">
        <f t="shared" si="53"/>
        <v>0</v>
      </c>
      <c r="T860" s="302"/>
      <c r="U860" s="303"/>
      <c r="V860" s="305">
        <f t="shared" si="54"/>
        <v>31.25</v>
      </c>
      <c r="W860" s="305" t="str">
        <f t="shared" si="52"/>
        <v xml:space="preserve"> </v>
      </c>
      <c r="X860" s="288"/>
    </row>
    <row r="861" spans="1:24">
      <c r="A861" s="286">
        <v>116</v>
      </c>
      <c r="C861" s="286" t="s">
        <v>644</v>
      </c>
      <c r="D861" s="286"/>
      <c r="E861" s="286" t="s">
        <v>616</v>
      </c>
      <c r="F861" s="286">
        <v>26</v>
      </c>
      <c r="G861" s="425">
        <v>150</v>
      </c>
      <c r="H861" s="425">
        <v>0</v>
      </c>
      <c r="J861" s="289"/>
      <c r="K861" s="289"/>
      <c r="L861" s="291"/>
      <c r="M861" s="291"/>
      <c r="N861" s="300"/>
      <c r="O861" s="296"/>
      <c r="P861" s="294"/>
      <c r="Q861" s="294"/>
      <c r="R861" s="295"/>
      <c r="S861" s="302">
        <f t="shared" si="53"/>
        <v>0</v>
      </c>
      <c r="T861" s="302"/>
      <c r="U861" s="303"/>
      <c r="V861" s="305">
        <f t="shared" si="54"/>
        <v>150</v>
      </c>
      <c r="W861" s="305">
        <f t="shared" si="52"/>
        <v>37.5</v>
      </c>
      <c r="X861" s="288"/>
    </row>
    <row r="862" spans="1:24">
      <c r="A862" s="286">
        <v>116</v>
      </c>
      <c r="C862" s="286" t="s">
        <v>644</v>
      </c>
      <c r="D862" s="286"/>
      <c r="E862" s="286" t="s">
        <v>618</v>
      </c>
      <c r="F862" s="286">
        <v>26</v>
      </c>
      <c r="G862" s="425">
        <v>187.5</v>
      </c>
      <c r="H862" s="425">
        <v>0</v>
      </c>
      <c r="J862" s="289"/>
      <c r="K862" s="289"/>
      <c r="L862" s="291"/>
      <c r="M862" s="291"/>
      <c r="N862" s="300"/>
      <c r="O862" s="296"/>
      <c r="P862" s="294"/>
      <c r="Q862" s="294"/>
      <c r="R862" s="295"/>
      <c r="S862" s="302">
        <f t="shared" si="53"/>
        <v>0</v>
      </c>
      <c r="T862" s="302"/>
      <c r="U862" s="303"/>
      <c r="V862" s="305">
        <f t="shared" si="54"/>
        <v>187.5</v>
      </c>
      <c r="W862" s="305" t="str">
        <f t="shared" si="52"/>
        <v xml:space="preserve"> </v>
      </c>
      <c r="X862" s="288"/>
    </row>
    <row r="863" spans="1:24">
      <c r="A863" s="286">
        <v>117</v>
      </c>
      <c r="C863" s="286" t="s">
        <v>644</v>
      </c>
      <c r="D863" s="286" t="s">
        <v>651</v>
      </c>
      <c r="E863" s="286" t="s">
        <v>598</v>
      </c>
      <c r="F863" s="286">
        <f>IF(VLOOKUP(A863,'WP-5 Payroll Data'!$K$11:$O$151,3,FALSE)&gt;26,26,VLOOKUP(A863,'WP-5 Payroll Data'!$K$11:$O$151,3,FALSE))</f>
        <v>26</v>
      </c>
      <c r="G863" s="425">
        <v>31210.86</v>
      </c>
      <c r="H863" s="425">
        <v>1709.75</v>
      </c>
      <c r="J863" s="289">
        <f>VLOOKUP(A863,'WP-5 Payroll Data'!$K$11:$O$151,4,FALSE)</f>
        <v>37577.760000000002</v>
      </c>
      <c r="K863" s="289">
        <f>VLOOKUP(A863,'WP-5 Payroll Data'!$K$11:$O$151,5,FALSE)</f>
        <v>2060.3000000000002</v>
      </c>
      <c r="L863" s="289">
        <f>J863/K863</f>
        <v>18.238974906567005</v>
      </c>
      <c r="M863" s="289"/>
      <c r="N863" s="300">
        <f>IF((K863/F863)*26&gt;1500,2080,IF((K863/F863)*26&gt;300,520,IF((K863/F863)*26&gt;100,260,K863)))</f>
        <v>2080</v>
      </c>
      <c r="O863" s="296">
        <f>N863*L863</f>
        <v>37937.067805659368</v>
      </c>
      <c r="P863" s="294"/>
      <c r="Q863" s="294">
        <f>O863*0.03</f>
        <v>1138.1120341697811</v>
      </c>
      <c r="R863" s="295"/>
      <c r="S863" s="302">
        <f t="shared" si="53"/>
        <v>0</v>
      </c>
      <c r="T863" s="302"/>
      <c r="U863" s="303"/>
      <c r="V863" s="305">
        <f t="shared" si="54"/>
        <v>0</v>
      </c>
      <c r="W863" s="305" t="str">
        <f t="shared" si="52"/>
        <v xml:space="preserve"> </v>
      </c>
      <c r="X863" s="288"/>
    </row>
    <row r="864" spans="1:24">
      <c r="A864" s="286">
        <v>117</v>
      </c>
      <c r="C864" s="286" t="s">
        <v>644</v>
      </c>
      <c r="D864" s="286" t="s">
        <v>651</v>
      </c>
      <c r="E864" s="286" t="s">
        <v>599</v>
      </c>
      <c r="F864" s="286">
        <v>26</v>
      </c>
      <c r="G864" s="425">
        <v>162.99000000000004</v>
      </c>
      <c r="H864" s="425">
        <v>5.95</v>
      </c>
      <c r="J864" s="289"/>
      <c r="K864" s="289"/>
      <c r="L864" s="291"/>
      <c r="M864" s="291"/>
      <c r="N864" s="300"/>
      <c r="O864" s="296"/>
      <c r="P864" s="294"/>
      <c r="Q864" s="294"/>
      <c r="R864" s="295"/>
      <c r="S864" s="302">
        <f t="shared" si="53"/>
        <v>162.99000000000004</v>
      </c>
      <c r="T864" s="302">
        <f t="shared" si="55"/>
        <v>4.8897000000000013</v>
      </c>
      <c r="U864" s="303"/>
      <c r="V864" s="305">
        <f t="shared" si="54"/>
        <v>0</v>
      </c>
      <c r="W864" s="305" t="str">
        <f t="shared" si="52"/>
        <v xml:space="preserve"> </v>
      </c>
      <c r="X864" s="288"/>
    </row>
    <row r="865" spans="1:24">
      <c r="A865" s="286">
        <v>117</v>
      </c>
      <c r="C865" s="286" t="s">
        <v>644</v>
      </c>
      <c r="D865" s="286" t="s">
        <v>651</v>
      </c>
      <c r="E865" s="286" t="s">
        <v>605</v>
      </c>
      <c r="F865" s="286">
        <v>26</v>
      </c>
      <c r="G865" s="425">
        <v>3825.66</v>
      </c>
      <c r="H865" s="425">
        <v>211</v>
      </c>
      <c r="J865" s="289"/>
      <c r="K865" s="289"/>
      <c r="L865" s="291"/>
      <c r="M865" s="291"/>
      <c r="N865" s="300"/>
      <c r="O865" s="296"/>
      <c r="P865" s="294"/>
      <c r="Q865" s="294"/>
      <c r="R865" s="295"/>
      <c r="S865" s="302">
        <f t="shared" si="53"/>
        <v>0</v>
      </c>
      <c r="T865" s="302"/>
      <c r="U865" s="303"/>
      <c r="V865" s="305">
        <f t="shared" si="54"/>
        <v>0</v>
      </c>
      <c r="W865" s="305" t="str">
        <f t="shared" si="52"/>
        <v xml:space="preserve"> </v>
      </c>
      <c r="X865" s="288"/>
    </row>
    <row r="866" spans="1:24">
      <c r="A866" s="286">
        <v>117</v>
      </c>
      <c r="C866" s="286" t="s">
        <v>644</v>
      </c>
      <c r="D866" s="286" t="s">
        <v>651</v>
      </c>
      <c r="E866" s="286" t="s">
        <v>608</v>
      </c>
      <c r="F866" s="286">
        <v>26</v>
      </c>
      <c r="G866" s="425">
        <v>2344.9499999999998</v>
      </c>
      <c r="H866" s="425">
        <v>128.80000000000001</v>
      </c>
      <c r="J866" s="289"/>
      <c r="K866" s="289"/>
      <c r="L866" s="291"/>
      <c r="M866" s="291"/>
      <c r="N866" s="300"/>
      <c r="O866" s="296"/>
      <c r="P866" s="294"/>
      <c r="Q866" s="294"/>
      <c r="R866" s="295"/>
      <c r="S866" s="302">
        <f t="shared" si="53"/>
        <v>0</v>
      </c>
      <c r="T866" s="302"/>
      <c r="U866" s="303"/>
      <c r="V866" s="305">
        <f t="shared" si="54"/>
        <v>0</v>
      </c>
      <c r="W866" s="305" t="str">
        <f t="shared" si="52"/>
        <v xml:space="preserve"> </v>
      </c>
      <c r="X866" s="288"/>
    </row>
    <row r="867" spans="1:24">
      <c r="A867" s="286">
        <v>117</v>
      </c>
      <c r="C867" s="286" t="s">
        <v>644</v>
      </c>
      <c r="D867" s="286" t="s">
        <v>651</v>
      </c>
      <c r="E867" s="286" t="s">
        <v>630</v>
      </c>
      <c r="F867" s="286">
        <v>26</v>
      </c>
      <c r="G867" s="425">
        <v>78.52</v>
      </c>
      <c r="H867" s="425">
        <v>4.3</v>
      </c>
      <c r="J867" s="289"/>
      <c r="K867" s="289"/>
      <c r="L867" s="291"/>
      <c r="M867" s="291"/>
      <c r="N867" s="300"/>
      <c r="O867" s="296"/>
      <c r="P867" s="294"/>
      <c r="Q867" s="294"/>
      <c r="R867" s="295"/>
      <c r="S867" s="302">
        <f t="shared" si="53"/>
        <v>0</v>
      </c>
      <c r="T867" s="302"/>
      <c r="U867" s="303"/>
      <c r="V867" s="305">
        <f t="shared" si="54"/>
        <v>0</v>
      </c>
      <c r="W867" s="305" t="str">
        <f t="shared" si="52"/>
        <v xml:space="preserve"> </v>
      </c>
      <c r="X867" s="288"/>
    </row>
    <row r="868" spans="1:24">
      <c r="A868" s="286">
        <v>117</v>
      </c>
      <c r="C868" s="286" t="s">
        <v>644</v>
      </c>
      <c r="D868" s="286" t="s">
        <v>651</v>
      </c>
      <c r="E868" s="286" t="s">
        <v>602</v>
      </c>
      <c r="F868" s="286">
        <v>26</v>
      </c>
      <c r="G868" s="425">
        <v>438.24</v>
      </c>
      <c r="H868" s="425">
        <v>24</v>
      </c>
      <c r="J868" s="289"/>
      <c r="K868" s="289"/>
      <c r="L868" s="291"/>
      <c r="M868" s="291"/>
      <c r="N868" s="300"/>
      <c r="O868" s="296"/>
      <c r="P868" s="294"/>
      <c r="Q868" s="294"/>
      <c r="R868" s="295"/>
      <c r="S868" s="302">
        <f t="shared" si="53"/>
        <v>0</v>
      </c>
      <c r="T868" s="302"/>
      <c r="U868" s="303"/>
      <c r="V868" s="305">
        <f t="shared" si="54"/>
        <v>438.24</v>
      </c>
      <c r="W868" s="305" t="str">
        <f t="shared" si="52"/>
        <v xml:space="preserve"> </v>
      </c>
      <c r="X868" s="288"/>
    </row>
    <row r="869" spans="1:24">
      <c r="A869" s="286">
        <v>117</v>
      </c>
      <c r="C869" s="286" t="s">
        <v>644</v>
      </c>
      <c r="D869" s="286" t="s">
        <v>651</v>
      </c>
      <c r="E869" s="286" t="s">
        <v>610</v>
      </c>
      <c r="F869" s="286">
        <v>26</v>
      </c>
      <c r="G869" s="425">
        <v>109.55</v>
      </c>
      <c r="H869" s="425">
        <v>6</v>
      </c>
      <c r="J869" s="289"/>
      <c r="K869" s="289"/>
      <c r="L869" s="291"/>
      <c r="M869" s="291"/>
      <c r="N869" s="300"/>
      <c r="O869" s="296"/>
      <c r="P869" s="294"/>
      <c r="Q869" s="294"/>
      <c r="R869" s="295"/>
      <c r="S869" s="302">
        <f t="shared" si="53"/>
        <v>0</v>
      </c>
      <c r="T869" s="302"/>
      <c r="U869" s="303"/>
      <c r="V869" s="305">
        <f t="shared" si="54"/>
        <v>0</v>
      </c>
      <c r="W869" s="305" t="str">
        <f t="shared" si="52"/>
        <v xml:space="preserve"> </v>
      </c>
      <c r="X869" s="288"/>
    </row>
    <row r="870" spans="1:24">
      <c r="A870" s="286">
        <v>117</v>
      </c>
      <c r="C870" s="286" t="s">
        <v>644</v>
      </c>
      <c r="D870" s="286" t="s">
        <v>651</v>
      </c>
      <c r="E870" s="286" t="s">
        <v>642</v>
      </c>
      <c r="F870" s="286">
        <v>26</v>
      </c>
      <c r="G870" s="425">
        <v>8.2199999999999989</v>
      </c>
      <c r="H870" s="425">
        <v>0.44999999999999996</v>
      </c>
      <c r="J870" s="289"/>
      <c r="K870" s="289"/>
      <c r="L870" s="291"/>
      <c r="M870" s="291"/>
      <c r="N870" s="300"/>
      <c r="O870" s="296"/>
      <c r="P870" s="294"/>
      <c r="Q870" s="294"/>
      <c r="R870" s="295"/>
      <c r="S870" s="302">
        <f t="shared" si="53"/>
        <v>0</v>
      </c>
      <c r="T870" s="302"/>
      <c r="U870" s="303"/>
      <c r="V870" s="305">
        <f t="shared" si="54"/>
        <v>0</v>
      </c>
      <c r="W870" s="305" t="str">
        <f t="shared" si="52"/>
        <v xml:space="preserve"> </v>
      </c>
      <c r="X870" s="288"/>
    </row>
    <row r="871" spans="1:24">
      <c r="A871" s="286">
        <v>117</v>
      </c>
      <c r="C871" s="286" t="s">
        <v>644</v>
      </c>
      <c r="D871" s="286" t="s">
        <v>651</v>
      </c>
      <c r="E871" s="286" t="s">
        <v>614</v>
      </c>
      <c r="F871" s="286">
        <v>26</v>
      </c>
      <c r="G871" s="425">
        <v>250</v>
      </c>
      <c r="H871" s="425">
        <v>0</v>
      </c>
      <c r="J871" s="289"/>
      <c r="K871" s="289"/>
      <c r="L871" s="291"/>
      <c r="M871" s="291"/>
      <c r="N871" s="300"/>
      <c r="O871" s="296"/>
      <c r="P871" s="294"/>
      <c r="Q871" s="294"/>
      <c r="R871" s="295"/>
      <c r="S871" s="302">
        <f t="shared" si="53"/>
        <v>0</v>
      </c>
      <c r="T871" s="302"/>
      <c r="U871" s="303"/>
      <c r="V871" s="305">
        <f t="shared" si="54"/>
        <v>250</v>
      </c>
      <c r="W871" s="305" t="str">
        <f t="shared" si="52"/>
        <v xml:space="preserve"> </v>
      </c>
      <c r="X871" s="288"/>
    </row>
    <row r="872" spans="1:24">
      <c r="A872" s="286">
        <v>117</v>
      </c>
      <c r="C872" s="286" t="s">
        <v>644</v>
      </c>
      <c r="D872" s="286" t="s">
        <v>651</v>
      </c>
      <c r="E872" s="286" t="s">
        <v>616</v>
      </c>
      <c r="F872" s="286">
        <v>26</v>
      </c>
      <c r="G872" s="425">
        <v>4600</v>
      </c>
      <c r="H872" s="425">
        <v>0</v>
      </c>
      <c r="J872" s="289"/>
      <c r="K872" s="289"/>
      <c r="L872" s="291"/>
      <c r="M872" s="291"/>
      <c r="N872" s="300"/>
      <c r="O872" s="296"/>
      <c r="P872" s="294"/>
      <c r="Q872" s="294"/>
      <c r="R872" s="295"/>
      <c r="S872" s="302">
        <f t="shared" si="53"/>
        <v>0</v>
      </c>
      <c r="T872" s="302"/>
      <c r="U872" s="303"/>
      <c r="V872" s="305">
        <f t="shared" si="54"/>
        <v>4600</v>
      </c>
      <c r="W872" s="305">
        <f t="shared" si="52"/>
        <v>1150</v>
      </c>
      <c r="X872" s="288"/>
    </row>
    <row r="873" spans="1:24">
      <c r="A873" s="286">
        <v>118</v>
      </c>
      <c r="C873" s="286" t="s">
        <v>619</v>
      </c>
      <c r="D873" s="286" t="s">
        <v>677</v>
      </c>
      <c r="E873" s="286" t="s">
        <v>621</v>
      </c>
      <c r="F873" s="286">
        <f>IF(VLOOKUP(A873,'WP-5 Payroll Data'!$K$11:$O$151,3,FALSE)&gt;26,26,VLOOKUP(A873,'WP-5 Payroll Data'!$K$11:$O$151,3,FALSE))</f>
        <v>26</v>
      </c>
      <c r="G873" s="425">
        <v>55711.48000000001</v>
      </c>
      <c r="H873" s="425">
        <v>1764.3</v>
      </c>
      <c r="J873" s="289">
        <f>VLOOKUP(A873,'WP-5 Payroll Data'!$K$11:$O$151,4,FALSE)</f>
        <v>66679.199999999997</v>
      </c>
      <c r="K873" s="289">
        <f>VLOOKUP(A873,'WP-5 Payroll Data'!$K$11:$O$151,5,FALSE)</f>
        <v>2104</v>
      </c>
      <c r="L873" s="289">
        <f>J873/K873</f>
        <v>31.691634980988592</v>
      </c>
      <c r="M873" s="289"/>
      <c r="N873" s="300">
        <f>IF((K873/F873)*26&gt;1500,2080,IF((K873/F873)*26&gt;300,520,IF((K873/F873)*26&gt;100,260,K873)))</f>
        <v>2080</v>
      </c>
      <c r="O873" s="296">
        <f>N873*L873</f>
        <v>65918.600760456276</v>
      </c>
      <c r="P873" s="294"/>
      <c r="Q873" s="294">
        <f>O873*0.03</f>
        <v>1977.5580228136882</v>
      </c>
      <c r="R873" s="295"/>
      <c r="S873" s="302">
        <f t="shared" si="53"/>
        <v>0</v>
      </c>
      <c r="T873" s="302"/>
      <c r="U873" s="303"/>
      <c r="V873" s="305">
        <f t="shared" si="54"/>
        <v>0</v>
      </c>
      <c r="W873" s="305" t="str">
        <f t="shared" si="52"/>
        <v xml:space="preserve"> </v>
      </c>
      <c r="X873" s="288"/>
    </row>
    <row r="874" spans="1:24">
      <c r="A874" s="286">
        <v>118</v>
      </c>
      <c r="C874" s="286" t="s">
        <v>619</v>
      </c>
      <c r="D874" s="286" t="s">
        <v>677</v>
      </c>
      <c r="E874" s="286" t="s">
        <v>599</v>
      </c>
      <c r="F874" s="286">
        <v>27</v>
      </c>
      <c r="G874" s="425">
        <v>3582.14</v>
      </c>
      <c r="H874" s="425">
        <v>74.8</v>
      </c>
      <c r="J874" s="289"/>
      <c r="K874" s="289"/>
      <c r="L874" s="291"/>
      <c r="M874" s="291"/>
      <c r="N874" s="300"/>
      <c r="O874" s="296"/>
      <c r="P874" s="294"/>
      <c r="Q874" s="294"/>
      <c r="R874" s="295"/>
      <c r="S874" s="302">
        <f t="shared" si="53"/>
        <v>3582.14</v>
      </c>
      <c r="T874" s="302">
        <f t="shared" si="55"/>
        <v>107.46419999999999</v>
      </c>
      <c r="U874" s="303"/>
      <c r="V874" s="305">
        <f t="shared" si="54"/>
        <v>0</v>
      </c>
      <c r="W874" s="305" t="str">
        <f t="shared" si="52"/>
        <v xml:space="preserve"> </v>
      </c>
      <c r="X874" s="288"/>
    </row>
    <row r="875" spans="1:24">
      <c r="A875" s="286">
        <v>118</v>
      </c>
      <c r="C875" s="286" t="s">
        <v>619</v>
      </c>
      <c r="D875" s="286" t="s">
        <v>677</v>
      </c>
      <c r="E875" s="286" t="s">
        <v>601</v>
      </c>
      <c r="F875" s="286">
        <v>27</v>
      </c>
      <c r="G875" s="425">
        <v>6823.44</v>
      </c>
      <c r="H875" s="425">
        <v>108</v>
      </c>
      <c r="J875" s="289"/>
      <c r="K875" s="289"/>
      <c r="L875" s="291"/>
      <c r="M875" s="291"/>
      <c r="N875" s="300"/>
      <c r="O875" s="296"/>
      <c r="P875" s="294"/>
      <c r="Q875" s="294"/>
      <c r="R875" s="295"/>
      <c r="S875" s="302">
        <f t="shared" si="53"/>
        <v>6823.44</v>
      </c>
      <c r="T875" s="302">
        <f t="shared" si="55"/>
        <v>204.70319999999998</v>
      </c>
      <c r="U875" s="303"/>
      <c r="V875" s="305">
        <f t="shared" si="54"/>
        <v>0</v>
      </c>
      <c r="W875" s="305" t="str">
        <f t="shared" si="52"/>
        <v xml:space="preserve"> </v>
      </c>
      <c r="X875" s="288"/>
    </row>
    <row r="876" spans="1:24">
      <c r="A876" s="286">
        <v>118</v>
      </c>
      <c r="C876" s="286" t="s">
        <v>619</v>
      </c>
      <c r="D876" s="286" t="s">
        <v>677</v>
      </c>
      <c r="E876" s="286" t="s">
        <v>627</v>
      </c>
      <c r="F876" s="286">
        <v>27</v>
      </c>
      <c r="G876" s="425">
        <v>3764.88</v>
      </c>
      <c r="H876" s="425">
        <v>120</v>
      </c>
      <c r="J876" s="289"/>
      <c r="K876" s="289"/>
      <c r="L876" s="291"/>
      <c r="M876" s="291"/>
      <c r="N876" s="300"/>
      <c r="O876" s="296"/>
      <c r="P876" s="294"/>
      <c r="Q876" s="294"/>
      <c r="R876" s="295"/>
      <c r="S876" s="302">
        <f t="shared" si="53"/>
        <v>0</v>
      </c>
      <c r="T876" s="302"/>
      <c r="U876" s="303"/>
      <c r="V876" s="305">
        <f t="shared" si="54"/>
        <v>0</v>
      </c>
      <c r="W876" s="305" t="str">
        <f t="shared" si="52"/>
        <v xml:space="preserve"> </v>
      </c>
      <c r="X876" s="288"/>
    </row>
    <row r="877" spans="1:24">
      <c r="A877" s="286">
        <v>118</v>
      </c>
      <c r="C877" s="286" t="s">
        <v>619</v>
      </c>
      <c r="D877" s="286" t="s">
        <v>677</v>
      </c>
      <c r="E877" s="286" t="s">
        <v>630</v>
      </c>
      <c r="F877" s="286">
        <v>27</v>
      </c>
      <c r="G877" s="425">
        <v>2383.8799999999997</v>
      </c>
      <c r="H877" s="425">
        <v>75.7</v>
      </c>
      <c r="J877" s="289"/>
      <c r="K877" s="289"/>
      <c r="L877" s="291"/>
      <c r="M877" s="291"/>
      <c r="N877" s="300"/>
      <c r="O877" s="296"/>
      <c r="P877" s="294"/>
      <c r="Q877" s="294"/>
      <c r="R877" s="295"/>
      <c r="S877" s="302">
        <f t="shared" si="53"/>
        <v>0</v>
      </c>
      <c r="T877" s="302"/>
      <c r="U877" s="303"/>
      <c r="V877" s="305">
        <f t="shared" si="54"/>
        <v>0</v>
      </c>
      <c r="W877" s="305" t="str">
        <f t="shared" si="52"/>
        <v xml:space="preserve"> </v>
      </c>
      <c r="X877" s="288"/>
    </row>
    <row r="878" spans="1:24">
      <c r="A878" s="286">
        <v>118</v>
      </c>
      <c r="C878" s="286" t="s">
        <v>619</v>
      </c>
      <c r="D878" s="286" t="s">
        <v>677</v>
      </c>
      <c r="E878" s="286" t="s">
        <v>683</v>
      </c>
      <c r="F878" s="286">
        <v>27</v>
      </c>
      <c r="G878" s="425">
        <v>257.04000000000002</v>
      </c>
      <c r="H878" s="425">
        <v>8</v>
      </c>
      <c r="J878" s="289"/>
      <c r="K878" s="289"/>
      <c r="L878" s="291"/>
      <c r="M878" s="291"/>
      <c r="N878" s="300"/>
      <c r="O878" s="296"/>
      <c r="P878" s="294"/>
      <c r="Q878" s="294"/>
      <c r="R878" s="295"/>
      <c r="S878" s="302">
        <f t="shared" si="53"/>
        <v>0</v>
      </c>
      <c r="T878" s="302"/>
      <c r="U878" s="303"/>
      <c r="V878" s="305">
        <f t="shared" si="54"/>
        <v>0</v>
      </c>
      <c r="W878" s="305" t="str">
        <f t="shared" si="52"/>
        <v xml:space="preserve"> </v>
      </c>
      <c r="X878" s="288"/>
    </row>
    <row r="879" spans="1:24">
      <c r="A879" s="286">
        <v>118</v>
      </c>
      <c r="C879" s="286" t="s">
        <v>619</v>
      </c>
      <c r="D879" s="286" t="s">
        <v>677</v>
      </c>
      <c r="E879" s="286" t="s">
        <v>633</v>
      </c>
      <c r="F879" s="286">
        <v>27</v>
      </c>
      <c r="G879" s="425">
        <v>3540.24</v>
      </c>
      <c r="H879" s="425">
        <v>112</v>
      </c>
      <c r="J879" s="289"/>
      <c r="K879" s="289"/>
      <c r="L879" s="291"/>
      <c r="M879" s="291"/>
      <c r="N879" s="300"/>
      <c r="O879" s="296"/>
      <c r="P879" s="294"/>
      <c r="Q879" s="294"/>
      <c r="R879" s="295"/>
      <c r="S879" s="302">
        <f t="shared" si="53"/>
        <v>0</v>
      </c>
      <c r="T879" s="302"/>
      <c r="U879" s="303"/>
      <c r="V879" s="305">
        <f t="shared" si="54"/>
        <v>0</v>
      </c>
      <c r="W879" s="305" t="str">
        <f t="shared" si="52"/>
        <v xml:space="preserve"> </v>
      </c>
      <c r="X879" s="288"/>
    </row>
    <row r="880" spans="1:24">
      <c r="A880" s="286">
        <v>118</v>
      </c>
      <c r="C880" s="286" t="s">
        <v>619</v>
      </c>
      <c r="D880" s="286" t="s">
        <v>677</v>
      </c>
      <c r="E880" s="286" t="s">
        <v>634</v>
      </c>
      <c r="F880" s="286">
        <v>27</v>
      </c>
      <c r="G880" s="425">
        <v>514.08000000000004</v>
      </c>
      <c r="H880" s="425">
        <v>16</v>
      </c>
      <c r="J880" s="289"/>
      <c r="K880" s="289"/>
      <c r="L880" s="291"/>
      <c r="M880" s="291"/>
      <c r="N880" s="300"/>
      <c r="O880" s="296"/>
      <c r="P880" s="294"/>
      <c r="Q880" s="294"/>
      <c r="R880" s="295"/>
      <c r="S880" s="302">
        <f t="shared" si="53"/>
        <v>0</v>
      </c>
      <c r="T880" s="302"/>
      <c r="U880" s="303"/>
      <c r="V880" s="305">
        <f t="shared" si="54"/>
        <v>0</v>
      </c>
      <c r="W880" s="305" t="str">
        <f t="shared" si="52"/>
        <v xml:space="preserve"> </v>
      </c>
      <c r="X880" s="288"/>
    </row>
    <row r="881" spans="1:24">
      <c r="A881" s="286">
        <v>118</v>
      </c>
      <c r="C881" s="286" t="s">
        <v>619</v>
      </c>
      <c r="D881" s="286" t="s">
        <v>677</v>
      </c>
      <c r="E881" s="286" t="s">
        <v>635</v>
      </c>
      <c r="F881" s="286">
        <v>27</v>
      </c>
      <c r="G881" s="425">
        <v>257.04000000000002</v>
      </c>
      <c r="H881" s="425">
        <v>8</v>
      </c>
      <c r="J881" s="289"/>
      <c r="K881" s="289"/>
      <c r="L881" s="291"/>
      <c r="M881" s="291"/>
      <c r="N881" s="300"/>
      <c r="O881" s="296"/>
      <c r="P881" s="294"/>
      <c r="Q881" s="294"/>
      <c r="R881" s="295"/>
      <c r="S881" s="302">
        <f t="shared" si="53"/>
        <v>0</v>
      </c>
      <c r="T881" s="302"/>
      <c r="U881" s="303"/>
      <c r="V881" s="305">
        <f t="shared" si="54"/>
        <v>0</v>
      </c>
      <c r="W881" s="305" t="str">
        <f t="shared" si="52"/>
        <v xml:space="preserve"> </v>
      </c>
      <c r="X881" s="288"/>
    </row>
    <row r="882" spans="1:24">
      <c r="A882" s="286">
        <v>118</v>
      </c>
      <c r="C882" s="286" t="s">
        <v>619</v>
      </c>
      <c r="D882" s="286" t="s">
        <v>677</v>
      </c>
      <c r="E882" s="286" t="s">
        <v>623</v>
      </c>
      <c r="F882" s="286">
        <v>27</v>
      </c>
      <c r="G882" s="425">
        <v>250</v>
      </c>
      <c r="H882" s="425">
        <v>0</v>
      </c>
      <c r="J882" s="289"/>
      <c r="K882" s="289"/>
      <c r="L882" s="291"/>
      <c r="M882" s="291"/>
      <c r="N882" s="300"/>
      <c r="O882" s="296"/>
      <c r="P882" s="294"/>
      <c r="Q882" s="294"/>
      <c r="R882" s="295"/>
      <c r="S882" s="302">
        <f t="shared" si="53"/>
        <v>0</v>
      </c>
      <c r="T882" s="302"/>
      <c r="U882" s="303"/>
      <c r="V882" s="305">
        <f t="shared" si="54"/>
        <v>250</v>
      </c>
      <c r="W882" s="305" t="str">
        <f t="shared" si="52"/>
        <v xml:space="preserve"> </v>
      </c>
      <c r="X882" s="288"/>
    </row>
    <row r="883" spans="1:24">
      <c r="A883" s="286">
        <v>118</v>
      </c>
      <c r="C883" s="286" t="s">
        <v>619</v>
      </c>
      <c r="D883" s="286" t="s">
        <v>677</v>
      </c>
      <c r="E883" s="286" t="s">
        <v>625</v>
      </c>
      <c r="F883" s="286">
        <v>27</v>
      </c>
      <c r="G883" s="425">
        <v>2000</v>
      </c>
      <c r="H883" s="425">
        <v>0</v>
      </c>
      <c r="J883" s="289"/>
      <c r="K883" s="289"/>
      <c r="L883" s="291"/>
      <c r="M883" s="291"/>
      <c r="N883" s="300"/>
      <c r="O883" s="296"/>
      <c r="P883" s="294"/>
      <c r="Q883" s="294"/>
      <c r="R883" s="295"/>
      <c r="S883" s="302">
        <f t="shared" si="53"/>
        <v>0</v>
      </c>
      <c r="T883" s="302"/>
      <c r="U883" s="303"/>
      <c r="V883" s="305">
        <f t="shared" si="54"/>
        <v>2000</v>
      </c>
      <c r="W883" s="305">
        <f t="shared" si="52"/>
        <v>500</v>
      </c>
      <c r="X883" s="288"/>
    </row>
    <row r="884" spans="1:24">
      <c r="A884" s="286">
        <v>118</v>
      </c>
      <c r="C884" s="286" t="s">
        <v>619</v>
      </c>
      <c r="D884" s="286" t="s">
        <v>677</v>
      </c>
      <c r="E884" s="286" t="s">
        <v>636</v>
      </c>
      <c r="F884" s="286">
        <v>27</v>
      </c>
      <c r="G884" s="425">
        <v>250.56</v>
      </c>
      <c r="H884" s="425">
        <v>0</v>
      </c>
      <c r="J884" s="289"/>
      <c r="K884" s="289"/>
      <c r="L884" s="291"/>
      <c r="M884" s="291"/>
      <c r="N884" s="300"/>
      <c r="O884" s="296"/>
      <c r="P884" s="294"/>
      <c r="Q884" s="294"/>
      <c r="R884" s="295"/>
      <c r="S884" s="302">
        <f t="shared" si="53"/>
        <v>0</v>
      </c>
      <c r="T884" s="302"/>
      <c r="U884" s="303"/>
      <c r="V884" s="305">
        <f t="shared" si="54"/>
        <v>0</v>
      </c>
      <c r="W884" s="305" t="str">
        <f t="shared" si="52"/>
        <v xml:space="preserve"> </v>
      </c>
      <c r="X884" s="288"/>
    </row>
    <row r="885" spans="1:24">
      <c r="A885" s="286">
        <v>118</v>
      </c>
      <c r="C885" s="286" t="s">
        <v>619</v>
      </c>
      <c r="D885" s="286" t="s">
        <v>677</v>
      </c>
      <c r="E885" s="286" t="s">
        <v>632</v>
      </c>
      <c r="F885" s="286">
        <v>27</v>
      </c>
      <c r="G885" s="425">
        <v>2905.18</v>
      </c>
      <c r="H885" s="425">
        <v>0</v>
      </c>
      <c r="J885" s="289"/>
      <c r="K885" s="289"/>
      <c r="L885" s="291"/>
      <c r="M885" s="291"/>
      <c r="N885" s="300"/>
      <c r="O885" s="296"/>
      <c r="P885" s="294"/>
      <c r="Q885" s="294"/>
      <c r="R885" s="295"/>
      <c r="S885" s="302">
        <f t="shared" si="53"/>
        <v>0</v>
      </c>
      <c r="T885" s="302"/>
      <c r="U885" s="303"/>
      <c r="V885" s="305">
        <f t="shared" si="54"/>
        <v>2905.18</v>
      </c>
      <c r="W885" s="305">
        <f t="shared" si="52"/>
        <v>-2905.18</v>
      </c>
      <c r="X885" s="288"/>
    </row>
    <row r="886" spans="1:24">
      <c r="A886" s="286">
        <v>119</v>
      </c>
      <c r="C886" s="286" t="s">
        <v>644</v>
      </c>
      <c r="D886" s="286"/>
      <c r="E886" s="286" t="s">
        <v>598</v>
      </c>
      <c r="F886" s="286">
        <f>IF(VLOOKUP(A886,'WP-5 Payroll Data'!$K$11:$O$151,3,FALSE)&gt;26,26,VLOOKUP(A886,'WP-5 Payroll Data'!$K$11:$O$151,3,FALSE))</f>
        <v>19</v>
      </c>
      <c r="G886" s="425">
        <v>2428.8699999999994</v>
      </c>
      <c r="H886" s="425">
        <v>160.38999999999999</v>
      </c>
      <c r="J886" s="289">
        <f>VLOOKUP(A886,'WP-5 Payroll Data'!$K$11:$O$151,4,FALSE)</f>
        <v>2848.9699999999993</v>
      </c>
      <c r="K886" s="289">
        <f>VLOOKUP(A886,'WP-5 Payroll Data'!$K$11:$O$151,5,FALSE)</f>
        <v>188.57999999999998</v>
      </c>
      <c r="L886" s="289">
        <f>J886/K886</f>
        <v>15.10748753844522</v>
      </c>
      <c r="M886" s="289"/>
      <c r="N886" s="300">
        <f>IF((K886/F886)*26&gt;1500,2080,IF((K886/F886)*26&gt;300,520,IF((K886/F886)*26&gt;100,260,K886)))</f>
        <v>260</v>
      </c>
      <c r="O886" s="296">
        <f>N886*L886</f>
        <v>3927.946759995757</v>
      </c>
      <c r="P886" s="294"/>
      <c r="Q886" s="294">
        <f>O886*0.03</f>
        <v>117.83840279987271</v>
      </c>
      <c r="R886" s="295"/>
      <c r="S886" s="302">
        <f t="shared" si="53"/>
        <v>0</v>
      </c>
      <c r="T886" s="302"/>
      <c r="U886" s="303"/>
      <c r="V886" s="305">
        <f t="shared" si="54"/>
        <v>0</v>
      </c>
      <c r="W886" s="305" t="str">
        <f t="shared" si="52"/>
        <v xml:space="preserve"> </v>
      </c>
      <c r="X886" s="288"/>
    </row>
    <row r="887" spans="1:24">
      <c r="A887" s="286">
        <v>119</v>
      </c>
      <c r="C887" s="286" t="s">
        <v>644</v>
      </c>
      <c r="D887" s="286"/>
      <c r="E887" s="286" t="s">
        <v>599</v>
      </c>
      <c r="F887" s="286">
        <v>19</v>
      </c>
      <c r="G887" s="425">
        <v>91.210000000000008</v>
      </c>
      <c r="H887" s="425">
        <v>4.13</v>
      </c>
      <c r="J887" s="289"/>
      <c r="K887" s="289"/>
      <c r="L887" s="291"/>
      <c r="M887" s="291"/>
      <c r="N887" s="300"/>
      <c r="O887" s="296"/>
      <c r="P887" s="294"/>
      <c r="Q887" s="294"/>
      <c r="R887" s="295"/>
      <c r="S887" s="302">
        <f t="shared" si="53"/>
        <v>91.210000000000008</v>
      </c>
      <c r="T887" s="302">
        <f t="shared" si="55"/>
        <v>2.7363</v>
      </c>
      <c r="U887" s="303"/>
      <c r="V887" s="305">
        <f t="shared" si="54"/>
        <v>0</v>
      </c>
      <c r="W887" s="305" t="str">
        <f t="shared" si="52"/>
        <v xml:space="preserve"> </v>
      </c>
      <c r="X887" s="288"/>
    </row>
    <row r="888" spans="1:24">
      <c r="A888" s="286">
        <v>119</v>
      </c>
      <c r="C888" s="286" t="s">
        <v>644</v>
      </c>
      <c r="D888" s="286"/>
      <c r="E888" s="286" t="s">
        <v>605</v>
      </c>
      <c r="F888" s="286">
        <v>19</v>
      </c>
      <c r="G888" s="425">
        <v>225.25</v>
      </c>
      <c r="H888" s="425">
        <v>15</v>
      </c>
      <c r="J888" s="289"/>
      <c r="K888" s="289"/>
      <c r="L888" s="291"/>
      <c r="M888" s="291"/>
      <c r="N888" s="300"/>
      <c r="O888" s="296"/>
      <c r="P888" s="294"/>
      <c r="Q888" s="294"/>
      <c r="R888" s="295"/>
      <c r="S888" s="302">
        <f t="shared" si="53"/>
        <v>0</v>
      </c>
      <c r="T888" s="302"/>
      <c r="U888" s="303"/>
      <c r="V888" s="305">
        <f t="shared" si="54"/>
        <v>0</v>
      </c>
      <c r="W888" s="305" t="str">
        <f t="shared" si="52"/>
        <v xml:space="preserve"> </v>
      </c>
      <c r="X888" s="288"/>
    </row>
    <row r="889" spans="1:24">
      <c r="A889" s="286">
        <v>119</v>
      </c>
      <c r="C889" s="286" t="s">
        <v>644</v>
      </c>
      <c r="D889" s="286"/>
      <c r="E889" s="286" t="s">
        <v>608</v>
      </c>
      <c r="F889" s="286">
        <v>19</v>
      </c>
      <c r="G889" s="425">
        <v>172.48</v>
      </c>
      <c r="H889" s="425">
        <v>11.630000000000003</v>
      </c>
      <c r="J889" s="289"/>
      <c r="K889" s="289"/>
      <c r="L889" s="291"/>
      <c r="M889" s="291"/>
      <c r="N889" s="300"/>
      <c r="O889" s="296"/>
      <c r="P889" s="294"/>
      <c r="Q889" s="294"/>
      <c r="R889" s="295"/>
      <c r="S889" s="302">
        <f t="shared" si="53"/>
        <v>0</v>
      </c>
      <c r="T889" s="302"/>
      <c r="U889" s="303"/>
      <c r="V889" s="305">
        <f t="shared" si="54"/>
        <v>0</v>
      </c>
      <c r="W889" s="305" t="str">
        <f t="shared" si="52"/>
        <v xml:space="preserve"> </v>
      </c>
      <c r="X889" s="288"/>
    </row>
    <row r="890" spans="1:24">
      <c r="A890" s="286">
        <v>119</v>
      </c>
      <c r="C890" s="286" t="s">
        <v>644</v>
      </c>
      <c r="D890" s="286"/>
      <c r="E890" s="286" t="s">
        <v>610</v>
      </c>
      <c r="F890" s="286">
        <v>19</v>
      </c>
      <c r="G890" s="425">
        <v>44.17</v>
      </c>
      <c r="H890" s="425">
        <v>3</v>
      </c>
      <c r="J890" s="289"/>
      <c r="K890" s="289"/>
      <c r="L890" s="291"/>
      <c r="M890" s="291"/>
      <c r="N890" s="300"/>
      <c r="O890" s="296"/>
      <c r="P890" s="294"/>
      <c r="Q890" s="294"/>
      <c r="R890" s="295"/>
      <c r="S890" s="302">
        <f t="shared" si="53"/>
        <v>0</v>
      </c>
      <c r="T890" s="302"/>
      <c r="U890" s="303"/>
      <c r="V890" s="305">
        <f t="shared" si="54"/>
        <v>0</v>
      </c>
      <c r="W890" s="305" t="str">
        <f t="shared" si="52"/>
        <v xml:space="preserve"> </v>
      </c>
      <c r="X890" s="288"/>
    </row>
    <row r="891" spans="1:24">
      <c r="A891" s="286">
        <v>119</v>
      </c>
      <c r="C891" s="286" t="s">
        <v>644</v>
      </c>
      <c r="D891" s="286"/>
      <c r="E891" s="286" t="s">
        <v>614</v>
      </c>
      <c r="F891" s="286">
        <v>19</v>
      </c>
      <c r="G891" s="425">
        <v>31.25</v>
      </c>
      <c r="H891" s="425">
        <v>0</v>
      </c>
      <c r="J891" s="289"/>
      <c r="K891" s="289"/>
      <c r="L891" s="291"/>
      <c r="M891" s="291"/>
      <c r="N891" s="300"/>
      <c r="O891" s="296"/>
      <c r="P891" s="294"/>
      <c r="Q891" s="294"/>
      <c r="R891" s="295"/>
      <c r="S891" s="302">
        <f t="shared" si="53"/>
        <v>0</v>
      </c>
      <c r="T891" s="302"/>
      <c r="U891" s="303"/>
      <c r="V891" s="305">
        <f t="shared" si="54"/>
        <v>31.25</v>
      </c>
      <c r="W891" s="305" t="str">
        <f t="shared" si="52"/>
        <v xml:space="preserve"> </v>
      </c>
      <c r="X891" s="288"/>
    </row>
    <row r="892" spans="1:24">
      <c r="A892" s="286">
        <v>119</v>
      </c>
      <c r="C892" s="286" t="s">
        <v>644</v>
      </c>
      <c r="D892" s="286"/>
      <c r="E892" s="286" t="s">
        <v>616</v>
      </c>
      <c r="F892" s="286">
        <v>19</v>
      </c>
      <c r="G892" s="425">
        <v>25</v>
      </c>
      <c r="H892" s="425">
        <v>0</v>
      </c>
      <c r="J892" s="289"/>
      <c r="K892" s="289"/>
      <c r="L892" s="291"/>
      <c r="M892" s="291"/>
      <c r="N892" s="300"/>
      <c r="O892" s="296"/>
      <c r="P892" s="294"/>
      <c r="Q892" s="294"/>
      <c r="R892" s="295"/>
      <c r="S892" s="302">
        <f t="shared" si="53"/>
        <v>0</v>
      </c>
      <c r="T892" s="302"/>
      <c r="U892" s="303"/>
      <c r="V892" s="305">
        <f t="shared" si="54"/>
        <v>25</v>
      </c>
      <c r="W892" s="305">
        <f t="shared" si="52"/>
        <v>6.25</v>
      </c>
      <c r="X892" s="288"/>
    </row>
    <row r="893" spans="1:24">
      <c r="A893" s="286">
        <v>119</v>
      </c>
      <c r="C893" s="286" t="s">
        <v>644</v>
      </c>
      <c r="D893" s="286"/>
      <c r="E893" s="286" t="s">
        <v>643</v>
      </c>
      <c r="F893" s="286">
        <v>19</v>
      </c>
      <c r="G893" s="425">
        <v>-21.8</v>
      </c>
      <c r="H893" s="425">
        <v>-1.44</v>
      </c>
      <c r="J893" s="289"/>
      <c r="K893" s="289"/>
      <c r="L893" s="291"/>
      <c r="M893" s="291"/>
      <c r="N893" s="300"/>
      <c r="O893" s="296"/>
      <c r="P893" s="294"/>
      <c r="Q893" s="294"/>
      <c r="R893" s="295"/>
      <c r="S893" s="302">
        <f t="shared" si="53"/>
        <v>0</v>
      </c>
      <c r="T893" s="302"/>
      <c r="U893" s="303"/>
      <c r="V893" s="305">
        <f t="shared" si="54"/>
        <v>0</v>
      </c>
      <c r="W893" s="305" t="str">
        <f t="shared" si="52"/>
        <v xml:space="preserve"> </v>
      </c>
      <c r="X893" s="288"/>
    </row>
    <row r="894" spans="1:24">
      <c r="A894" s="286">
        <v>120</v>
      </c>
      <c r="C894" s="286" t="s">
        <v>619</v>
      </c>
      <c r="D894" s="286" t="s">
        <v>684</v>
      </c>
      <c r="E894" s="286" t="s">
        <v>621</v>
      </c>
      <c r="F894" s="286">
        <f>IF(VLOOKUP(A894,'WP-5 Payroll Data'!$K$11:$O$151,3,FALSE)&gt;26,26,VLOOKUP(A894,'WP-5 Payroll Data'!$K$11:$O$151,3,FALSE))</f>
        <v>23</v>
      </c>
      <c r="G894" s="425">
        <v>36814.54</v>
      </c>
      <c r="H894" s="425">
        <v>1539.3000000000002</v>
      </c>
      <c r="J894" s="289">
        <f>VLOOKUP(A894,'WP-5 Payroll Data'!$K$11:$O$151,4,FALSE)</f>
        <v>49796.36</v>
      </c>
      <c r="K894" s="289">
        <f>VLOOKUP(A894,'WP-5 Payroll Data'!$K$11:$O$151,5,FALSE)</f>
        <v>2079.8500000000004</v>
      </c>
      <c r="L894" s="289">
        <f>J894/K894</f>
        <v>23.942284299348508</v>
      </c>
      <c r="M894" s="289"/>
      <c r="N894" s="300">
        <f>IF((K894/F894)*26&gt;1500,2080,IF((K894/F894)*26&gt;300,520,IF((K894/F894)*26&gt;100,260,K894)))</f>
        <v>2080</v>
      </c>
      <c r="O894" s="296">
        <f>N894*L894</f>
        <v>49799.951342644898</v>
      </c>
      <c r="P894" s="294"/>
      <c r="Q894" s="294">
        <f>O894*0.03</f>
        <v>1493.9985402793468</v>
      </c>
      <c r="R894" s="295"/>
      <c r="S894" s="302">
        <f t="shared" si="53"/>
        <v>0</v>
      </c>
      <c r="T894" s="302"/>
      <c r="U894" s="303"/>
      <c r="V894" s="305">
        <f t="shared" si="54"/>
        <v>0</v>
      </c>
      <c r="W894" s="305" t="str">
        <f t="shared" si="52"/>
        <v xml:space="preserve"> </v>
      </c>
      <c r="X894" s="288"/>
    </row>
    <row r="895" spans="1:24">
      <c r="A895" s="286">
        <v>120</v>
      </c>
      <c r="C895" s="286" t="s">
        <v>619</v>
      </c>
      <c r="D895" s="286" t="s">
        <v>684</v>
      </c>
      <c r="E895" s="286" t="s">
        <v>622</v>
      </c>
      <c r="F895" s="286">
        <v>23</v>
      </c>
      <c r="G895" s="425">
        <v>794.24</v>
      </c>
      <c r="H895" s="425">
        <v>32</v>
      </c>
      <c r="J895" s="289"/>
      <c r="K895" s="289"/>
      <c r="L895" s="291"/>
      <c r="M895" s="291"/>
      <c r="N895" s="300"/>
      <c r="O895" s="296"/>
      <c r="P895" s="294"/>
      <c r="Q895" s="294"/>
      <c r="R895" s="295"/>
      <c r="S895" s="302">
        <f t="shared" si="53"/>
        <v>0</v>
      </c>
      <c r="T895" s="302"/>
      <c r="U895" s="303"/>
      <c r="V895" s="305">
        <f t="shared" si="54"/>
        <v>0</v>
      </c>
      <c r="W895" s="305" t="str">
        <f t="shared" si="52"/>
        <v xml:space="preserve"> </v>
      </c>
      <c r="X895" s="288"/>
    </row>
    <row r="896" spans="1:24">
      <c r="A896" s="286">
        <v>120</v>
      </c>
      <c r="C896" s="286" t="s">
        <v>619</v>
      </c>
      <c r="D896" s="286" t="s">
        <v>684</v>
      </c>
      <c r="E896" s="286" t="s">
        <v>599</v>
      </c>
      <c r="F896" s="286">
        <v>23</v>
      </c>
      <c r="G896" s="425">
        <v>3495.18</v>
      </c>
      <c r="H896" s="425">
        <v>97.5</v>
      </c>
      <c r="J896" s="289"/>
      <c r="K896" s="289"/>
      <c r="L896" s="291"/>
      <c r="M896" s="291"/>
      <c r="N896" s="300"/>
      <c r="O896" s="296"/>
      <c r="P896" s="294"/>
      <c r="Q896" s="294"/>
      <c r="R896" s="295"/>
      <c r="S896" s="302">
        <f t="shared" si="53"/>
        <v>3495.18</v>
      </c>
      <c r="T896" s="302">
        <f t="shared" si="55"/>
        <v>104.85539999999999</v>
      </c>
      <c r="U896" s="303"/>
      <c r="V896" s="305">
        <f t="shared" si="54"/>
        <v>0</v>
      </c>
      <c r="W896" s="305" t="str">
        <f t="shared" si="52"/>
        <v xml:space="preserve"> </v>
      </c>
      <c r="X896" s="288"/>
    </row>
    <row r="897" spans="1:24">
      <c r="A897" s="286">
        <v>120</v>
      </c>
      <c r="C897" s="286" t="s">
        <v>619</v>
      </c>
      <c r="D897" s="286" t="s">
        <v>684</v>
      </c>
      <c r="E897" s="286" t="s">
        <v>601</v>
      </c>
      <c r="F897" s="286">
        <v>23</v>
      </c>
      <c r="G897" s="425">
        <v>3407.17</v>
      </c>
      <c r="H897" s="425">
        <v>71.699999999999989</v>
      </c>
      <c r="J897" s="289"/>
      <c r="K897" s="289"/>
      <c r="L897" s="291"/>
      <c r="M897" s="291"/>
      <c r="N897" s="300"/>
      <c r="O897" s="296"/>
      <c r="P897" s="294"/>
      <c r="Q897" s="294"/>
      <c r="R897" s="295"/>
      <c r="S897" s="302">
        <f t="shared" si="53"/>
        <v>3407.17</v>
      </c>
      <c r="T897" s="302">
        <f t="shared" si="55"/>
        <v>102.21509999999999</v>
      </c>
      <c r="U897" s="303"/>
      <c r="V897" s="305">
        <f t="shared" si="54"/>
        <v>0</v>
      </c>
      <c r="W897" s="305" t="str">
        <f t="shared" si="52"/>
        <v xml:space="preserve"> </v>
      </c>
      <c r="X897" s="288"/>
    </row>
    <row r="898" spans="1:24">
      <c r="A898" s="286">
        <v>120</v>
      </c>
      <c r="C898" s="286" t="s">
        <v>619</v>
      </c>
      <c r="D898" s="286" t="s">
        <v>684</v>
      </c>
      <c r="E898" s="286" t="s">
        <v>603</v>
      </c>
      <c r="F898" s="286">
        <v>23</v>
      </c>
      <c r="G898" s="425">
        <v>303.83999999999997</v>
      </c>
      <c r="H898" s="425">
        <v>8</v>
      </c>
      <c r="J898" s="289"/>
      <c r="K898" s="289"/>
      <c r="L898" s="291"/>
      <c r="M898" s="291"/>
      <c r="N898" s="300"/>
      <c r="O898" s="296"/>
      <c r="P898" s="294"/>
      <c r="Q898" s="294"/>
      <c r="R898" s="295"/>
      <c r="S898" s="302">
        <f t="shared" si="53"/>
        <v>303.83999999999997</v>
      </c>
      <c r="T898" s="302">
        <f t="shared" si="55"/>
        <v>9.1151999999999997</v>
      </c>
      <c r="U898" s="303"/>
      <c r="V898" s="305">
        <f t="shared" si="54"/>
        <v>0</v>
      </c>
      <c r="W898" s="305" t="str">
        <f t="shared" si="52"/>
        <v xml:space="preserve"> </v>
      </c>
      <c r="X898" s="288"/>
    </row>
    <row r="899" spans="1:24">
      <c r="A899" s="286">
        <v>120</v>
      </c>
      <c r="C899" s="286" t="s">
        <v>619</v>
      </c>
      <c r="D899" s="286" t="s">
        <v>684</v>
      </c>
      <c r="E899" s="286" t="s">
        <v>627</v>
      </c>
      <c r="F899" s="286">
        <v>23</v>
      </c>
      <c r="G899" s="425">
        <v>5000.33</v>
      </c>
      <c r="H899" s="425">
        <v>210.35</v>
      </c>
      <c r="J899" s="289"/>
      <c r="K899" s="289"/>
      <c r="L899" s="291"/>
      <c r="M899" s="291"/>
      <c r="N899" s="300"/>
      <c r="O899" s="296"/>
      <c r="P899" s="294"/>
      <c r="Q899" s="294"/>
      <c r="R899" s="295"/>
      <c r="S899" s="302">
        <f t="shared" si="53"/>
        <v>0</v>
      </c>
      <c r="T899" s="302"/>
      <c r="U899" s="303"/>
      <c r="V899" s="305">
        <f t="shared" si="54"/>
        <v>0</v>
      </c>
      <c r="W899" s="305" t="str">
        <f t="shared" si="52"/>
        <v xml:space="preserve"> </v>
      </c>
      <c r="X899" s="288"/>
    </row>
    <row r="900" spans="1:24">
      <c r="A900" s="286">
        <v>120</v>
      </c>
      <c r="C900" s="286" t="s">
        <v>619</v>
      </c>
      <c r="D900" s="286" t="s">
        <v>684</v>
      </c>
      <c r="E900" s="286" t="s">
        <v>630</v>
      </c>
      <c r="F900" s="286">
        <v>23</v>
      </c>
      <c r="G900" s="425">
        <v>3504.7699999999995</v>
      </c>
      <c r="H900" s="425">
        <v>146.19999999999999</v>
      </c>
      <c r="J900" s="289"/>
      <c r="K900" s="289"/>
      <c r="L900" s="291"/>
      <c r="M900" s="291"/>
      <c r="N900" s="300"/>
      <c r="O900" s="296"/>
      <c r="P900" s="294"/>
      <c r="Q900" s="294"/>
      <c r="R900" s="295"/>
      <c r="S900" s="302">
        <f t="shared" si="53"/>
        <v>0</v>
      </c>
      <c r="T900" s="302"/>
      <c r="U900" s="303"/>
      <c r="V900" s="305">
        <f t="shared" si="54"/>
        <v>0</v>
      </c>
      <c r="W900" s="305" t="str">
        <f t="shared" si="52"/>
        <v xml:space="preserve"> </v>
      </c>
      <c r="X900" s="288"/>
    </row>
    <row r="901" spans="1:24">
      <c r="A901" s="286">
        <v>120</v>
      </c>
      <c r="C901" s="286" t="s">
        <v>619</v>
      </c>
      <c r="D901" s="286" t="s">
        <v>684</v>
      </c>
      <c r="E901" s="286" t="s">
        <v>633</v>
      </c>
      <c r="F901" s="286">
        <v>23</v>
      </c>
      <c r="G901" s="425">
        <v>2702.3999999999996</v>
      </c>
      <c r="H901" s="425">
        <v>112</v>
      </c>
      <c r="J901" s="289"/>
      <c r="K901" s="289"/>
      <c r="L901" s="291"/>
      <c r="M901" s="291"/>
      <c r="N901" s="300"/>
      <c r="O901" s="296"/>
      <c r="P901" s="294"/>
      <c r="Q901" s="294"/>
      <c r="R901" s="295"/>
      <c r="S901" s="302">
        <f t="shared" si="53"/>
        <v>0</v>
      </c>
      <c r="T901" s="302"/>
      <c r="U901" s="303"/>
      <c r="V901" s="305">
        <f t="shared" si="54"/>
        <v>0</v>
      </c>
      <c r="W901" s="305" t="str">
        <f t="shared" si="52"/>
        <v xml:space="preserve"> </v>
      </c>
      <c r="X901" s="288"/>
    </row>
    <row r="902" spans="1:24">
      <c r="A902" s="286">
        <v>120</v>
      </c>
      <c r="C902" s="286" t="s">
        <v>619</v>
      </c>
      <c r="D902" s="286" t="s">
        <v>684</v>
      </c>
      <c r="E902" s="286" t="s">
        <v>634</v>
      </c>
      <c r="F902" s="286">
        <v>23</v>
      </c>
      <c r="G902" s="425">
        <v>980.08</v>
      </c>
      <c r="H902" s="425">
        <v>40</v>
      </c>
      <c r="J902" s="289"/>
      <c r="K902" s="289"/>
      <c r="L902" s="291"/>
      <c r="M902" s="291"/>
      <c r="N902" s="300"/>
      <c r="O902" s="296"/>
      <c r="P902" s="294"/>
      <c r="Q902" s="294"/>
      <c r="R902" s="295"/>
      <c r="S902" s="302">
        <f t="shared" si="53"/>
        <v>0</v>
      </c>
      <c r="T902" s="302"/>
      <c r="U902" s="303"/>
      <c r="V902" s="305">
        <f t="shared" si="54"/>
        <v>0</v>
      </c>
      <c r="W902" s="305" t="str">
        <f t="shared" si="52"/>
        <v xml:space="preserve"> </v>
      </c>
      <c r="X902" s="288"/>
    </row>
    <row r="903" spans="1:24">
      <c r="A903" s="286">
        <v>120</v>
      </c>
      <c r="C903" s="286" t="s">
        <v>619</v>
      </c>
      <c r="D903" s="286" t="s">
        <v>684</v>
      </c>
      <c r="E903" s="286" t="s">
        <v>623</v>
      </c>
      <c r="F903" s="286">
        <v>23</v>
      </c>
      <c r="G903" s="425">
        <v>250</v>
      </c>
      <c r="H903" s="425">
        <v>0</v>
      </c>
      <c r="J903" s="289"/>
      <c r="K903" s="289"/>
      <c r="L903" s="291"/>
      <c r="M903" s="291"/>
      <c r="N903" s="300"/>
      <c r="O903" s="296"/>
      <c r="P903" s="294"/>
      <c r="Q903" s="294"/>
      <c r="R903" s="295"/>
      <c r="S903" s="302">
        <f t="shared" si="53"/>
        <v>0</v>
      </c>
      <c r="T903" s="302"/>
      <c r="U903" s="303"/>
      <c r="V903" s="305">
        <f t="shared" si="54"/>
        <v>250</v>
      </c>
      <c r="W903" s="305" t="str">
        <f t="shared" si="52"/>
        <v xml:space="preserve"> </v>
      </c>
      <c r="X903" s="288"/>
    </row>
    <row r="904" spans="1:24">
      <c r="A904" s="286">
        <v>120</v>
      </c>
      <c r="C904" s="286" t="s">
        <v>619</v>
      </c>
      <c r="D904" s="286" t="s">
        <v>684</v>
      </c>
      <c r="E904" s="286" t="s">
        <v>625</v>
      </c>
      <c r="F904" s="286">
        <v>23</v>
      </c>
      <c r="G904" s="425">
        <v>5200</v>
      </c>
      <c r="H904" s="425">
        <v>0</v>
      </c>
      <c r="J904" s="289"/>
      <c r="K904" s="289"/>
      <c r="L904" s="291"/>
      <c r="M904" s="291"/>
      <c r="N904" s="300"/>
      <c r="O904" s="296"/>
      <c r="P904" s="294"/>
      <c r="Q904" s="294"/>
      <c r="R904" s="295"/>
      <c r="S904" s="302">
        <f t="shared" si="53"/>
        <v>0</v>
      </c>
      <c r="T904" s="302"/>
      <c r="U904" s="303"/>
      <c r="V904" s="305">
        <f t="shared" si="54"/>
        <v>5200</v>
      </c>
      <c r="W904" s="305">
        <f t="shared" si="52"/>
        <v>1300</v>
      </c>
      <c r="X904" s="288"/>
    </row>
    <row r="905" spans="1:24">
      <c r="A905" s="286">
        <v>120</v>
      </c>
      <c r="C905" s="286" t="s">
        <v>619</v>
      </c>
      <c r="D905" s="286" t="s">
        <v>684</v>
      </c>
      <c r="E905" s="286" t="s">
        <v>629</v>
      </c>
      <c r="F905" s="286">
        <v>23</v>
      </c>
      <c r="G905" s="425">
        <v>2000</v>
      </c>
      <c r="H905" s="425">
        <v>0</v>
      </c>
      <c r="J905" s="289"/>
      <c r="K905" s="289"/>
      <c r="L905" s="291"/>
      <c r="M905" s="291"/>
      <c r="N905" s="300"/>
      <c r="O905" s="296"/>
      <c r="P905" s="294"/>
      <c r="Q905" s="294"/>
      <c r="R905" s="295"/>
      <c r="S905" s="302">
        <f t="shared" si="53"/>
        <v>0</v>
      </c>
      <c r="T905" s="302"/>
      <c r="U905" s="303"/>
      <c r="V905" s="305">
        <f t="shared" si="54"/>
        <v>2000</v>
      </c>
      <c r="W905" s="305" t="str">
        <f t="shared" si="52"/>
        <v xml:space="preserve"> </v>
      </c>
      <c r="X905" s="288"/>
    </row>
    <row r="906" spans="1:24">
      <c r="A906" s="286">
        <v>120</v>
      </c>
      <c r="C906" s="286" t="s">
        <v>619</v>
      </c>
      <c r="D906" s="286" t="s">
        <v>684</v>
      </c>
      <c r="E906" s="286" t="s">
        <v>632</v>
      </c>
      <c r="F906" s="286">
        <v>23</v>
      </c>
      <c r="G906" s="425">
        <v>12173.48</v>
      </c>
      <c r="H906" s="425">
        <v>0</v>
      </c>
      <c r="J906" s="289"/>
      <c r="K906" s="289"/>
      <c r="L906" s="291"/>
      <c r="M906" s="291"/>
      <c r="N906" s="300"/>
      <c r="O906" s="296"/>
      <c r="P906" s="294"/>
      <c r="Q906" s="294"/>
      <c r="R906" s="295"/>
      <c r="S906" s="302">
        <f t="shared" si="53"/>
        <v>0</v>
      </c>
      <c r="T906" s="302"/>
      <c r="U906" s="303"/>
      <c r="V906" s="305">
        <f t="shared" si="54"/>
        <v>12173.48</v>
      </c>
      <c r="W906" s="305">
        <f t="shared" ref="W906:W969" si="56">IF($E906=$AA$29,-$V906,IF(OR($E906=$AA$18,$E906=$AA$23,$E906=$AA$24,$E906=$AA$26),(($V906/200)*50)," "))</f>
        <v>-12173.48</v>
      </c>
      <c r="X906" s="288"/>
    </row>
    <row r="907" spans="1:24">
      <c r="A907" s="286">
        <v>121</v>
      </c>
      <c r="C907" s="286" t="s">
        <v>597</v>
      </c>
      <c r="D907" s="286"/>
      <c r="E907" s="286" t="s">
        <v>598</v>
      </c>
      <c r="F907" s="286">
        <f>IF(VLOOKUP(A907,'WP-5 Payroll Data'!$K$11:$O$151,3,FALSE)&gt;26,26,VLOOKUP(A907,'WP-5 Payroll Data'!$K$11:$O$151,3,FALSE))</f>
        <v>26</v>
      </c>
      <c r="G907" s="425">
        <v>7774.2399999999989</v>
      </c>
      <c r="H907" s="425">
        <v>230.33999999999997</v>
      </c>
      <c r="J907" s="289">
        <f>VLOOKUP(A907,'WP-5 Payroll Data'!$K$11:$O$151,4,FALSE)</f>
        <v>8724.9699999999993</v>
      </c>
      <c r="K907" s="289">
        <f>VLOOKUP(A907,'WP-5 Payroll Data'!$K$11:$O$151,5,FALSE)</f>
        <v>258.77999999999997</v>
      </c>
      <c r="L907" s="289">
        <f>J907/K907</f>
        <v>33.715781745111677</v>
      </c>
      <c r="M907" s="289"/>
      <c r="N907" s="300">
        <f>IF((K907/F907)*26&gt;1500,2080,IF((K907/F907)*26&gt;300,520,IF((K907/F907)*26&gt;100,260,K907)))</f>
        <v>260</v>
      </c>
      <c r="O907" s="296">
        <f>N907*L907</f>
        <v>8766.1032537290357</v>
      </c>
      <c r="P907" s="294"/>
      <c r="Q907" s="294">
        <f>O907*0.03</f>
        <v>262.98309761187107</v>
      </c>
      <c r="R907" s="295"/>
      <c r="S907" s="302">
        <f t="shared" ref="S907:S970" si="57">IF(OR($E907=$Y$10,$E907=$Y$11,$E907=$Y$12,$E907=$Y$13),$G907,0)</f>
        <v>0</v>
      </c>
      <c r="T907" s="302"/>
      <c r="U907" s="303"/>
      <c r="V907" s="305">
        <f t="shared" ref="V907:V970" si="58">IF(OR($E907=$AA$10,$E907=$AA$11,$E907=$AA$12,$E907=$AA$13,$E907=$AA$14,$E907=$AA$15,$E907=$AA$16,$E907=$AA$17,$E907=$AA$18,$E907=$AA$19,$E907=$AA$20,$E907=$AA$21,$E907=$AA$22,$E907=$AA$23,$E907=$AA$24,$E907=$AA$25,$E907=$AA$26,$E907=$AA$27,$E907=$AA$28,$E907=$AA$29),G907,0)</f>
        <v>0</v>
      </c>
      <c r="W907" s="305" t="str">
        <f t="shared" si="56"/>
        <v xml:space="preserve"> </v>
      </c>
      <c r="X907" s="288"/>
    </row>
    <row r="908" spans="1:24">
      <c r="A908" s="286">
        <v>121</v>
      </c>
      <c r="C908" s="286" t="s">
        <v>597</v>
      </c>
      <c r="D908" s="286"/>
      <c r="E908" s="286" t="s">
        <v>605</v>
      </c>
      <c r="F908" s="286">
        <v>26</v>
      </c>
      <c r="G908" s="425">
        <v>751.45</v>
      </c>
      <c r="H908" s="425">
        <v>22.26</v>
      </c>
      <c r="J908" s="289"/>
      <c r="K908" s="289"/>
      <c r="L908" s="291"/>
      <c r="M908" s="291"/>
      <c r="N908" s="300"/>
      <c r="O908" s="296"/>
      <c r="P908" s="294"/>
      <c r="Q908" s="294"/>
      <c r="R908" s="295"/>
      <c r="S908" s="302">
        <f t="shared" si="57"/>
        <v>0</v>
      </c>
      <c r="T908" s="302"/>
      <c r="U908" s="303"/>
      <c r="V908" s="305">
        <f t="shared" si="58"/>
        <v>0</v>
      </c>
      <c r="W908" s="305" t="str">
        <f t="shared" si="56"/>
        <v xml:space="preserve"> </v>
      </c>
      <c r="X908" s="288"/>
    </row>
    <row r="909" spans="1:24">
      <c r="A909" s="286">
        <v>121</v>
      </c>
      <c r="C909" s="286" t="s">
        <v>597</v>
      </c>
      <c r="D909" s="286"/>
      <c r="E909" s="286" t="s">
        <v>608</v>
      </c>
      <c r="F909" s="286">
        <v>26</v>
      </c>
      <c r="G909" s="425">
        <v>106.67</v>
      </c>
      <c r="H909" s="425">
        <v>3.18</v>
      </c>
      <c r="J909" s="289"/>
      <c r="K909" s="289"/>
      <c r="L909" s="291"/>
      <c r="M909" s="291"/>
      <c r="N909" s="300"/>
      <c r="O909" s="296"/>
      <c r="P909" s="294"/>
      <c r="Q909" s="294"/>
      <c r="R909" s="295"/>
      <c r="S909" s="302">
        <f t="shared" si="57"/>
        <v>0</v>
      </c>
      <c r="T909" s="302"/>
      <c r="U909" s="303"/>
      <c r="V909" s="305">
        <f t="shared" si="58"/>
        <v>0</v>
      </c>
      <c r="W909" s="305" t="str">
        <f t="shared" si="56"/>
        <v xml:space="preserve"> </v>
      </c>
      <c r="X909" s="288"/>
    </row>
    <row r="910" spans="1:24">
      <c r="A910" s="286">
        <v>121</v>
      </c>
      <c r="C910" s="286" t="s">
        <v>597</v>
      </c>
      <c r="D910" s="286"/>
      <c r="E910" s="286" t="s">
        <v>652</v>
      </c>
      <c r="F910" s="286">
        <v>26</v>
      </c>
      <c r="G910" s="425">
        <v>-8.7200000000000006</v>
      </c>
      <c r="H910" s="425">
        <v>0</v>
      </c>
      <c r="J910" s="289"/>
      <c r="K910" s="289"/>
      <c r="L910" s="291"/>
      <c r="M910" s="291"/>
      <c r="N910" s="300"/>
      <c r="O910" s="296"/>
      <c r="P910" s="294"/>
      <c r="Q910" s="294"/>
      <c r="R910" s="295"/>
      <c r="S910" s="302">
        <f t="shared" si="57"/>
        <v>0</v>
      </c>
      <c r="T910" s="302"/>
      <c r="U910" s="303"/>
      <c r="V910" s="305">
        <f t="shared" si="58"/>
        <v>0</v>
      </c>
      <c r="W910" s="305" t="str">
        <f t="shared" si="56"/>
        <v xml:space="preserve"> </v>
      </c>
      <c r="X910" s="288"/>
    </row>
    <row r="911" spans="1:24">
      <c r="A911" s="286">
        <v>121</v>
      </c>
      <c r="C911" s="286" t="s">
        <v>597</v>
      </c>
      <c r="D911" s="286"/>
      <c r="E911" s="286" t="s">
        <v>602</v>
      </c>
      <c r="F911" s="286">
        <v>26</v>
      </c>
      <c r="G911" s="425">
        <v>43.28</v>
      </c>
      <c r="H911" s="425">
        <v>1.28</v>
      </c>
      <c r="J911" s="289"/>
      <c r="K911" s="289"/>
      <c r="L911" s="291"/>
      <c r="M911" s="291"/>
      <c r="N911" s="300"/>
      <c r="O911" s="296"/>
      <c r="P911" s="294"/>
      <c r="Q911" s="294"/>
      <c r="R911" s="295"/>
      <c r="S911" s="302">
        <f t="shared" si="57"/>
        <v>0</v>
      </c>
      <c r="T911" s="302"/>
      <c r="U911" s="303"/>
      <c r="V911" s="305">
        <f t="shared" si="58"/>
        <v>43.28</v>
      </c>
      <c r="W911" s="305" t="str">
        <f t="shared" si="56"/>
        <v xml:space="preserve"> </v>
      </c>
      <c r="X911" s="288"/>
    </row>
    <row r="912" spans="1:24">
      <c r="A912" s="286">
        <v>121</v>
      </c>
      <c r="C912" s="286" t="s">
        <v>597</v>
      </c>
      <c r="D912" s="286"/>
      <c r="E912" s="286" t="s">
        <v>610</v>
      </c>
      <c r="F912" s="286">
        <v>26</v>
      </c>
      <c r="G912" s="425">
        <v>101.33</v>
      </c>
      <c r="H912" s="425">
        <v>3</v>
      </c>
      <c r="J912" s="289"/>
      <c r="K912" s="289"/>
      <c r="L912" s="291"/>
      <c r="M912" s="291"/>
      <c r="N912" s="300"/>
      <c r="O912" s="296"/>
      <c r="P912" s="294"/>
      <c r="Q912" s="294"/>
      <c r="R912" s="295"/>
      <c r="S912" s="302">
        <f t="shared" si="57"/>
        <v>0</v>
      </c>
      <c r="T912" s="302"/>
      <c r="U912" s="303"/>
      <c r="V912" s="305">
        <f t="shared" si="58"/>
        <v>0</v>
      </c>
      <c r="W912" s="305" t="str">
        <f t="shared" si="56"/>
        <v xml:space="preserve"> </v>
      </c>
      <c r="X912" s="288"/>
    </row>
    <row r="913" spans="1:24">
      <c r="A913" s="286">
        <v>121</v>
      </c>
      <c r="C913" s="286" t="s">
        <v>597</v>
      </c>
      <c r="D913" s="286"/>
      <c r="E913" s="286" t="s">
        <v>612</v>
      </c>
      <c r="F913" s="286">
        <v>26</v>
      </c>
      <c r="G913" s="425">
        <v>12.5</v>
      </c>
      <c r="H913" s="425">
        <v>0</v>
      </c>
      <c r="J913" s="289"/>
      <c r="K913" s="289"/>
      <c r="L913" s="291"/>
      <c r="M913" s="291"/>
      <c r="N913" s="300"/>
      <c r="O913" s="296"/>
      <c r="P913" s="294"/>
      <c r="Q913" s="294"/>
      <c r="R913" s="295"/>
      <c r="S913" s="302">
        <f t="shared" si="57"/>
        <v>0</v>
      </c>
      <c r="T913" s="302"/>
      <c r="U913" s="303"/>
      <c r="V913" s="305">
        <f t="shared" si="58"/>
        <v>12.5</v>
      </c>
      <c r="W913" s="305" t="str">
        <f t="shared" si="56"/>
        <v xml:space="preserve"> </v>
      </c>
      <c r="X913" s="288"/>
    </row>
    <row r="914" spans="1:24">
      <c r="A914" s="286">
        <v>121</v>
      </c>
      <c r="C914" s="286" t="s">
        <v>597</v>
      </c>
      <c r="D914" s="286"/>
      <c r="E914" s="286" t="s">
        <v>624</v>
      </c>
      <c r="F914" s="286">
        <v>26</v>
      </c>
      <c r="G914" s="425">
        <v>337.5</v>
      </c>
      <c r="H914" s="425">
        <v>0</v>
      </c>
      <c r="J914" s="289"/>
      <c r="K914" s="289"/>
      <c r="L914" s="291"/>
      <c r="M914" s="291"/>
      <c r="N914" s="300"/>
      <c r="O914" s="296"/>
      <c r="P914" s="294"/>
      <c r="Q914" s="294"/>
      <c r="R914" s="295"/>
      <c r="S914" s="302">
        <f t="shared" si="57"/>
        <v>0</v>
      </c>
      <c r="T914" s="302"/>
      <c r="U914" s="303"/>
      <c r="V914" s="305">
        <f t="shared" si="58"/>
        <v>337.5</v>
      </c>
      <c r="W914" s="305">
        <f t="shared" si="56"/>
        <v>84.375</v>
      </c>
      <c r="X914" s="288"/>
    </row>
    <row r="915" spans="1:24">
      <c r="A915" s="286">
        <v>122</v>
      </c>
      <c r="C915" s="286" t="s">
        <v>647</v>
      </c>
      <c r="D915" s="286"/>
      <c r="E915" s="286" t="s">
        <v>648</v>
      </c>
      <c r="F915" s="286">
        <f>IF(VLOOKUP(A915,'WP-5 Payroll Data'!$K$11:$O$151,3,FALSE)&gt;26,26,VLOOKUP(A915,'WP-5 Payroll Data'!$K$11:$O$151,3,FALSE))</f>
        <v>4</v>
      </c>
      <c r="G915" s="424">
        <v>1820</v>
      </c>
      <c r="H915" s="425">
        <v>140</v>
      </c>
      <c r="J915" s="289">
        <f>VLOOKUP(A915,'WP-5 Payroll Data'!$K$11:$O$151,4,FALSE)</f>
        <v>1820</v>
      </c>
      <c r="K915" s="289">
        <f>VLOOKUP(A915,'WP-5 Payroll Data'!$K$11:$O$151,5,FALSE)</f>
        <v>140</v>
      </c>
      <c r="L915" s="289">
        <f>J915/K915</f>
        <v>13</v>
      </c>
      <c r="M915" s="289"/>
      <c r="N915" s="300">
        <f>IF((K915/F915)*26&gt;1500,2080,IF((K915/F915)*26&gt;300,520,IF((K915/F915)*26&gt;100,260,K915)))</f>
        <v>520</v>
      </c>
      <c r="O915" s="296">
        <f>N915*L915</f>
        <v>6760</v>
      </c>
      <c r="P915" s="294"/>
      <c r="Q915" s="294">
        <f>O915*0.03</f>
        <v>202.79999999999998</v>
      </c>
      <c r="R915" s="295"/>
      <c r="S915" s="302">
        <f t="shared" si="57"/>
        <v>0</v>
      </c>
      <c r="T915" s="302"/>
      <c r="U915" s="303"/>
      <c r="V915" s="305">
        <f t="shared" si="58"/>
        <v>0</v>
      </c>
      <c r="W915" s="305" t="str">
        <f t="shared" si="56"/>
        <v xml:space="preserve"> </v>
      </c>
      <c r="X915" s="288"/>
    </row>
    <row r="916" spans="1:24">
      <c r="A916" s="286">
        <v>123</v>
      </c>
      <c r="C916" s="286" t="s">
        <v>639</v>
      </c>
      <c r="D916" s="286"/>
      <c r="E916" s="286" t="s">
        <v>598</v>
      </c>
      <c r="F916" s="286">
        <f>IF(VLOOKUP(A916,'WP-5 Payroll Data'!$K$11:$O$151,3,FALSE)&gt;26,26,VLOOKUP(A916,'WP-5 Payroll Data'!$K$11:$O$151,3,FALSE))</f>
        <v>26</v>
      </c>
      <c r="G916" s="424">
        <v>667.99000000000024</v>
      </c>
      <c r="H916" s="425">
        <v>88.40000000000002</v>
      </c>
      <c r="J916" s="289">
        <f>VLOOKUP(A916,'WP-5 Payroll Data'!$K$11:$O$151,4,FALSE)</f>
        <v>667.99000000000024</v>
      </c>
      <c r="K916" s="289">
        <f>VLOOKUP(A916,'WP-5 Payroll Data'!$K$11:$O$151,5,FALSE)</f>
        <v>88.40000000000002</v>
      </c>
      <c r="L916" s="289">
        <f>J916/K916</f>
        <v>7.5564479638009061</v>
      </c>
      <c r="M916" s="289"/>
      <c r="N916" s="300">
        <f>IF((K916/F916)*26&gt;1500,2080,IF((K916/F916)*26&gt;300,520,IF((K916/F916)*26&gt;100,260,K916)))</f>
        <v>88.40000000000002</v>
      </c>
      <c r="O916" s="296">
        <f>N916*L916</f>
        <v>667.99000000000024</v>
      </c>
      <c r="P916" s="294"/>
      <c r="Q916" s="294">
        <f>O916*0.03</f>
        <v>20.039700000000007</v>
      </c>
      <c r="R916" s="295"/>
      <c r="S916" s="302">
        <f t="shared" si="57"/>
        <v>0</v>
      </c>
      <c r="T916" s="302"/>
      <c r="U916" s="303"/>
      <c r="V916" s="305">
        <f t="shared" si="58"/>
        <v>0</v>
      </c>
      <c r="W916" s="305" t="str">
        <f t="shared" si="56"/>
        <v xml:space="preserve"> </v>
      </c>
      <c r="X916" s="288"/>
    </row>
    <row r="917" spans="1:24">
      <c r="A917" s="286">
        <v>124</v>
      </c>
      <c r="C917" s="286" t="s">
        <v>619</v>
      </c>
      <c r="D917" s="286" t="s">
        <v>654</v>
      </c>
      <c r="E917" s="286" t="s">
        <v>621</v>
      </c>
      <c r="F917" s="286">
        <f>IF(VLOOKUP(A917,'WP-5 Payroll Data'!$K$11:$O$151,3,FALSE)&gt;26,26,VLOOKUP(A917,'WP-5 Payroll Data'!$K$11:$O$151,3,FALSE))</f>
        <v>26</v>
      </c>
      <c r="G917" s="425">
        <v>38848.630000000005</v>
      </c>
      <c r="H917" s="425">
        <v>1624.1</v>
      </c>
      <c r="J917" s="289">
        <f>VLOOKUP(A917,'WP-5 Payroll Data'!$K$11:$O$151,4,FALSE)</f>
        <v>49410.879999999997</v>
      </c>
      <c r="K917" s="289">
        <f>VLOOKUP(A917,'WP-5 Payroll Data'!$K$11:$O$151,5,FALSE)</f>
        <v>2056</v>
      </c>
      <c r="L917" s="289">
        <f>J917/K917</f>
        <v>24.032529182879376</v>
      </c>
      <c r="M917" s="289"/>
      <c r="N917" s="300">
        <f>IF((K917/F917)*26&gt;1500,2080,IF((K917/F917)*26&gt;300,520,IF((K917/F917)*26&gt;100,260,K917)))</f>
        <v>2080</v>
      </c>
      <c r="O917" s="296">
        <f>N917*L917</f>
        <v>49987.660700389104</v>
      </c>
      <c r="P917" s="294"/>
      <c r="Q917" s="294">
        <f>O917*0.03</f>
        <v>1499.6298210116731</v>
      </c>
      <c r="R917" s="295"/>
      <c r="S917" s="302">
        <f t="shared" si="57"/>
        <v>0</v>
      </c>
      <c r="T917" s="302"/>
      <c r="U917" s="303"/>
      <c r="V917" s="305">
        <f t="shared" si="58"/>
        <v>0</v>
      </c>
      <c r="W917" s="305" t="str">
        <f t="shared" si="56"/>
        <v xml:space="preserve"> </v>
      </c>
      <c r="X917" s="288"/>
    </row>
    <row r="918" spans="1:24">
      <c r="A918" s="286">
        <v>124</v>
      </c>
      <c r="C918" s="286" t="s">
        <v>619</v>
      </c>
      <c r="D918" s="286" t="s">
        <v>654</v>
      </c>
      <c r="E918" s="286" t="s">
        <v>599</v>
      </c>
      <c r="F918" s="286">
        <v>27</v>
      </c>
      <c r="G918" s="425">
        <v>885.91000000000008</v>
      </c>
      <c r="H918" s="425">
        <v>24.3</v>
      </c>
      <c r="J918" s="289"/>
      <c r="K918" s="289"/>
      <c r="L918" s="291"/>
      <c r="M918" s="291"/>
      <c r="N918" s="300"/>
      <c r="O918" s="296"/>
      <c r="P918" s="294"/>
      <c r="Q918" s="294"/>
      <c r="R918" s="295"/>
      <c r="S918" s="302">
        <f t="shared" si="57"/>
        <v>885.91000000000008</v>
      </c>
      <c r="T918" s="302">
        <f t="shared" ref="T918:T969" si="59">S918*0.03</f>
        <v>26.577300000000001</v>
      </c>
      <c r="U918" s="303"/>
      <c r="V918" s="305">
        <f t="shared" si="58"/>
        <v>0</v>
      </c>
      <c r="W918" s="305" t="str">
        <f t="shared" si="56"/>
        <v xml:space="preserve"> </v>
      </c>
      <c r="X918" s="288"/>
    </row>
    <row r="919" spans="1:24">
      <c r="A919" s="286">
        <v>124</v>
      </c>
      <c r="C919" s="286" t="s">
        <v>619</v>
      </c>
      <c r="D919" s="286" t="s">
        <v>654</v>
      </c>
      <c r="E919" s="286" t="s">
        <v>601</v>
      </c>
      <c r="F919" s="286">
        <v>27</v>
      </c>
      <c r="G919" s="425">
        <v>5899.13</v>
      </c>
      <c r="H919" s="425">
        <v>123.7</v>
      </c>
      <c r="J919" s="289"/>
      <c r="K919" s="289"/>
      <c r="L919" s="291"/>
      <c r="M919" s="291"/>
      <c r="N919" s="300"/>
      <c r="O919" s="296"/>
      <c r="P919" s="294"/>
      <c r="Q919" s="294"/>
      <c r="R919" s="295"/>
      <c r="S919" s="302">
        <f t="shared" si="57"/>
        <v>5899.13</v>
      </c>
      <c r="T919" s="302">
        <f t="shared" si="59"/>
        <v>176.97389999999999</v>
      </c>
      <c r="U919" s="303"/>
      <c r="V919" s="305">
        <f t="shared" si="58"/>
        <v>0</v>
      </c>
      <c r="W919" s="305" t="str">
        <f t="shared" si="56"/>
        <v xml:space="preserve"> </v>
      </c>
      <c r="X919" s="288"/>
    </row>
    <row r="920" spans="1:24">
      <c r="A920" s="286">
        <v>124</v>
      </c>
      <c r="C920" s="286" t="s">
        <v>619</v>
      </c>
      <c r="D920" s="286" t="s">
        <v>654</v>
      </c>
      <c r="E920" s="286" t="s">
        <v>627</v>
      </c>
      <c r="F920" s="286">
        <v>27</v>
      </c>
      <c r="G920" s="425">
        <v>5473.28</v>
      </c>
      <c r="H920" s="425">
        <v>224</v>
      </c>
      <c r="J920" s="289"/>
      <c r="K920" s="289"/>
      <c r="L920" s="291"/>
      <c r="M920" s="291"/>
      <c r="N920" s="300"/>
      <c r="O920" s="296"/>
      <c r="P920" s="294"/>
      <c r="Q920" s="294"/>
      <c r="R920" s="295"/>
      <c r="S920" s="302">
        <f t="shared" si="57"/>
        <v>0</v>
      </c>
      <c r="T920" s="302"/>
      <c r="U920" s="303"/>
      <c r="V920" s="305">
        <f t="shared" si="58"/>
        <v>0</v>
      </c>
      <c r="W920" s="305" t="str">
        <f t="shared" si="56"/>
        <v xml:space="preserve"> </v>
      </c>
      <c r="X920" s="288"/>
    </row>
    <row r="921" spans="1:24">
      <c r="A921" s="286">
        <v>124</v>
      </c>
      <c r="C921" s="286" t="s">
        <v>619</v>
      </c>
      <c r="D921" s="286" t="s">
        <v>654</v>
      </c>
      <c r="E921" s="286" t="s">
        <v>630</v>
      </c>
      <c r="F921" s="286">
        <v>27</v>
      </c>
      <c r="G921" s="425">
        <v>2016.7299999999998</v>
      </c>
      <c r="H921" s="425">
        <v>83.9</v>
      </c>
      <c r="J921" s="289"/>
      <c r="K921" s="289"/>
      <c r="L921" s="291"/>
      <c r="M921" s="291"/>
      <c r="N921" s="300"/>
      <c r="O921" s="296"/>
      <c r="P921" s="294"/>
      <c r="Q921" s="294"/>
      <c r="R921" s="295"/>
      <c r="S921" s="302">
        <f t="shared" si="57"/>
        <v>0</v>
      </c>
      <c r="T921" s="302"/>
      <c r="U921" s="303"/>
      <c r="V921" s="305">
        <f t="shared" si="58"/>
        <v>0</v>
      </c>
      <c r="W921" s="305" t="str">
        <f t="shared" si="56"/>
        <v xml:space="preserve"> </v>
      </c>
      <c r="X921" s="288"/>
    </row>
    <row r="922" spans="1:24">
      <c r="A922" s="286">
        <v>124</v>
      </c>
      <c r="C922" s="286" t="s">
        <v>619</v>
      </c>
      <c r="D922" s="286" t="s">
        <v>654</v>
      </c>
      <c r="E922" s="286" t="s">
        <v>633</v>
      </c>
      <c r="F922" s="286">
        <v>27</v>
      </c>
      <c r="G922" s="425">
        <v>2696.56</v>
      </c>
      <c r="H922" s="425">
        <v>112</v>
      </c>
      <c r="J922" s="289"/>
      <c r="K922" s="289"/>
      <c r="L922" s="291"/>
      <c r="M922" s="291"/>
      <c r="N922" s="300"/>
      <c r="O922" s="296"/>
      <c r="P922" s="294"/>
      <c r="Q922" s="294"/>
      <c r="R922" s="295"/>
      <c r="S922" s="302">
        <f t="shared" si="57"/>
        <v>0</v>
      </c>
      <c r="T922" s="302"/>
      <c r="U922" s="303"/>
      <c r="V922" s="305">
        <f t="shared" si="58"/>
        <v>0</v>
      </c>
      <c r="W922" s="305" t="str">
        <f t="shared" si="56"/>
        <v xml:space="preserve"> </v>
      </c>
      <c r="X922" s="288"/>
    </row>
    <row r="923" spans="1:24">
      <c r="A923" s="286">
        <v>124</v>
      </c>
      <c r="C923" s="286" t="s">
        <v>619</v>
      </c>
      <c r="D923" s="286" t="s">
        <v>654</v>
      </c>
      <c r="E923" s="286" t="s">
        <v>604</v>
      </c>
      <c r="F923" s="286">
        <v>27</v>
      </c>
      <c r="G923" s="425">
        <v>590.24</v>
      </c>
      <c r="H923" s="425">
        <v>24</v>
      </c>
      <c r="J923" s="289"/>
      <c r="K923" s="289"/>
      <c r="L923" s="291"/>
      <c r="M923" s="291"/>
      <c r="N923" s="300"/>
      <c r="O923" s="296"/>
      <c r="P923" s="294"/>
      <c r="Q923" s="294"/>
      <c r="R923" s="295"/>
      <c r="S923" s="302">
        <f t="shared" si="57"/>
        <v>0</v>
      </c>
      <c r="T923" s="302"/>
      <c r="U923" s="303"/>
      <c r="V923" s="305">
        <f t="shared" si="58"/>
        <v>590.24</v>
      </c>
      <c r="W923" s="305" t="str">
        <f t="shared" si="56"/>
        <v xml:space="preserve"> </v>
      </c>
      <c r="X923" s="288"/>
    </row>
    <row r="924" spans="1:24">
      <c r="A924" s="286">
        <v>124</v>
      </c>
      <c r="C924" s="286" t="s">
        <v>619</v>
      </c>
      <c r="D924" s="286" t="s">
        <v>654</v>
      </c>
      <c r="E924" s="286" t="s">
        <v>634</v>
      </c>
      <c r="F924" s="286">
        <v>27</v>
      </c>
      <c r="G924" s="425">
        <v>187.84</v>
      </c>
      <c r="H924" s="425">
        <v>8</v>
      </c>
      <c r="J924" s="289"/>
      <c r="K924" s="289"/>
      <c r="L924" s="291"/>
      <c r="M924" s="291"/>
      <c r="N924" s="300"/>
      <c r="O924" s="296"/>
      <c r="P924" s="294"/>
      <c r="Q924" s="294"/>
      <c r="R924" s="295"/>
      <c r="S924" s="302">
        <f t="shared" si="57"/>
        <v>0</v>
      </c>
      <c r="T924" s="302"/>
      <c r="U924" s="303"/>
      <c r="V924" s="305">
        <f t="shared" si="58"/>
        <v>0</v>
      </c>
      <c r="W924" s="305" t="str">
        <f t="shared" si="56"/>
        <v xml:space="preserve"> </v>
      </c>
      <c r="X924" s="288"/>
    </row>
    <row r="925" spans="1:24">
      <c r="A925" s="286">
        <v>124</v>
      </c>
      <c r="C925" s="286" t="s">
        <v>619</v>
      </c>
      <c r="D925" s="286" t="s">
        <v>654</v>
      </c>
      <c r="E925" s="286" t="s">
        <v>655</v>
      </c>
      <c r="F925" s="286">
        <v>27</v>
      </c>
      <c r="G925" s="425">
        <v>187.84</v>
      </c>
      <c r="H925" s="425">
        <v>4</v>
      </c>
      <c r="J925" s="289"/>
      <c r="K925" s="289"/>
      <c r="L925" s="291"/>
      <c r="M925" s="291"/>
      <c r="N925" s="300"/>
      <c r="O925" s="296"/>
      <c r="P925" s="294"/>
      <c r="Q925" s="294"/>
      <c r="R925" s="295"/>
      <c r="S925" s="302">
        <f t="shared" si="57"/>
        <v>0</v>
      </c>
      <c r="T925" s="302"/>
      <c r="U925" s="303"/>
      <c r="V925" s="305">
        <f t="shared" si="58"/>
        <v>0</v>
      </c>
      <c r="W925" s="305" t="str">
        <f t="shared" si="56"/>
        <v xml:space="preserve"> </v>
      </c>
      <c r="X925" s="288"/>
    </row>
    <row r="926" spans="1:24">
      <c r="A926" s="286">
        <v>124</v>
      </c>
      <c r="C926" s="286" t="s">
        <v>619</v>
      </c>
      <c r="D926" s="286" t="s">
        <v>654</v>
      </c>
      <c r="E926" s="286" t="s">
        <v>623</v>
      </c>
      <c r="F926" s="286">
        <v>27</v>
      </c>
      <c r="G926" s="425">
        <v>250</v>
      </c>
      <c r="H926" s="425">
        <v>0</v>
      </c>
      <c r="J926" s="289"/>
      <c r="K926" s="289"/>
      <c r="L926" s="291"/>
      <c r="M926" s="291"/>
      <c r="N926" s="300"/>
      <c r="O926" s="296"/>
      <c r="P926" s="294"/>
      <c r="Q926" s="294"/>
      <c r="R926" s="295"/>
      <c r="S926" s="302">
        <f t="shared" si="57"/>
        <v>0</v>
      </c>
      <c r="T926" s="302"/>
      <c r="U926" s="303"/>
      <c r="V926" s="305">
        <f t="shared" si="58"/>
        <v>250</v>
      </c>
      <c r="W926" s="305" t="str">
        <f t="shared" si="56"/>
        <v xml:space="preserve"> </v>
      </c>
      <c r="X926" s="288"/>
    </row>
    <row r="927" spans="1:24">
      <c r="A927" s="286">
        <v>124</v>
      </c>
      <c r="C927" s="286" t="s">
        <v>619</v>
      </c>
      <c r="D927" s="286" t="s">
        <v>654</v>
      </c>
      <c r="E927" s="286" t="s">
        <v>625</v>
      </c>
      <c r="F927" s="286">
        <v>27</v>
      </c>
      <c r="G927" s="425">
        <v>7000</v>
      </c>
      <c r="H927" s="425">
        <v>0</v>
      </c>
      <c r="J927" s="289"/>
      <c r="K927" s="289"/>
      <c r="L927" s="291"/>
      <c r="M927" s="291"/>
      <c r="N927" s="300"/>
      <c r="O927" s="296"/>
      <c r="P927" s="294"/>
      <c r="Q927" s="294"/>
      <c r="R927" s="295"/>
      <c r="S927" s="302">
        <f t="shared" si="57"/>
        <v>0</v>
      </c>
      <c r="T927" s="302"/>
      <c r="U927" s="303"/>
      <c r="V927" s="305">
        <f t="shared" si="58"/>
        <v>7000</v>
      </c>
      <c r="W927" s="305">
        <f t="shared" si="56"/>
        <v>1750</v>
      </c>
      <c r="X927" s="288"/>
    </row>
    <row r="928" spans="1:24">
      <c r="A928" s="286">
        <v>124</v>
      </c>
      <c r="C928" s="286" t="s">
        <v>619</v>
      </c>
      <c r="D928" s="286" t="s">
        <v>654</v>
      </c>
      <c r="E928" s="286" t="s">
        <v>629</v>
      </c>
      <c r="F928" s="286">
        <v>27</v>
      </c>
      <c r="G928" s="425">
        <v>2875</v>
      </c>
      <c r="H928" s="425">
        <v>0</v>
      </c>
      <c r="J928" s="289"/>
      <c r="K928" s="289"/>
      <c r="L928" s="291"/>
      <c r="M928" s="291"/>
      <c r="N928" s="300"/>
      <c r="O928" s="296"/>
      <c r="P928" s="294"/>
      <c r="Q928" s="294"/>
      <c r="R928" s="295"/>
      <c r="S928" s="302">
        <f t="shared" si="57"/>
        <v>0</v>
      </c>
      <c r="T928" s="302"/>
      <c r="U928" s="303"/>
      <c r="V928" s="305">
        <f t="shared" si="58"/>
        <v>2875</v>
      </c>
      <c r="W928" s="305" t="str">
        <f t="shared" si="56"/>
        <v xml:space="preserve"> </v>
      </c>
      <c r="X928" s="288"/>
    </row>
    <row r="929" spans="1:24">
      <c r="A929" s="286">
        <v>124</v>
      </c>
      <c r="C929" s="286" t="s">
        <v>619</v>
      </c>
      <c r="D929" s="286" t="s">
        <v>654</v>
      </c>
      <c r="E929" s="286" t="s">
        <v>632</v>
      </c>
      <c r="F929" s="286">
        <v>27</v>
      </c>
      <c r="G929" s="425">
        <v>10358.209999999999</v>
      </c>
      <c r="H929" s="425">
        <v>0</v>
      </c>
      <c r="J929" s="289"/>
      <c r="K929" s="289"/>
      <c r="L929" s="291"/>
      <c r="M929" s="291"/>
      <c r="N929" s="300"/>
      <c r="O929" s="296"/>
      <c r="P929" s="294"/>
      <c r="Q929" s="294"/>
      <c r="R929" s="295"/>
      <c r="S929" s="302">
        <f t="shared" si="57"/>
        <v>0</v>
      </c>
      <c r="T929" s="302"/>
      <c r="U929" s="303"/>
      <c r="V929" s="305">
        <f t="shared" si="58"/>
        <v>10358.209999999999</v>
      </c>
      <c r="W929" s="305">
        <f t="shared" si="56"/>
        <v>-10358.209999999999</v>
      </c>
      <c r="X929" s="288"/>
    </row>
    <row r="930" spans="1:24">
      <c r="A930" s="286">
        <v>125</v>
      </c>
      <c r="C930" s="286" t="s">
        <v>597</v>
      </c>
      <c r="D930" s="286"/>
      <c r="E930" s="286" t="s">
        <v>598</v>
      </c>
      <c r="F930" s="286">
        <f>IF(VLOOKUP(A930,'WP-5 Payroll Data'!$K$11:$O$151,3,FALSE)&gt;26,26,VLOOKUP(A930,'WP-5 Payroll Data'!$K$11:$O$151,3,FALSE))</f>
        <v>26</v>
      </c>
      <c r="G930" s="425">
        <v>8059.5099999999984</v>
      </c>
      <c r="H930" s="425">
        <v>247.73999999999995</v>
      </c>
      <c r="J930" s="289">
        <f>VLOOKUP(A930,'WP-5 Payroll Data'!$K$11:$O$151,4,FALSE)</f>
        <v>8457.39</v>
      </c>
      <c r="K930" s="289">
        <f>VLOOKUP(A930,'WP-5 Payroll Data'!$K$11:$O$151,5,FALSE)</f>
        <v>260.13999999999993</v>
      </c>
      <c r="L930" s="289">
        <f>J930/K930</f>
        <v>32.510917198431621</v>
      </c>
      <c r="M930" s="289"/>
      <c r="N930" s="300">
        <f>IF((K930/F930)*26&gt;1500,2080,IF((K930/F930)*26&gt;300,520,IF((K930/F930)*26&gt;100,260,K930)))</f>
        <v>260</v>
      </c>
      <c r="O930" s="296">
        <f>N930*L930</f>
        <v>8452.838471592222</v>
      </c>
      <c r="P930" s="294"/>
      <c r="Q930" s="294">
        <f>O930*0.03</f>
        <v>253.58515414776664</v>
      </c>
      <c r="R930" s="295"/>
      <c r="S930" s="302">
        <f t="shared" si="57"/>
        <v>0</v>
      </c>
      <c r="T930" s="302"/>
      <c r="U930" s="303"/>
      <c r="V930" s="305">
        <f t="shared" si="58"/>
        <v>0</v>
      </c>
      <c r="W930" s="305" t="str">
        <f t="shared" si="56"/>
        <v xml:space="preserve"> </v>
      </c>
      <c r="X930" s="288"/>
    </row>
    <row r="931" spans="1:24">
      <c r="A931" s="286">
        <v>125</v>
      </c>
      <c r="C931" s="286" t="s">
        <v>597</v>
      </c>
      <c r="D931" s="286"/>
      <c r="E931" s="286" t="s">
        <v>605</v>
      </c>
      <c r="F931" s="286">
        <v>26</v>
      </c>
      <c r="G931" s="425">
        <v>146.12</v>
      </c>
      <c r="H931" s="425">
        <v>4.57</v>
      </c>
      <c r="J931" s="289"/>
      <c r="K931" s="289"/>
      <c r="L931" s="291"/>
      <c r="M931" s="291"/>
      <c r="N931" s="300"/>
      <c r="O931" s="296"/>
      <c r="P931" s="294"/>
      <c r="Q931" s="294"/>
      <c r="R931" s="295"/>
      <c r="S931" s="302">
        <f t="shared" si="57"/>
        <v>0</v>
      </c>
      <c r="T931" s="302"/>
      <c r="U931" s="303"/>
      <c r="V931" s="305">
        <f t="shared" si="58"/>
        <v>0</v>
      </c>
      <c r="W931" s="305" t="str">
        <f t="shared" si="56"/>
        <v xml:space="preserve"> </v>
      </c>
      <c r="X931" s="288"/>
    </row>
    <row r="932" spans="1:24">
      <c r="A932" s="286">
        <v>125</v>
      </c>
      <c r="C932" s="286" t="s">
        <v>597</v>
      </c>
      <c r="D932" s="286"/>
      <c r="E932" s="286" t="s">
        <v>608</v>
      </c>
      <c r="F932" s="286">
        <v>26</v>
      </c>
      <c r="G932" s="425">
        <v>178.48999999999998</v>
      </c>
      <c r="H932" s="425">
        <v>5.52</v>
      </c>
      <c r="J932" s="289"/>
      <c r="K932" s="289"/>
      <c r="L932" s="291"/>
      <c r="M932" s="291"/>
      <c r="N932" s="300"/>
      <c r="O932" s="296"/>
      <c r="P932" s="294"/>
      <c r="Q932" s="294"/>
      <c r="R932" s="295"/>
      <c r="S932" s="302">
        <f t="shared" si="57"/>
        <v>0</v>
      </c>
      <c r="T932" s="302"/>
      <c r="U932" s="303"/>
      <c r="V932" s="305">
        <f t="shared" si="58"/>
        <v>0</v>
      </c>
      <c r="W932" s="305" t="str">
        <f t="shared" si="56"/>
        <v xml:space="preserve"> </v>
      </c>
      <c r="X932" s="288"/>
    </row>
    <row r="933" spans="1:24">
      <c r="A933" s="286">
        <v>125</v>
      </c>
      <c r="C933" s="286" t="s">
        <v>597</v>
      </c>
      <c r="D933" s="286"/>
      <c r="E933" s="286" t="s">
        <v>610</v>
      </c>
      <c r="F933" s="286">
        <v>26</v>
      </c>
      <c r="G933" s="425">
        <v>73.27</v>
      </c>
      <c r="H933" s="425">
        <v>2.3099999999999996</v>
      </c>
      <c r="J933" s="289"/>
      <c r="K933" s="289"/>
      <c r="L933" s="291"/>
      <c r="M933" s="291"/>
      <c r="N933" s="300"/>
      <c r="O933" s="296"/>
      <c r="P933" s="294"/>
      <c r="Q933" s="294"/>
      <c r="R933" s="295"/>
      <c r="S933" s="302">
        <f t="shared" si="57"/>
        <v>0</v>
      </c>
      <c r="T933" s="302"/>
      <c r="U933" s="303"/>
      <c r="V933" s="305">
        <f t="shared" si="58"/>
        <v>0</v>
      </c>
      <c r="W933" s="305" t="str">
        <f t="shared" si="56"/>
        <v xml:space="preserve"> </v>
      </c>
      <c r="X933" s="288"/>
    </row>
    <row r="934" spans="1:24">
      <c r="A934" s="286">
        <v>125</v>
      </c>
      <c r="C934" s="286" t="s">
        <v>597</v>
      </c>
      <c r="D934" s="286"/>
      <c r="E934" s="286" t="s">
        <v>624</v>
      </c>
      <c r="F934" s="286">
        <v>26</v>
      </c>
      <c r="G934" s="425">
        <v>337.5</v>
      </c>
      <c r="H934" s="425">
        <v>0</v>
      </c>
      <c r="J934" s="289"/>
      <c r="K934" s="289"/>
      <c r="L934" s="291"/>
      <c r="M934" s="291"/>
      <c r="N934" s="300"/>
      <c r="O934" s="296"/>
      <c r="P934" s="294"/>
      <c r="Q934" s="294"/>
      <c r="R934" s="295"/>
      <c r="S934" s="302">
        <f t="shared" si="57"/>
        <v>0</v>
      </c>
      <c r="T934" s="302"/>
      <c r="U934" s="303"/>
      <c r="V934" s="305">
        <f t="shared" si="58"/>
        <v>337.5</v>
      </c>
      <c r="W934" s="305">
        <f t="shared" si="56"/>
        <v>84.375</v>
      </c>
      <c r="X934" s="288"/>
    </row>
    <row r="935" spans="1:24">
      <c r="A935" s="286">
        <v>126</v>
      </c>
      <c r="C935" s="286" t="s">
        <v>597</v>
      </c>
      <c r="D935" s="286"/>
      <c r="E935" s="286" t="s">
        <v>598</v>
      </c>
      <c r="F935" s="286">
        <f>IF(VLOOKUP(A935,'WP-5 Payroll Data'!$K$11:$O$151,3,FALSE)&gt;26,26,VLOOKUP(A935,'WP-5 Payroll Data'!$K$11:$O$151,3,FALSE))</f>
        <v>26</v>
      </c>
      <c r="G935" s="425">
        <v>5646.880000000001</v>
      </c>
      <c r="H935" s="425">
        <v>246.32999999999998</v>
      </c>
      <c r="J935" s="289">
        <f>VLOOKUP(A935,'WP-5 Payroll Data'!$K$11:$O$151,4,FALSE)</f>
        <v>5961.0300000000007</v>
      </c>
      <c r="K935" s="289">
        <f>VLOOKUP(A935,'WP-5 Payroll Data'!$K$11:$O$151,5,FALSE)</f>
        <v>260.02999999999997</v>
      </c>
      <c r="L935" s="289">
        <f>J935/K935</f>
        <v>22.924393339230093</v>
      </c>
      <c r="M935" s="289"/>
      <c r="N935" s="300">
        <f>IF((K935/F935)*26&gt;1500,2080,IF((K935/F935)*26&gt;300,520,IF((K935/F935)*26&gt;100,260,K935)))</f>
        <v>260</v>
      </c>
      <c r="O935" s="296">
        <f>N935*L935</f>
        <v>5960.3422681998245</v>
      </c>
      <c r="P935" s="294"/>
      <c r="Q935" s="294">
        <f>O935*0.03</f>
        <v>178.81026804599472</v>
      </c>
      <c r="R935" s="295"/>
      <c r="S935" s="302">
        <f t="shared" si="57"/>
        <v>0</v>
      </c>
      <c r="T935" s="302"/>
      <c r="U935" s="303"/>
      <c r="V935" s="305">
        <f t="shared" si="58"/>
        <v>0</v>
      </c>
      <c r="W935" s="305" t="str">
        <f t="shared" si="56"/>
        <v xml:space="preserve"> </v>
      </c>
      <c r="X935" s="288"/>
    </row>
    <row r="936" spans="1:24">
      <c r="A936" s="286">
        <v>126</v>
      </c>
      <c r="C936" s="286" t="s">
        <v>597</v>
      </c>
      <c r="D936" s="286"/>
      <c r="E936" s="286" t="s">
        <v>605</v>
      </c>
      <c r="F936" s="286">
        <v>26</v>
      </c>
      <c r="G936" s="425">
        <v>208.36</v>
      </c>
      <c r="H936" s="425">
        <v>9.0700000000000021</v>
      </c>
      <c r="J936" s="289"/>
      <c r="K936" s="289"/>
      <c r="L936" s="291"/>
      <c r="M936" s="291"/>
      <c r="N936" s="300"/>
      <c r="O936" s="296"/>
      <c r="P936" s="294"/>
      <c r="Q936" s="294"/>
      <c r="R936" s="295"/>
      <c r="S936" s="302">
        <f t="shared" si="57"/>
        <v>0</v>
      </c>
      <c r="T936" s="302"/>
      <c r="U936" s="303"/>
      <c r="V936" s="305">
        <f t="shared" si="58"/>
        <v>0</v>
      </c>
      <c r="W936" s="305" t="str">
        <f t="shared" si="56"/>
        <v xml:space="preserve"> </v>
      </c>
      <c r="X936" s="288"/>
    </row>
    <row r="937" spans="1:24">
      <c r="A937" s="286">
        <v>126</v>
      </c>
      <c r="C937" s="286" t="s">
        <v>597</v>
      </c>
      <c r="D937" s="286"/>
      <c r="E937" s="286" t="s">
        <v>608</v>
      </c>
      <c r="F937" s="286">
        <v>26</v>
      </c>
      <c r="G937" s="425">
        <v>31.7</v>
      </c>
      <c r="H937" s="425">
        <v>1.38</v>
      </c>
      <c r="J937" s="289"/>
      <c r="K937" s="289"/>
      <c r="L937" s="291"/>
      <c r="M937" s="291"/>
      <c r="N937" s="300"/>
      <c r="O937" s="296"/>
      <c r="P937" s="294"/>
      <c r="Q937" s="294"/>
      <c r="R937" s="295"/>
      <c r="S937" s="302">
        <f t="shared" si="57"/>
        <v>0</v>
      </c>
      <c r="T937" s="302"/>
      <c r="U937" s="303"/>
      <c r="V937" s="305">
        <f t="shared" si="58"/>
        <v>0</v>
      </c>
      <c r="W937" s="305" t="str">
        <f t="shared" si="56"/>
        <v xml:space="preserve"> </v>
      </c>
      <c r="X937" s="288"/>
    </row>
    <row r="938" spans="1:24">
      <c r="A938" s="286">
        <v>126</v>
      </c>
      <c r="C938" s="286" t="s">
        <v>597</v>
      </c>
      <c r="D938" s="286"/>
      <c r="E938" s="286" t="s">
        <v>610</v>
      </c>
      <c r="F938" s="286">
        <v>26</v>
      </c>
      <c r="G938" s="425">
        <v>71.37</v>
      </c>
      <c r="H938" s="425">
        <v>3.25</v>
      </c>
      <c r="J938" s="289"/>
      <c r="K938" s="289"/>
      <c r="L938" s="291"/>
      <c r="M938" s="291"/>
      <c r="N938" s="300"/>
      <c r="O938" s="296"/>
      <c r="P938" s="294"/>
      <c r="Q938" s="294"/>
      <c r="R938" s="295"/>
      <c r="S938" s="302">
        <f t="shared" si="57"/>
        <v>0</v>
      </c>
      <c r="T938" s="302"/>
      <c r="U938" s="303"/>
      <c r="V938" s="305">
        <f t="shared" si="58"/>
        <v>0</v>
      </c>
      <c r="W938" s="305" t="str">
        <f t="shared" si="56"/>
        <v xml:space="preserve"> </v>
      </c>
      <c r="X938" s="288"/>
    </row>
    <row r="939" spans="1:24">
      <c r="A939" s="286">
        <v>126</v>
      </c>
      <c r="C939" s="286" t="s">
        <v>597</v>
      </c>
      <c r="D939" s="286"/>
      <c r="E939" s="286" t="s">
        <v>624</v>
      </c>
      <c r="F939" s="286">
        <v>26</v>
      </c>
      <c r="G939" s="425">
        <v>12.5</v>
      </c>
      <c r="H939" s="425">
        <v>0</v>
      </c>
      <c r="J939" s="289"/>
      <c r="K939" s="289"/>
      <c r="L939" s="291"/>
      <c r="M939" s="291"/>
      <c r="N939" s="300"/>
      <c r="O939" s="296"/>
      <c r="P939" s="294"/>
      <c r="Q939" s="294"/>
      <c r="R939" s="295"/>
      <c r="S939" s="302">
        <f t="shared" si="57"/>
        <v>0</v>
      </c>
      <c r="T939" s="302"/>
      <c r="U939" s="303"/>
      <c r="V939" s="305">
        <f t="shared" si="58"/>
        <v>12.5</v>
      </c>
      <c r="W939" s="305">
        <f t="shared" si="56"/>
        <v>3.125</v>
      </c>
      <c r="X939" s="288"/>
    </row>
    <row r="940" spans="1:24">
      <c r="A940" s="286">
        <v>126</v>
      </c>
      <c r="C940" s="286" t="s">
        <v>597</v>
      </c>
      <c r="D940" s="286"/>
      <c r="E940" s="286" t="s">
        <v>636</v>
      </c>
      <c r="F940" s="286">
        <v>26</v>
      </c>
      <c r="G940" s="425">
        <v>2.72</v>
      </c>
      <c r="H940" s="425">
        <v>0</v>
      </c>
      <c r="J940" s="289"/>
      <c r="K940" s="289"/>
      <c r="L940" s="291"/>
      <c r="M940" s="291"/>
      <c r="N940" s="300"/>
      <c r="O940" s="296"/>
      <c r="P940" s="294"/>
      <c r="Q940" s="294"/>
      <c r="R940" s="295"/>
      <c r="S940" s="302">
        <f t="shared" si="57"/>
        <v>0</v>
      </c>
      <c r="T940" s="302"/>
      <c r="U940" s="303"/>
      <c r="V940" s="305">
        <f t="shared" si="58"/>
        <v>0</v>
      </c>
      <c r="W940" s="305" t="str">
        <f t="shared" si="56"/>
        <v xml:space="preserve"> </v>
      </c>
      <c r="X940" s="288"/>
    </row>
    <row r="941" spans="1:24">
      <c r="A941" s="286">
        <v>126</v>
      </c>
      <c r="C941" s="286" t="s">
        <v>597</v>
      </c>
      <c r="D941" s="286"/>
      <c r="E941" s="286" t="s">
        <v>632</v>
      </c>
      <c r="F941" s="286">
        <v>26</v>
      </c>
      <c r="G941" s="425">
        <v>34.99</v>
      </c>
      <c r="H941" s="425">
        <v>0</v>
      </c>
      <c r="J941" s="289"/>
      <c r="K941" s="289"/>
      <c r="L941" s="291"/>
      <c r="M941" s="291"/>
      <c r="N941" s="300"/>
      <c r="O941" s="296"/>
      <c r="P941" s="294"/>
      <c r="Q941" s="294"/>
      <c r="R941" s="295"/>
      <c r="S941" s="302">
        <f t="shared" si="57"/>
        <v>0</v>
      </c>
      <c r="T941" s="302"/>
      <c r="U941" s="303"/>
      <c r="V941" s="305">
        <f t="shared" si="58"/>
        <v>34.99</v>
      </c>
      <c r="W941" s="305">
        <f t="shared" si="56"/>
        <v>-34.99</v>
      </c>
      <c r="X941" s="288"/>
    </row>
    <row r="942" spans="1:24">
      <c r="A942" s="286">
        <v>127</v>
      </c>
      <c r="C942" s="286" t="s">
        <v>644</v>
      </c>
      <c r="D942" s="286"/>
      <c r="E942" s="286" t="s">
        <v>598</v>
      </c>
      <c r="F942" s="286">
        <f>IF(VLOOKUP(A942,'WP-5 Payroll Data'!$K$11:$O$151,3,FALSE)&gt;26,26,VLOOKUP(A942,'WP-5 Payroll Data'!$K$11:$O$151,3,FALSE))</f>
        <v>26</v>
      </c>
      <c r="G942" s="425">
        <v>9835.4000000000015</v>
      </c>
      <c r="H942" s="425">
        <v>446.09</v>
      </c>
      <c r="J942" s="289">
        <f>VLOOKUP(A942,'WP-5 Payroll Data'!$K$11:$O$151,4,FALSE)</f>
        <v>11327.890000000001</v>
      </c>
      <c r="K942" s="289">
        <f>VLOOKUP(A942,'WP-5 Payroll Data'!$K$11:$O$151,5,FALSE)</f>
        <v>514.05999999999995</v>
      </c>
      <c r="L942" s="289">
        <f>J942/K942</f>
        <v>22.036124187837999</v>
      </c>
      <c r="M942" s="289"/>
      <c r="N942" s="300">
        <f>IF((K942/F942)*26&gt;1500,2080,IF((K942/F942)*26&gt;300,520,IF((K942/F942)*26&gt;100,260,K942)))</f>
        <v>520</v>
      </c>
      <c r="O942" s="296">
        <f>N942*L942</f>
        <v>11458.784577675759</v>
      </c>
      <c r="P942" s="294"/>
      <c r="Q942" s="294">
        <f>O942*0.03</f>
        <v>343.76353733027275</v>
      </c>
      <c r="R942" s="295"/>
      <c r="S942" s="302">
        <f t="shared" si="57"/>
        <v>0</v>
      </c>
      <c r="T942" s="302"/>
      <c r="U942" s="303"/>
      <c r="V942" s="305">
        <f t="shared" si="58"/>
        <v>0</v>
      </c>
      <c r="W942" s="305" t="str">
        <f t="shared" si="56"/>
        <v xml:space="preserve"> </v>
      </c>
      <c r="X942" s="288"/>
    </row>
    <row r="943" spans="1:24">
      <c r="A943" s="286">
        <v>127</v>
      </c>
      <c r="C943" s="286" t="s">
        <v>644</v>
      </c>
      <c r="D943" s="286"/>
      <c r="E943" s="286" t="s">
        <v>599</v>
      </c>
      <c r="F943" s="286">
        <v>26</v>
      </c>
      <c r="G943" s="425">
        <v>1036.4399999999998</v>
      </c>
      <c r="H943" s="425">
        <v>31.379999999999992</v>
      </c>
      <c r="J943" s="289"/>
      <c r="K943" s="289"/>
      <c r="L943" s="291"/>
      <c r="M943" s="291"/>
      <c r="N943" s="300"/>
      <c r="O943" s="296"/>
      <c r="P943" s="294"/>
      <c r="Q943" s="294"/>
      <c r="R943" s="295"/>
      <c r="S943" s="302">
        <f t="shared" si="57"/>
        <v>1036.4399999999998</v>
      </c>
      <c r="T943" s="302">
        <f t="shared" si="59"/>
        <v>31.093199999999992</v>
      </c>
      <c r="U943" s="303"/>
      <c r="V943" s="305">
        <f t="shared" si="58"/>
        <v>0</v>
      </c>
      <c r="W943" s="305" t="str">
        <f t="shared" si="56"/>
        <v xml:space="preserve"> </v>
      </c>
      <c r="X943" s="288"/>
    </row>
    <row r="944" spans="1:24">
      <c r="A944" s="286">
        <v>127</v>
      </c>
      <c r="C944" s="286" t="s">
        <v>644</v>
      </c>
      <c r="D944" s="286"/>
      <c r="E944" s="286" t="s">
        <v>605</v>
      </c>
      <c r="F944" s="286">
        <v>26</v>
      </c>
      <c r="G944" s="425">
        <v>1055.24</v>
      </c>
      <c r="H944" s="425">
        <v>48</v>
      </c>
      <c r="J944" s="289"/>
      <c r="K944" s="289"/>
      <c r="L944" s="291"/>
      <c r="M944" s="291"/>
      <c r="N944" s="300"/>
      <c r="O944" s="296"/>
      <c r="P944" s="294"/>
      <c r="Q944" s="294"/>
      <c r="R944" s="295"/>
      <c r="S944" s="302">
        <f t="shared" si="57"/>
        <v>0</v>
      </c>
      <c r="T944" s="302"/>
      <c r="U944" s="303"/>
      <c r="V944" s="305">
        <f t="shared" si="58"/>
        <v>0</v>
      </c>
      <c r="W944" s="305" t="str">
        <f t="shared" si="56"/>
        <v xml:space="preserve"> </v>
      </c>
      <c r="X944" s="288"/>
    </row>
    <row r="945" spans="1:24">
      <c r="A945" s="286">
        <v>127</v>
      </c>
      <c r="C945" s="286" t="s">
        <v>644</v>
      </c>
      <c r="D945" s="286"/>
      <c r="E945" s="286" t="s">
        <v>608</v>
      </c>
      <c r="F945" s="286">
        <v>26</v>
      </c>
      <c r="G945" s="425">
        <v>262.02</v>
      </c>
      <c r="H945" s="425">
        <v>11.97</v>
      </c>
      <c r="J945" s="289"/>
      <c r="K945" s="289"/>
      <c r="L945" s="291"/>
      <c r="M945" s="291"/>
      <c r="N945" s="300"/>
      <c r="O945" s="296"/>
      <c r="P945" s="294"/>
      <c r="Q945" s="294"/>
      <c r="R945" s="295"/>
      <c r="S945" s="302">
        <f t="shared" si="57"/>
        <v>0</v>
      </c>
      <c r="T945" s="302"/>
      <c r="U945" s="303"/>
      <c r="V945" s="305">
        <f t="shared" si="58"/>
        <v>0</v>
      </c>
      <c r="W945" s="305" t="str">
        <f t="shared" si="56"/>
        <v xml:space="preserve"> </v>
      </c>
      <c r="X945" s="288"/>
    </row>
    <row r="946" spans="1:24">
      <c r="A946" s="286">
        <v>127</v>
      </c>
      <c r="C946" s="286" t="s">
        <v>644</v>
      </c>
      <c r="D946" s="286"/>
      <c r="E946" s="286" t="s">
        <v>602</v>
      </c>
      <c r="F946" s="286">
        <v>26</v>
      </c>
      <c r="G946" s="425">
        <v>132.39000000000001</v>
      </c>
      <c r="H946" s="425">
        <v>6</v>
      </c>
      <c r="J946" s="289"/>
      <c r="K946" s="289"/>
      <c r="L946" s="291"/>
      <c r="M946" s="291"/>
      <c r="N946" s="300"/>
      <c r="O946" s="296"/>
      <c r="P946" s="294"/>
      <c r="Q946" s="294"/>
      <c r="R946" s="295"/>
      <c r="S946" s="302">
        <f t="shared" si="57"/>
        <v>0</v>
      </c>
      <c r="T946" s="302"/>
      <c r="U946" s="303"/>
      <c r="V946" s="305">
        <f t="shared" si="58"/>
        <v>132.39000000000001</v>
      </c>
      <c r="W946" s="305" t="str">
        <f t="shared" si="56"/>
        <v xml:space="preserve"> </v>
      </c>
      <c r="X946" s="288"/>
    </row>
    <row r="947" spans="1:24">
      <c r="A947" s="286">
        <v>127</v>
      </c>
      <c r="C947" s="286" t="s">
        <v>644</v>
      </c>
      <c r="D947" s="286"/>
      <c r="E947" s="286" t="s">
        <v>610</v>
      </c>
      <c r="F947" s="286">
        <v>26</v>
      </c>
      <c r="G947" s="425">
        <v>175.23000000000002</v>
      </c>
      <c r="H947" s="425">
        <v>8</v>
      </c>
      <c r="J947" s="289"/>
      <c r="K947" s="289"/>
      <c r="L947" s="291"/>
      <c r="M947" s="291"/>
      <c r="N947" s="300"/>
      <c r="O947" s="296"/>
      <c r="P947" s="294"/>
      <c r="Q947" s="294"/>
      <c r="R947" s="295"/>
      <c r="S947" s="302">
        <f t="shared" si="57"/>
        <v>0</v>
      </c>
      <c r="T947" s="302"/>
      <c r="U947" s="303"/>
      <c r="V947" s="305">
        <f t="shared" si="58"/>
        <v>0</v>
      </c>
      <c r="W947" s="305" t="str">
        <f t="shared" si="56"/>
        <v xml:space="preserve"> </v>
      </c>
      <c r="X947" s="288"/>
    </row>
    <row r="948" spans="1:24">
      <c r="A948" s="286">
        <v>127</v>
      </c>
      <c r="C948" s="286" t="s">
        <v>644</v>
      </c>
      <c r="D948" s="286"/>
      <c r="E948" s="286" t="s">
        <v>612</v>
      </c>
      <c r="F948" s="286">
        <v>26</v>
      </c>
      <c r="G948" s="425">
        <v>50</v>
      </c>
      <c r="H948" s="425">
        <v>0</v>
      </c>
      <c r="J948" s="289"/>
      <c r="K948" s="289"/>
      <c r="L948" s="291"/>
      <c r="M948" s="291"/>
      <c r="N948" s="300"/>
      <c r="O948" s="296"/>
      <c r="P948" s="294"/>
      <c r="Q948" s="294"/>
      <c r="R948" s="295"/>
      <c r="S948" s="302">
        <f t="shared" si="57"/>
        <v>0</v>
      </c>
      <c r="T948" s="302"/>
      <c r="U948" s="303"/>
      <c r="V948" s="305">
        <f t="shared" si="58"/>
        <v>50</v>
      </c>
      <c r="W948" s="305" t="str">
        <f t="shared" si="56"/>
        <v xml:space="preserve"> </v>
      </c>
      <c r="X948" s="288"/>
    </row>
    <row r="949" spans="1:24">
      <c r="A949" s="286">
        <v>127</v>
      </c>
      <c r="C949" s="286" t="s">
        <v>644</v>
      </c>
      <c r="D949" s="286"/>
      <c r="E949" s="286" t="s">
        <v>614</v>
      </c>
      <c r="F949" s="286">
        <v>26</v>
      </c>
      <c r="G949" s="425">
        <v>62.5</v>
      </c>
      <c r="H949" s="425">
        <v>0</v>
      </c>
      <c r="J949" s="289"/>
      <c r="K949" s="289"/>
      <c r="L949" s="291"/>
      <c r="M949" s="291"/>
      <c r="N949" s="300"/>
      <c r="O949" s="296"/>
      <c r="P949" s="294"/>
      <c r="Q949" s="294"/>
      <c r="R949" s="295"/>
      <c r="S949" s="302">
        <f t="shared" si="57"/>
        <v>0</v>
      </c>
      <c r="T949" s="302"/>
      <c r="U949" s="303"/>
      <c r="V949" s="305">
        <f t="shared" si="58"/>
        <v>62.5</v>
      </c>
      <c r="W949" s="305" t="str">
        <f t="shared" si="56"/>
        <v xml:space="preserve"> </v>
      </c>
      <c r="X949" s="288"/>
    </row>
    <row r="950" spans="1:24">
      <c r="A950" s="286">
        <v>127</v>
      </c>
      <c r="C950" s="286" t="s">
        <v>644</v>
      </c>
      <c r="D950" s="286"/>
      <c r="E950" s="286" t="s">
        <v>616</v>
      </c>
      <c r="F950" s="286">
        <v>26</v>
      </c>
      <c r="G950" s="425">
        <v>1100</v>
      </c>
      <c r="H950" s="425">
        <v>0</v>
      </c>
      <c r="J950" s="289"/>
      <c r="K950" s="289"/>
      <c r="L950" s="291"/>
      <c r="M950" s="291"/>
      <c r="N950" s="300"/>
      <c r="O950" s="296"/>
      <c r="P950" s="294"/>
      <c r="Q950" s="294"/>
      <c r="R950" s="295"/>
      <c r="S950" s="302">
        <f t="shared" si="57"/>
        <v>0</v>
      </c>
      <c r="T950" s="302"/>
      <c r="U950" s="303"/>
      <c r="V950" s="305">
        <f t="shared" si="58"/>
        <v>1100</v>
      </c>
      <c r="W950" s="305">
        <f t="shared" si="56"/>
        <v>275</v>
      </c>
      <c r="X950" s="288"/>
    </row>
    <row r="951" spans="1:24">
      <c r="A951" s="286">
        <v>128</v>
      </c>
      <c r="C951" s="286" t="s">
        <v>619</v>
      </c>
      <c r="D951" s="286" t="s">
        <v>620</v>
      </c>
      <c r="E951" s="286" t="s">
        <v>621</v>
      </c>
      <c r="F951" s="286">
        <f>IF(VLOOKUP(A951,'WP-5 Payroll Data'!$K$11:$O$151,3,FALSE)&gt;26,26,VLOOKUP(A951,'WP-5 Payroll Data'!$K$11:$O$151,3,FALSE))</f>
        <v>26</v>
      </c>
      <c r="G951" s="425">
        <v>37361.87999999999</v>
      </c>
      <c r="H951" s="425">
        <v>1577.8</v>
      </c>
      <c r="J951" s="289">
        <f>VLOOKUP(A951,'WP-5 Payroll Data'!$K$11:$O$151,4,FALSE)</f>
        <v>49153.739999999991</v>
      </c>
      <c r="K951" s="289">
        <f>VLOOKUP(A951,'WP-5 Payroll Data'!$K$11:$O$151,5,FALSE)</f>
        <v>2074.3000000000002</v>
      </c>
      <c r="L951" s="289">
        <f>J951/K951</f>
        <v>23.696543412235446</v>
      </c>
      <c r="M951" s="289"/>
      <c r="N951" s="300">
        <f>IF((K951/F951)*26&gt;1500,2080,IF((K951/F951)*26&gt;300,520,IF((K951/F951)*26&gt;100,260,K951)))</f>
        <v>2080</v>
      </c>
      <c r="O951" s="296">
        <f>N951*L951</f>
        <v>49288.810297449731</v>
      </c>
      <c r="P951" s="294"/>
      <c r="Q951" s="294">
        <f>O951*0.03</f>
        <v>1478.6643089234919</v>
      </c>
      <c r="R951" s="295"/>
      <c r="S951" s="302">
        <f t="shared" si="57"/>
        <v>0</v>
      </c>
      <c r="T951" s="302"/>
      <c r="U951" s="303"/>
      <c r="V951" s="305">
        <f t="shared" si="58"/>
        <v>0</v>
      </c>
      <c r="W951" s="305" t="str">
        <f t="shared" si="56"/>
        <v xml:space="preserve"> </v>
      </c>
      <c r="X951" s="288"/>
    </row>
    <row r="952" spans="1:24">
      <c r="A952" s="286">
        <v>128</v>
      </c>
      <c r="C952" s="286" t="s">
        <v>619</v>
      </c>
      <c r="D952" s="286" t="s">
        <v>620</v>
      </c>
      <c r="E952" s="286" t="s">
        <v>599</v>
      </c>
      <c r="F952" s="286">
        <v>27</v>
      </c>
      <c r="G952" s="425">
        <v>1203.55</v>
      </c>
      <c r="H952" s="425">
        <v>34.6</v>
      </c>
      <c r="J952" s="289"/>
      <c r="K952" s="289"/>
      <c r="L952" s="291"/>
      <c r="M952" s="291"/>
      <c r="N952" s="300"/>
      <c r="O952" s="296"/>
      <c r="P952" s="294"/>
      <c r="Q952" s="294"/>
      <c r="R952" s="295"/>
      <c r="S952" s="302">
        <f t="shared" si="57"/>
        <v>1203.55</v>
      </c>
      <c r="T952" s="302">
        <f t="shared" si="59"/>
        <v>36.106499999999997</v>
      </c>
      <c r="U952" s="303"/>
      <c r="V952" s="305">
        <f t="shared" si="58"/>
        <v>0</v>
      </c>
      <c r="W952" s="305" t="str">
        <f t="shared" si="56"/>
        <v xml:space="preserve"> </v>
      </c>
      <c r="X952" s="288"/>
    </row>
    <row r="953" spans="1:24">
      <c r="A953" s="286">
        <v>128</v>
      </c>
      <c r="C953" s="286" t="s">
        <v>619</v>
      </c>
      <c r="D953" s="286" t="s">
        <v>620</v>
      </c>
      <c r="E953" s="286" t="s">
        <v>601</v>
      </c>
      <c r="F953" s="286">
        <v>27</v>
      </c>
      <c r="G953" s="425">
        <v>2810.5200000000004</v>
      </c>
      <c r="H953" s="425">
        <v>60</v>
      </c>
      <c r="J953" s="289"/>
      <c r="K953" s="289"/>
      <c r="L953" s="291"/>
      <c r="M953" s="291"/>
      <c r="N953" s="300"/>
      <c r="O953" s="296"/>
      <c r="P953" s="294"/>
      <c r="Q953" s="294"/>
      <c r="R953" s="295"/>
      <c r="S953" s="302">
        <f t="shared" si="57"/>
        <v>2810.5200000000004</v>
      </c>
      <c r="T953" s="302">
        <f t="shared" si="59"/>
        <v>84.315600000000003</v>
      </c>
      <c r="U953" s="303"/>
      <c r="V953" s="305">
        <f t="shared" si="58"/>
        <v>0</v>
      </c>
      <c r="W953" s="305" t="str">
        <f t="shared" si="56"/>
        <v xml:space="preserve"> </v>
      </c>
      <c r="X953" s="288"/>
    </row>
    <row r="954" spans="1:24">
      <c r="A954" s="286">
        <v>128</v>
      </c>
      <c r="C954" s="286" t="s">
        <v>619</v>
      </c>
      <c r="D954" s="286" t="s">
        <v>620</v>
      </c>
      <c r="E954" s="286" t="s">
        <v>627</v>
      </c>
      <c r="F954" s="286">
        <v>27</v>
      </c>
      <c r="G954" s="425">
        <v>1758.1799999999998</v>
      </c>
      <c r="H954" s="425">
        <v>74.5</v>
      </c>
      <c r="J954" s="289"/>
      <c r="K954" s="289"/>
      <c r="L954" s="291"/>
      <c r="M954" s="291"/>
      <c r="N954" s="300"/>
      <c r="O954" s="296"/>
      <c r="P954" s="294"/>
      <c r="Q954" s="294"/>
      <c r="R954" s="295"/>
      <c r="S954" s="302">
        <f t="shared" si="57"/>
        <v>0</v>
      </c>
      <c r="T954" s="302"/>
      <c r="U954" s="303"/>
      <c r="V954" s="305">
        <f t="shared" si="58"/>
        <v>0</v>
      </c>
      <c r="W954" s="305" t="str">
        <f t="shared" si="56"/>
        <v xml:space="preserve"> </v>
      </c>
      <c r="X954" s="288"/>
    </row>
    <row r="955" spans="1:24">
      <c r="A955" s="286">
        <v>128</v>
      </c>
      <c r="C955" s="286" t="s">
        <v>619</v>
      </c>
      <c r="D955" s="286" t="s">
        <v>620</v>
      </c>
      <c r="E955" s="286" t="s">
        <v>630</v>
      </c>
      <c r="F955" s="286">
        <v>27</v>
      </c>
      <c r="G955" s="425">
        <v>4958.6400000000003</v>
      </c>
      <c r="H955" s="425">
        <v>206</v>
      </c>
      <c r="J955" s="289"/>
      <c r="K955" s="289"/>
      <c r="L955" s="291"/>
      <c r="M955" s="291"/>
      <c r="N955" s="300"/>
      <c r="O955" s="296"/>
      <c r="P955" s="294"/>
      <c r="Q955" s="294"/>
      <c r="R955" s="295"/>
      <c r="S955" s="302">
        <f t="shared" si="57"/>
        <v>0</v>
      </c>
      <c r="T955" s="302"/>
      <c r="U955" s="303"/>
      <c r="V955" s="305">
        <f t="shared" si="58"/>
        <v>0</v>
      </c>
      <c r="W955" s="305" t="str">
        <f t="shared" si="56"/>
        <v xml:space="preserve"> </v>
      </c>
      <c r="X955" s="288"/>
    </row>
    <row r="956" spans="1:24">
      <c r="A956" s="286">
        <v>128</v>
      </c>
      <c r="C956" s="286" t="s">
        <v>619</v>
      </c>
      <c r="D956" s="286" t="s">
        <v>620</v>
      </c>
      <c r="E956" s="286" t="s">
        <v>633</v>
      </c>
      <c r="F956" s="286">
        <v>27</v>
      </c>
      <c r="G956" s="425">
        <v>2663.2799999999997</v>
      </c>
      <c r="H956" s="425">
        <v>112</v>
      </c>
      <c r="J956" s="289"/>
      <c r="K956" s="289"/>
      <c r="L956" s="291"/>
      <c r="M956" s="291"/>
      <c r="N956" s="300"/>
      <c r="O956" s="296"/>
      <c r="P956" s="294"/>
      <c r="Q956" s="294"/>
      <c r="R956" s="295"/>
      <c r="S956" s="302">
        <f t="shared" si="57"/>
        <v>0</v>
      </c>
      <c r="T956" s="302"/>
      <c r="U956" s="303"/>
      <c r="V956" s="305">
        <f t="shared" si="58"/>
        <v>0</v>
      </c>
      <c r="W956" s="305" t="str">
        <f t="shared" si="56"/>
        <v xml:space="preserve"> </v>
      </c>
      <c r="X956" s="288"/>
    </row>
    <row r="957" spans="1:24">
      <c r="A957" s="286">
        <v>128</v>
      </c>
      <c r="C957" s="286" t="s">
        <v>619</v>
      </c>
      <c r="D957" s="286" t="s">
        <v>620</v>
      </c>
      <c r="E957" s="286" t="s">
        <v>680</v>
      </c>
      <c r="F957" s="286">
        <v>27</v>
      </c>
      <c r="G957" s="425">
        <v>556.55999999999995</v>
      </c>
      <c r="H957" s="425">
        <v>24</v>
      </c>
      <c r="J957" s="289"/>
      <c r="K957" s="289"/>
      <c r="L957" s="291"/>
      <c r="M957" s="291"/>
      <c r="N957" s="300"/>
      <c r="O957" s="296"/>
      <c r="P957" s="294"/>
      <c r="Q957" s="294"/>
      <c r="R957" s="295"/>
      <c r="S957" s="302">
        <f t="shared" si="57"/>
        <v>0</v>
      </c>
      <c r="T957" s="302"/>
      <c r="U957" s="303"/>
      <c r="V957" s="305">
        <f t="shared" si="58"/>
        <v>0</v>
      </c>
      <c r="W957" s="305" t="str">
        <f t="shared" si="56"/>
        <v xml:space="preserve"> </v>
      </c>
      <c r="X957" s="288"/>
    </row>
    <row r="958" spans="1:24">
      <c r="A958" s="286">
        <v>128</v>
      </c>
      <c r="C958" s="286" t="s">
        <v>619</v>
      </c>
      <c r="D958" s="286" t="s">
        <v>620</v>
      </c>
      <c r="E958" s="286" t="s">
        <v>681</v>
      </c>
      <c r="F958" s="286">
        <v>27</v>
      </c>
      <c r="G958" s="425">
        <v>1113.1199999999999</v>
      </c>
      <c r="H958" s="425">
        <v>48</v>
      </c>
      <c r="J958" s="289"/>
      <c r="K958" s="289"/>
      <c r="L958" s="291"/>
      <c r="M958" s="291"/>
      <c r="N958" s="300"/>
      <c r="O958" s="296"/>
      <c r="P958" s="294"/>
      <c r="Q958" s="294"/>
      <c r="R958" s="295"/>
      <c r="S958" s="302">
        <f t="shared" si="57"/>
        <v>0</v>
      </c>
      <c r="T958" s="302"/>
      <c r="U958" s="303"/>
      <c r="V958" s="305">
        <f t="shared" si="58"/>
        <v>0</v>
      </c>
      <c r="W958" s="305" t="str">
        <f t="shared" si="56"/>
        <v xml:space="preserve"> </v>
      </c>
      <c r="X958" s="288"/>
    </row>
    <row r="959" spans="1:24">
      <c r="A959" s="286">
        <v>128</v>
      </c>
      <c r="C959" s="286" t="s">
        <v>619</v>
      </c>
      <c r="D959" s="286" t="s">
        <v>620</v>
      </c>
      <c r="E959" s="286" t="s">
        <v>685</v>
      </c>
      <c r="F959" s="286">
        <v>27</v>
      </c>
      <c r="G959" s="425">
        <v>394.23</v>
      </c>
      <c r="H959" s="425">
        <v>17</v>
      </c>
      <c r="J959" s="289"/>
      <c r="K959" s="289"/>
      <c r="L959" s="291"/>
      <c r="M959" s="291"/>
      <c r="N959" s="300"/>
      <c r="O959" s="296"/>
      <c r="P959" s="294"/>
      <c r="Q959" s="294"/>
      <c r="R959" s="295"/>
      <c r="S959" s="302">
        <f t="shared" si="57"/>
        <v>0</v>
      </c>
      <c r="T959" s="302"/>
      <c r="U959" s="303"/>
      <c r="V959" s="305">
        <f t="shared" si="58"/>
        <v>0</v>
      </c>
      <c r="W959" s="305" t="str">
        <f t="shared" si="56"/>
        <v xml:space="preserve"> </v>
      </c>
      <c r="X959" s="288"/>
    </row>
    <row r="960" spans="1:24">
      <c r="A960" s="286">
        <v>128</v>
      </c>
      <c r="C960" s="286" t="s">
        <v>619</v>
      </c>
      <c r="D960" s="286" t="s">
        <v>620</v>
      </c>
      <c r="E960" s="286" t="s">
        <v>634</v>
      </c>
      <c r="F960" s="286">
        <v>27</v>
      </c>
      <c r="G960" s="425">
        <v>162.32999999999998</v>
      </c>
      <c r="H960" s="425">
        <v>7</v>
      </c>
      <c r="J960" s="289"/>
      <c r="K960" s="289"/>
      <c r="L960" s="291"/>
      <c r="M960" s="291"/>
      <c r="N960" s="300"/>
      <c r="O960" s="296"/>
      <c r="P960" s="294"/>
      <c r="Q960" s="294"/>
      <c r="R960" s="295"/>
      <c r="S960" s="302">
        <f t="shared" si="57"/>
        <v>0</v>
      </c>
      <c r="T960" s="302"/>
      <c r="U960" s="303"/>
      <c r="V960" s="305">
        <f t="shared" si="58"/>
        <v>0</v>
      </c>
      <c r="W960" s="305" t="str">
        <f t="shared" si="56"/>
        <v xml:space="preserve"> </v>
      </c>
      <c r="X960" s="288"/>
    </row>
    <row r="961" spans="1:24">
      <c r="A961" s="286">
        <v>128</v>
      </c>
      <c r="C961" s="286" t="s">
        <v>619</v>
      </c>
      <c r="D961" s="286" t="s">
        <v>620</v>
      </c>
      <c r="E961" s="286" t="s">
        <v>635</v>
      </c>
      <c r="F961" s="286">
        <v>27</v>
      </c>
      <c r="G961" s="425">
        <v>185.52</v>
      </c>
      <c r="H961" s="425">
        <v>8</v>
      </c>
      <c r="J961" s="289"/>
      <c r="K961" s="289"/>
      <c r="L961" s="291"/>
      <c r="M961" s="291"/>
      <c r="N961" s="300"/>
      <c r="O961" s="296"/>
      <c r="P961" s="294"/>
      <c r="Q961" s="294"/>
      <c r="R961" s="295"/>
      <c r="S961" s="302">
        <f t="shared" si="57"/>
        <v>0</v>
      </c>
      <c r="T961" s="302"/>
      <c r="U961" s="303"/>
      <c r="V961" s="305">
        <f t="shared" si="58"/>
        <v>0</v>
      </c>
      <c r="W961" s="305" t="str">
        <f t="shared" si="56"/>
        <v xml:space="preserve"> </v>
      </c>
      <c r="X961" s="288"/>
    </row>
    <row r="962" spans="1:24">
      <c r="A962" s="286">
        <v>128</v>
      </c>
      <c r="C962" s="286" t="s">
        <v>619</v>
      </c>
      <c r="D962" s="286" t="s">
        <v>620</v>
      </c>
      <c r="E962" s="286" t="s">
        <v>623</v>
      </c>
      <c r="F962" s="286">
        <v>27</v>
      </c>
      <c r="G962" s="425">
        <v>250</v>
      </c>
      <c r="H962" s="425">
        <v>0</v>
      </c>
      <c r="J962" s="289"/>
      <c r="K962" s="289"/>
      <c r="L962" s="291"/>
      <c r="M962" s="291"/>
      <c r="N962" s="300"/>
      <c r="O962" s="296"/>
      <c r="P962" s="294"/>
      <c r="Q962" s="294"/>
      <c r="R962" s="295"/>
      <c r="S962" s="302">
        <f t="shared" si="57"/>
        <v>0</v>
      </c>
      <c r="T962" s="302"/>
      <c r="U962" s="303"/>
      <c r="V962" s="305">
        <f t="shared" si="58"/>
        <v>250</v>
      </c>
      <c r="W962" s="305" t="str">
        <f t="shared" si="56"/>
        <v xml:space="preserve"> </v>
      </c>
      <c r="X962" s="288"/>
    </row>
    <row r="963" spans="1:24">
      <c r="A963" s="286">
        <v>128</v>
      </c>
      <c r="C963" s="286" t="s">
        <v>619</v>
      </c>
      <c r="D963" s="286" t="s">
        <v>620</v>
      </c>
      <c r="E963" s="286" t="s">
        <v>625</v>
      </c>
      <c r="F963" s="286">
        <v>27</v>
      </c>
      <c r="G963" s="425">
        <v>1000</v>
      </c>
      <c r="H963" s="425">
        <v>0</v>
      </c>
      <c r="J963" s="289"/>
      <c r="K963" s="289"/>
      <c r="L963" s="291"/>
      <c r="M963" s="291"/>
      <c r="N963" s="300"/>
      <c r="O963" s="296"/>
      <c r="P963" s="294"/>
      <c r="Q963" s="294"/>
      <c r="R963" s="295"/>
      <c r="S963" s="302">
        <f t="shared" si="57"/>
        <v>0</v>
      </c>
      <c r="T963" s="302"/>
      <c r="U963" s="303"/>
      <c r="V963" s="305">
        <f t="shared" si="58"/>
        <v>1000</v>
      </c>
      <c r="W963" s="305">
        <f t="shared" si="56"/>
        <v>250</v>
      </c>
      <c r="X963" s="288"/>
    </row>
    <row r="964" spans="1:24">
      <c r="A964" s="286">
        <v>128</v>
      </c>
      <c r="C964" s="286" t="s">
        <v>619</v>
      </c>
      <c r="D964" s="286" t="s">
        <v>620</v>
      </c>
      <c r="E964" s="286" t="s">
        <v>629</v>
      </c>
      <c r="F964" s="286">
        <v>27</v>
      </c>
      <c r="G964" s="425">
        <v>2000</v>
      </c>
      <c r="H964" s="425">
        <v>0</v>
      </c>
      <c r="J964" s="289"/>
      <c r="K964" s="289"/>
      <c r="L964" s="291"/>
      <c r="M964" s="291"/>
      <c r="N964" s="300"/>
      <c r="O964" s="296"/>
      <c r="P964" s="294"/>
      <c r="Q964" s="294"/>
      <c r="R964" s="295"/>
      <c r="S964" s="302">
        <f t="shared" si="57"/>
        <v>0</v>
      </c>
      <c r="T964" s="302"/>
      <c r="U964" s="303"/>
      <c r="V964" s="305">
        <f t="shared" si="58"/>
        <v>2000</v>
      </c>
      <c r="W964" s="305" t="str">
        <f t="shared" si="56"/>
        <v xml:space="preserve"> </v>
      </c>
      <c r="X964" s="288"/>
    </row>
    <row r="965" spans="1:24">
      <c r="A965" s="286">
        <v>128</v>
      </c>
      <c r="C965" s="286" t="s">
        <v>619</v>
      </c>
      <c r="D965" s="286" t="s">
        <v>620</v>
      </c>
      <c r="E965" s="286" t="s">
        <v>632</v>
      </c>
      <c r="F965" s="286">
        <v>27</v>
      </c>
      <c r="G965" s="425">
        <v>7079.51</v>
      </c>
      <c r="H965" s="425">
        <v>0</v>
      </c>
      <c r="J965" s="289"/>
      <c r="K965" s="289"/>
      <c r="L965" s="291"/>
      <c r="M965" s="291"/>
      <c r="N965" s="300"/>
      <c r="O965" s="296"/>
      <c r="P965" s="294"/>
      <c r="Q965" s="294"/>
      <c r="R965" s="295"/>
      <c r="S965" s="302">
        <f t="shared" si="57"/>
        <v>0</v>
      </c>
      <c r="T965" s="302"/>
      <c r="U965" s="303"/>
      <c r="V965" s="305">
        <f t="shared" si="58"/>
        <v>7079.51</v>
      </c>
      <c r="W965" s="305">
        <f t="shared" si="56"/>
        <v>-7079.51</v>
      </c>
      <c r="X965" s="288"/>
    </row>
    <row r="966" spans="1:24">
      <c r="A966" s="286">
        <v>129</v>
      </c>
      <c r="C966" s="286" t="s">
        <v>656</v>
      </c>
      <c r="D966" s="286"/>
      <c r="E966" s="286" t="s">
        <v>598</v>
      </c>
      <c r="F966" s="286">
        <f>IF(VLOOKUP(A966,'WP-5 Payroll Data'!$K$11:$O$151,3,FALSE)&gt;26,26,VLOOKUP(A966,'WP-5 Payroll Data'!$K$11:$O$151,3,FALSE))</f>
        <v>26</v>
      </c>
      <c r="G966" s="424">
        <v>2616.92</v>
      </c>
      <c r="H966" s="425">
        <v>3.3799999999999981</v>
      </c>
      <c r="J966" s="289">
        <f>G966</f>
        <v>2616.92</v>
      </c>
      <c r="K966" s="289">
        <f>VLOOKUP(A966,'WP-5 Payroll Data'!$K$11:$O$151,5,FALSE)</f>
        <v>156.50999999999996</v>
      </c>
      <c r="L966" s="289">
        <f>J966/K966</f>
        <v>16.720465145997064</v>
      </c>
      <c r="M966" s="289"/>
      <c r="N966" s="300">
        <f>IF((K966/F966)*26&gt;1500,2080,IF((K966/F966)*26&gt;300,520,IF((K966/F966)*26&gt;100,260,K966)))</f>
        <v>260</v>
      </c>
      <c r="O966" s="296">
        <f>N966*L966</f>
        <v>4347.3209379592363</v>
      </c>
      <c r="P966" s="294"/>
      <c r="Q966" s="294">
        <f>O966*0.03</f>
        <v>130.41962813877709</v>
      </c>
      <c r="R966" s="295"/>
      <c r="S966" s="302">
        <f t="shared" si="57"/>
        <v>0</v>
      </c>
      <c r="T966" s="302"/>
      <c r="U966" s="303"/>
      <c r="V966" s="305">
        <f t="shared" si="58"/>
        <v>0</v>
      </c>
      <c r="W966" s="305" t="str">
        <f t="shared" si="56"/>
        <v xml:space="preserve"> </v>
      </c>
      <c r="X966" s="288"/>
    </row>
    <row r="967" spans="1:24">
      <c r="A967" s="286">
        <v>129</v>
      </c>
      <c r="C967" s="286" t="s">
        <v>656</v>
      </c>
      <c r="D967" s="286"/>
      <c r="E967" s="286" t="s">
        <v>648</v>
      </c>
      <c r="F967" s="286">
        <f>IF(VLOOKUP(A967,'WP-5 Payroll Data'!$K$11:$O$151,3,FALSE)&gt;26,26,VLOOKUP(A967,'WP-5 Payroll Data'!$K$11:$O$151,3,FALSE))</f>
        <v>26</v>
      </c>
      <c r="G967" s="424">
        <v>3062.6</v>
      </c>
      <c r="H967" s="425">
        <v>153.12999999999997</v>
      </c>
      <c r="J967" s="289">
        <f>G967</f>
        <v>3062.6</v>
      </c>
      <c r="K967" s="289">
        <f>VLOOKUP(A967,'WP-5 Payroll Data'!$K$11:$O$151,5,FALSE)</f>
        <v>156.50999999999996</v>
      </c>
      <c r="L967" s="289">
        <f>J967/K967</f>
        <v>19.568078717014892</v>
      </c>
      <c r="M967" s="289"/>
      <c r="N967" s="300">
        <f>IF((K967/F967)*26&gt;1500,2080,IF((K967/F967)*26&gt;300,520,IF((K967/F967)*26&gt;100,260,K967)))</f>
        <v>260</v>
      </c>
      <c r="O967" s="296">
        <f>N967*L967</f>
        <v>5087.7004664238721</v>
      </c>
      <c r="P967" s="294"/>
      <c r="Q967" s="294">
        <f>O967*0.03</f>
        <v>152.63101399271616</v>
      </c>
      <c r="R967" s="295"/>
      <c r="S967" s="302">
        <f t="shared" si="57"/>
        <v>0</v>
      </c>
      <c r="T967" s="302"/>
      <c r="U967" s="303"/>
      <c r="V967" s="305">
        <f t="shared" si="58"/>
        <v>0</v>
      </c>
      <c r="W967" s="305" t="str">
        <f t="shared" si="56"/>
        <v xml:space="preserve"> </v>
      </c>
      <c r="X967" s="288"/>
    </row>
    <row r="968" spans="1:24">
      <c r="A968" s="286">
        <v>130</v>
      </c>
      <c r="C968" s="286" t="s">
        <v>619</v>
      </c>
      <c r="D968" s="286" t="s">
        <v>684</v>
      </c>
      <c r="E968" s="286" t="s">
        <v>648</v>
      </c>
      <c r="F968" s="286">
        <f>IF(VLOOKUP(A968,'WP-5 Payroll Data'!$K$11:$O$151,3,FALSE)&gt;26,26,VLOOKUP(A968,'WP-5 Payroll Data'!$K$11:$O$151,3,FALSE))</f>
        <v>9</v>
      </c>
      <c r="G968" s="424">
        <v>7543.9000000000005</v>
      </c>
      <c r="H968" s="425">
        <v>580.29999999999995</v>
      </c>
      <c r="J968" s="289">
        <f>VLOOKUP(A968,'WP-5 Payroll Data'!$K$11:$O$151,4,FALSE)</f>
        <v>7543.9000000000005</v>
      </c>
      <c r="K968" s="289">
        <f>VLOOKUP(A968,'WP-5 Payroll Data'!$K$11:$O$151,5,FALSE)</f>
        <v>580.29999999999995</v>
      </c>
      <c r="L968" s="289">
        <f>J968/K968</f>
        <v>13.000000000000002</v>
      </c>
      <c r="M968" s="289"/>
      <c r="N968" s="300">
        <f>IF((K968/F968)*26&gt;1500,2080,IF((K968/F968)*26&gt;300,520,IF((K968/F968)*26&gt;100,260,K968)))</f>
        <v>2080</v>
      </c>
      <c r="O968" s="296">
        <f>N968*L968</f>
        <v>27040.000000000004</v>
      </c>
      <c r="P968" s="294"/>
      <c r="Q968" s="294">
        <f>O968*0.03</f>
        <v>811.2</v>
      </c>
      <c r="R968" s="295"/>
      <c r="S968" s="302">
        <f t="shared" si="57"/>
        <v>0</v>
      </c>
      <c r="T968" s="302"/>
      <c r="U968" s="303"/>
      <c r="V968" s="305">
        <f t="shared" si="58"/>
        <v>0</v>
      </c>
      <c r="W968" s="305" t="str">
        <f t="shared" si="56"/>
        <v xml:space="preserve"> </v>
      </c>
      <c r="X968" s="288"/>
    </row>
    <row r="969" spans="1:24">
      <c r="A969" s="286">
        <v>130</v>
      </c>
      <c r="C969" s="286" t="s">
        <v>619</v>
      </c>
      <c r="D969" s="286" t="s">
        <v>684</v>
      </c>
      <c r="E969" s="286" t="s">
        <v>599</v>
      </c>
      <c r="F969" s="286">
        <v>9</v>
      </c>
      <c r="G969" s="424">
        <v>128.69999999999999</v>
      </c>
      <c r="H969" s="425">
        <v>6.6</v>
      </c>
      <c r="J969" s="289"/>
      <c r="K969" s="289"/>
      <c r="L969" s="291"/>
      <c r="M969" s="291"/>
      <c r="N969" s="300"/>
      <c r="O969" s="296"/>
      <c r="P969" s="294"/>
      <c r="Q969" s="294"/>
      <c r="R969" s="295"/>
      <c r="S969" s="302">
        <f t="shared" si="57"/>
        <v>128.69999999999999</v>
      </c>
      <c r="T969" s="302">
        <f t="shared" si="59"/>
        <v>3.8609999999999993</v>
      </c>
      <c r="U969" s="303"/>
      <c r="V969" s="305">
        <f t="shared" si="58"/>
        <v>0</v>
      </c>
      <c r="W969" s="305" t="str">
        <f t="shared" si="56"/>
        <v xml:space="preserve"> </v>
      </c>
      <c r="X969" s="288"/>
    </row>
    <row r="970" spans="1:24">
      <c r="A970" s="286">
        <v>131</v>
      </c>
      <c r="C970" s="286" t="s">
        <v>644</v>
      </c>
      <c r="D970" s="286"/>
      <c r="E970" s="286" t="s">
        <v>598</v>
      </c>
      <c r="F970" s="286">
        <f>IF(VLOOKUP(A970,'WP-5 Payroll Data'!$K$11:$O$151,3,FALSE)&gt;26,26,VLOOKUP(A970,'WP-5 Payroll Data'!$K$11:$O$151,3,FALSE))</f>
        <v>26</v>
      </c>
      <c r="G970" s="425">
        <v>7653.1900000000005</v>
      </c>
      <c r="H970" s="425">
        <v>475.08</v>
      </c>
      <c r="J970" s="289">
        <f>VLOOKUP(A970,'WP-5 Payroll Data'!$K$11:$O$151,4,FALSE)</f>
        <v>8287.59</v>
      </c>
      <c r="K970" s="289">
        <f>VLOOKUP(A970,'WP-5 Payroll Data'!$K$11:$O$151,5,FALSE)</f>
        <v>514.03</v>
      </c>
      <c r="L970" s="289">
        <f>J970/K970</f>
        <v>16.122774935315061</v>
      </c>
      <c r="M970" s="289"/>
      <c r="N970" s="300">
        <f>IF((K970/F970)*26&gt;1500,2080,IF((K970/F970)*26&gt;300,520,IF((K970/F970)*26&gt;100,260,K970)))</f>
        <v>520</v>
      </c>
      <c r="O970" s="296">
        <f>N970*L970</f>
        <v>8383.8429663638308</v>
      </c>
      <c r="P970" s="294"/>
      <c r="Q970" s="294">
        <f>O970*0.03</f>
        <v>251.51528899091491</v>
      </c>
      <c r="R970" s="295"/>
      <c r="S970" s="302">
        <f t="shared" si="57"/>
        <v>0</v>
      </c>
      <c r="T970" s="302"/>
      <c r="U970" s="303"/>
      <c r="V970" s="305">
        <f t="shared" si="58"/>
        <v>0</v>
      </c>
      <c r="W970" s="305" t="str">
        <f t="shared" ref="W970:W1033" si="60">IF($E970=$AA$29,-$V970,IF(OR($E970=$AA$18,$E970=$AA$23,$E970=$AA$24,$E970=$AA$26),(($V970/200)*50)," "))</f>
        <v xml:space="preserve"> </v>
      </c>
      <c r="X970" s="288"/>
    </row>
    <row r="971" spans="1:24">
      <c r="A971" s="286">
        <v>131</v>
      </c>
      <c r="C971" s="286" t="s">
        <v>644</v>
      </c>
      <c r="D971" s="286"/>
      <c r="E971" s="286" t="s">
        <v>599</v>
      </c>
      <c r="F971" s="286">
        <v>26</v>
      </c>
      <c r="G971" s="425">
        <v>887.14999999999975</v>
      </c>
      <c r="H971" s="425">
        <v>36.79</v>
      </c>
      <c r="J971" s="289"/>
      <c r="K971" s="289"/>
      <c r="L971" s="291"/>
      <c r="M971" s="291"/>
      <c r="N971" s="300"/>
      <c r="O971" s="296"/>
      <c r="P971" s="294"/>
      <c r="Q971" s="294"/>
      <c r="R971" s="295"/>
      <c r="S971" s="302">
        <f t="shared" ref="S971:S1034" si="61">IF(OR($E971=$Y$10,$E971=$Y$11,$E971=$Y$12,$E971=$Y$13),$G971,0)</f>
        <v>887.14999999999975</v>
      </c>
      <c r="T971" s="302">
        <f t="shared" ref="T971:T1021" si="62">S971*0.03</f>
        <v>26.614499999999992</v>
      </c>
      <c r="U971" s="303"/>
      <c r="V971" s="305">
        <f t="shared" ref="V971:V1034" si="63">IF(OR($E971=$AA$10,$E971=$AA$11,$E971=$AA$12,$E971=$AA$13,$E971=$AA$14,$E971=$AA$15,$E971=$AA$16,$E971=$AA$17,$E971=$AA$18,$E971=$AA$19,$E971=$AA$20,$E971=$AA$21,$E971=$AA$22,$E971=$AA$23,$E971=$AA$24,$E971=$AA$25,$E971=$AA$26,$E971=$AA$27,$E971=$AA$28,$E971=$AA$29),G971,0)</f>
        <v>0</v>
      </c>
      <c r="W971" s="305" t="str">
        <f t="shared" si="60"/>
        <v xml:space="preserve"> </v>
      </c>
      <c r="X971" s="288"/>
    </row>
    <row r="972" spans="1:24">
      <c r="A972" s="286">
        <v>131</v>
      </c>
      <c r="C972" s="286" t="s">
        <v>644</v>
      </c>
      <c r="D972" s="286"/>
      <c r="E972" s="286" t="s">
        <v>605</v>
      </c>
      <c r="F972" s="286">
        <v>26</v>
      </c>
      <c r="G972" s="425">
        <v>490.64</v>
      </c>
      <c r="H972" s="425">
        <v>30</v>
      </c>
      <c r="J972" s="289"/>
      <c r="K972" s="289"/>
      <c r="L972" s="291"/>
      <c r="M972" s="291"/>
      <c r="N972" s="300"/>
      <c r="O972" s="296"/>
      <c r="P972" s="294"/>
      <c r="Q972" s="294"/>
      <c r="R972" s="295"/>
      <c r="S972" s="302">
        <f t="shared" si="61"/>
        <v>0</v>
      </c>
      <c r="T972" s="302"/>
      <c r="U972" s="303"/>
      <c r="V972" s="305">
        <f t="shared" si="63"/>
        <v>0</v>
      </c>
      <c r="W972" s="305" t="str">
        <f t="shared" si="60"/>
        <v xml:space="preserve"> </v>
      </c>
      <c r="X972" s="288"/>
    </row>
    <row r="973" spans="1:24">
      <c r="A973" s="286">
        <v>131</v>
      </c>
      <c r="C973" s="286" t="s">
        <v>644</v>
      </c>
      <c r="D973" s="286"/>
      <c r="E973" s="286" t="s">
        <v>608</v>
      </c>
      <c r="F973" s="286">
        <v>26</v>
      </c>
      <c r="G973" s="425">
        <v>46.41</v>
      </c>
      <c r="H973" s="425">
        <v>2.95</v>
      </c>
      <c r="J973" s="289"/>
      <c r="K973" s="289"/>
      <c r="L973" s="291"/>
      <c r="M973" s="291"/>
      <c r="N973" s="300"/>
      <c r="O973" s="296"/>
      <c r="P973" s="294"/>
      <c r="Q973" s="294"/>
      <c r="R973" s="295"/>
      <c r="S973" s="302">
        <f t="shared" si="61"/>
        <v>0</v>
      </c>
      <c r="T973" s="302"/>
      <c r="U973" s="303"/>
      <c r="V973" s="305">
        <f t="shared" si="63"/>
        <v>0</v>
      </c>
      <c r="W973" s="305" t="str">
        <f t="shared" si="60"/>
        <v xml:space="preserve"> </v>
      </c>
      <c r="X973" s="288"/>
    </row>
    <row r="974" spans="1:24">
      <c r="A974" s="286">
        <v>131</v>
      </c>
      <c r="C974" s="286" t="s">
        <v>644</v>
      </c>
      <c r="D974" s="286"/>
      <c r="E974" s="286" t="s">
        <v>602</v>
      </c>
      <c r="F974" s="286">
        <v>26</v>
      </c>
      <c r="G974" s="425">
        <v>98.640000000000015</v>
      </c>
      <c r="H974" s="425">
        <v>6</v>
      </c>
      <c r="J974" s="289"/>
      <c r="K974" s="289"/>
      <c r="L974" s="291"/>
      <c r="M974" s="291"/>
      <c r="N974" s="300"/>
      <c r="O974" s="296"/>
      <c r="P974" s="294"/>
      <c r="Q974" s="294"/>
      <c r="R974" s="295"/>
      <c r="S974" s="302">
        <f t="shared" si="61"/>
        <v>0</v>
      </c>
      <c r="T974" s="302"/>
      <c r="U974" s="303"/>
      <c r="V974" s="305">
        <f t="shared" si="63"/>
        <v>98.640000000000015</v>
      </c>
      <c r="W974" s="305" t="str">
        <f t="shared" si="60"/>
        <v xml:space="preserve"> </v>
      </c>
      <c r="X974" s="288"/>
    </row>
    <row r="975" spans="1:24">
      <c r="A975" s="286">
        <v>131</v>
      </c>
      <c r="C975" s="286" t="s">
        <v>644</v>
      </c>
      <c r="D975" s="286"/>
      <c r="E975" s="286" t="s">
        <v>610</v>
      </c>
      <c r="F975" s="286">
        <v>26</v>
      </c>
      <c r="G975" s="425">
        <v>97.35</v>
      </c>
      <c r="H975" s="425">
        <v>6</v>
      </c>
      <c r="J975" s="289"/>
      <c r="K975" s="289"/>
      <c r="L975" s="291"/>
      <c r="M975" s="291"/>
      <c r="N975" s="300"/>
      <c r="O975" s="296"/>
      <c r="P975" s="294"/>
      <c r="Q975" s="294"/>
      <c r="R975" s="295"/>
      <c r="S975" s="302">
        <f t="shared" si="61"/>
        <v>0</v>
      </c>
      <c r="T975" s="302"/>
      <c r="U975" s="303"/>
      <c r="V975" s="305">
        <f t="shared" si="63"/>
        <v>0</v>
      </c>
      <c r="W975" s="305" t="str">
        <f t="shared" si="60"/>
        <v xml:space="preserve"> </v>
      </c>
      <c r="X975" s="288"/>
    </row>
    <row r="976" spans="1:24">
      <c r="A976" s="286">
        <v>131</v>
      </c>
      <c r="C976" s="286" t="s">
        <v>644</v>
      </c>
      <c r="D976" s="286"/>
      <c r="E976" s="286" t="s">
        <v>614</v>
      </c>
      <c r="F976" s="286">
        <v>26</v>
      </c>
      <c r="G976" s="425">
        <v>62.5</v>
      </c>
      <c r="H976" s="425">
        <v>0</v>
      </c>
      <c r="J976" s="289"/>
      <c r="K976" s="289"/>
      <c r="L976" s="291"/>
      <c r="M976" s="291"/>
      <c r="N976" s="300"/>
      <c r="O976" s="296"/>
      <c r="P976" s="294"/>
      <c r="Q976" s="294"/>
      <c r="R976" s="295"/>
      <c r="S976" s="302">
        <f t="shared" si="61"/>
        <v>0</v>
      </c>
      <c r="T976" s="302"/>
      <c r="U976" s="303"/>
      <c r="V976" s="305">
        <f t="shared" si="63"/>
        <v>62.5</v>
      </c>
      <c r="W976" s="305" t="str">
        <f t="shared" si="60"/>
        <v xml:space="preserve"> </v>
      </c>
      <c r="X976" s="288"/>
    </row>
    <row r="977" spans="1:24">
      <c r="A977" s="286">
        <v>131</v>
      </c>
      <c r="C977" s="286" t="s">
        <v>644</v>
      </c>
      <c r="D977" s="286"/>
      <c r="E977" s="286" t="s">
        <v>616</v>
      </c>
      <c r="F977" s="286">
        <v>26</v>
      </c>
      <c r="G977" s="425">
        <v>450</v>
      </c>
      <c r="H977" s="425">
        <v>0</v>
      </c>
      <c r="J977" s="289"/>
      <c r="K977" s="289"/>
      <c r="L977" s="291"/>
      <c r="M977" s="291"/>
      <c r="N977" s="300"/>
      <c r="O977" s="296"/>
      <c r="P977" s="294"/>
      <c r="Q977" s="294"/>
      <c r="R977" s="295"/>
      <c r="S977" s="302">
        <f t="shared" si="61"/>
        <v>0</v>
      </c>
      <c r="T977" s="302"/>
      <c r="U977" s="303"/>
      <c r="V977" s="305">
        <f t="shared" si="63"/>
        <v>450</v>
      </c>
      <c r="W977" s="305">
        <f t="shared" si="60"/>
        <v>112.5</v>
      </c>
      <c r="X977" s="288"/>
    </row>
    <row r="978" spans="1:24">
      <c r="A978" s="286">
        <v>132</v>
      </c>
      <c r="C978" s="286" t="s">
        <v>619</v>
      </c>
      <c r="D978" s="286" t="s">
        <v>686</v>
      </c>
      <c r="E978" s="286" t="s">
        <v>621</v>
      </c>
      <c r="F978" s="286">
        <f>IF(VLOOKUP(A978,'WP-5 Payroll Data'!$K$11:$O$151,3,FALSE)&gt;26,26,VLOOKUP(A978,'WP-5 Payroll Data'!$K$11:$O$151,3,FALSE))</f>
        <v>25</v>
      </c>
      <c r="G978" s="425">
        <v>46817.75</v>
      </c>
      <c r="H978" s="425">
        <v>1481</v>
      </c>
      <c r="J978" s="289">
        <f>VLOOKUP(A978,'WP-5 Payroll Data'!$K$11:$O$151,4,FALSE)</f>
        <v>56655.360000000001</v>
      </c>
      <c r="K978" s="289">
        <f>VLOOKUP(A978,'WP-5 Payroll Data'!$K$11:$O$151,5,FALSE)</f>
        <v>1856</v>
      </c>
      <c r="L978" s="289">
        <f>J978/K978</f>
        <v>30.525517241379312</v>
      </c>
      <c r="M978" s="289"/>
      <c r="N978" s="300">
        <f>IF((K978/F978)*26&gt;1500,2080,IF((K978/F978)*26&gt;300,520,IF((K978/F978)*26&gt;100,260,K978)))</f>
        <v>2080</v>
      </c>
      <c r="O978" s="296">
        <f>N978*L978</f>
        <v>63493.075862068967</v>
      </c>
      <c r="P978" s="294"/>
      <c r="Q978" s="294">
        <f>O978*0.03</f>
        <v>1904.7922758620689</v>
      </c>
      <c r="R978" s="295"/>
      <c r="S978" s="302">
        <f t="shared" si="61"/>
        <v>0</v>
      </c>
      <c r="T978" s="302"/>
      <c r="U978" s="303"/>
      <c r="V978" s="305">
        <f t="shared" si="63"/>
        <v>0</v>
      </c>
      <c r="W978" s="305" t="str">
        <f t="shared" si="60"/>
        <v xml:space="preserve"> </v>
      </c>
      <c r="X978" s="288"/>
    </row>
    <row r="979" spans="1:24">
      <c r="A979" s="286">
        <v>132</v>
      </c>
      <c r="C979" s="286" t="s">
        <v>619</v>
      </c>
      <c r="D979" s="286" t="s">
        <v>686</v>
      </c>
      <c r="E979" s="286" t="s">
        <v>599</v>
      </c>
      <c r="F979" s="286">
        <v>25</v>
      </c>
      <c r="G979" s="425">
        <v>1243.58</v>
      </c>
      <c r="H979" s="425">
        <v>26.5</v>
      </c>
      <c r="J979" s="289"/>
      <c r="K979" s="289"/>
      <c r="L979" s="291"/>
      <c r="M979" s="291"/>
      <c r="N979" s="300"/>
      <c r="O979" s="296"/>
      <c r="P979" s="294"/>
      <c r="Q979" s="294"/>
      <c r="R979" s="295"/>
      <c r="S979" s="302">
        <f t="shared" si="61"/>
        <v>1243.58</v>
      </c>
      <c r="T979" s="302">
        <f t="shared" si="62"/>
        <v>37.307399999999994</v>
      </c>
      <c r="U979" s="303"/>
      <c r="V979" s="305">
        <f t="shared" si="63"/>
        <v>0</v>
      </c>
      <c r="W979" s="305" t="str">
        <f t="shared" si="60"/>
        <v xml:space="preserve"> </v>
      </c>
      <c r="X979" s="288"/>
    </row>
    <row r="980" spans="1:24">
      <c r="A980" s="286">
        <v>132</v>
      </c>
      <c r="C980" s="286" t="s">
        <v>619</v>
      </c>
      <c r="D980" s="286" t="s">
        <v>686</v>
      </c>
      <c r="E980" s="286" t="s">
        <v>601</v>
      </c>
      <c r="F980" s="286">
        <v>25</v>
      </c>
      <c r="G980" s="425">
        <v>3530.4</v>
      </c>
      <c r="H980" s="425">
        <v>56</v>
      </c>
      <c r="J980" s="289"/>
      <c r="K980" s="289"/>
      <c r="L980" s="291"/>
      <c r="M980" s="291"/>
      <c r="N980" s="300"/>
      <c r="O980" s="296"/>
      <c r="P980" s="294"/>
      <c r="Q980" s="294"/>
      <c r="R980" s="295"/>
      <c r="S980" s="302">
        <f t="shared" si="61"/>
        <v>3530.4</v>
      </c>
      <c r="T980" s="302">
        <f t="shared" si="62"/>
        <v>105.91199999999999</v>
      </c>
      <c r="U980" s="303"/>
      <c r="V980" s="305">
        <f t="shared" si="63"/>
        <v>0</v>
      </c>
      <c r="W980" s="305" t="str">
        <f t="shared" si="60"/>
        <v xml:space="preserve"> </v>
      </c>
      <c r="X980" s="288"/>
    </row>
    <row r="981" spans="1:24">
      <c r="A981" s="286">
        <v>132</v>
      </c>
      <c r="C981" s="286" t="s">
        <v>619</v>
      </c>
      <c r="D981" s="286" t="s">
        <v>686</v>
      </c>
      <c r="E981" s="286" t="s">
        <v>603</v>
      </c>
      <c r="F981" s="286">
        <v>25</v>
      </c>
      <c r="G981" s="425">
        <v>187.92</v>
      </c>
      <c r="H981" s="425">
        <v>4</v>
      </c>
      <c r="J981" s="289"/>
      <c r="K981" s="289"/>
      <c r="L981" s="291"/>
      <c r="M981" s="291"/>
      <c r="N981" s="300"/>
      <c r="O981" s="296"/>
      <c r="P981" s="294"/>
      <c r="Q981" s="294"/>
      <c r="R981" s="295"/>
      <c r="S981" s="302">
        <f t="shared" si="61"/>
        <v>187.92</v>
      </c>
      <c r="T981" s="302">
        <f t="shared" si="62"/>
        <v>5.6375999999999991</v>
      </c>
      <c r="U981" s="303"/>
      <c r="V981" s="305">
        <f t="shared" si="63"/>
        <v>0</v>
      </c>
      <c r="W981" s="305" t="str">
        <f t="shared" si="60"/>
        <v xml:space="preserve"> </v>
      </c>
      <c r="X981" s="288"/>
    </row>
    <row r="982" spans="1:24">
      <c r="A982" s="286">
        <v>132</v>
      </c>
      <c r="C982" s="286" t="s">
        <v>619</v>
      </c>
      <c r="D982" s="286" t="s">
        <v>686</v>
      </c>
      <c r="E982" s="286" t="s">
        <v>627</v>
      </c>
      <c r="F982" s="286">
        <v>25</v>
      </c>
      <c r="G982" s="425">
        <v>2557.92</v>
      </c>
      <c r="H982" s="425">
        <v>80</v>
      </c>
      <c r="J982" s="289"/>
      <c r="K982" s="289"/>
      <c r="L982" s="291"/>
      <c r="M982" s="291"/>
      <c r="N982" s="300"/>
      <c r="O982" s="296"/>
      <c r="P982" s="294"/>
      <c r="Q982" s="294"/>
      <c r="R982" s="295"/>
      <c r="S982" s="302">
        <f t="shared" si="61"/>
        <v>0</v>
      </c>
      <c r="T982" s="302"/>
      <c r="U982" s="303"/>
      <c r="V982" s="305">
        <f t="shared" si="63"/>
        <v>0</v>
      </c>
      <c r="W982" s="305" t="str">
        <f t="shared" si="60"/>
        <v xml:space="preserve"> </v>
      </c>
      <c r="X982" s="288"/>
    </row>
    <row r="983" spans="1:24">
      <c r="A983" s="286">
        <v>132</v>
      </c>
      <c r="C983" s="286" t="s">
        <v>619</v>
      </c>
      <c r="D983" s="286" t="s">
        <v>686</v>
      </c>
      <c r="E983" s="286" t="s">
        <v>630</v>
      </c>
      <c r="F983" s="286">
        <v>25</v>
      </c>
      <c r="G983" s="425">
        <v>3749.29</v>
      </c>
      <c r="H983" s="425">
        <v>119</v>
      </c>
      <c r="J983" s="289"/>
      <c r="K983" s="289"/>
      <c r="L983" s="291"/>
      <c r="M983" s="291"/>
      <c r="N983" s="300"/>
      <c r="O983" s="296"/>
      <c r="P983" s="294"/>
      <c r="Q983" s="294"/>
      <c r="R983" s="295"/>
      <c r="S983" s="302">
        <f t="shared" si="61"/>
        <v>0</v>
      </c>
      <c r="T983" s="302"/>
      <c r="U983" s="303"/>
      <c r="V983" s="305">
        <f t="shared" si="63"/>
        <v>0</v>
      </c>
      <c r="W983" s="305" t="str">
        <f t="shared" si="60"/>
        <v xml:space="preserve"> </v>
      </c>
      <c r="X983" s="288"/>
    </row>
    <row r="984" spans="1:24">
      <c r="A984" s="286">
        <v>132</v>
      </c>
      <c r="C984" s="286" t="s">
        <v>619</v>
      </c>
      <c r="D984" s="286" t="s">
        <v>686</v>
      </c>
      <c r="E984" s="286" t="s">
        <v>633</v>
      </c>
      <c r="F984" s="286">
        <v>25</v>
      </c>
      <c r="G984" s="425">
        <v>2515.6800000000003</v>
      </c>
      <c r="H984" s="425">
        <v>80</v>
      </c>
      <c r="J984" s="289"/>
      <c r="K984" s="289"/>
      <c r="L984" s="291"/>
      <c r="M984" s="291"/>
      <c r="N984" s="300"/>
      <c r="O984" s="296"/>
      <c r="P984" s="294"/>
      <c r="Q984" s="294"/>
      <c r="R984" s="295"/>
      <c r="S984" s="302">
        <f t="shared" si="61"/>
        <v>0</v>
      </c>
      <c r="T984" s="302"/>
      <c r="U984" s="303"/>
      <c r="V984" s="305">
        <f t="shared" si="63"/>
        <v>0</v>
      </c>
      <c r="W984" s="305" t="str">
        <f t="shared" si="60"/>
        <v xml:space="preserve"> </v>
      </c>
      <c r="X984" s="288"/>
    </row>
    <row r="985" spans="1:24">
      <c r="A985" s="286">
        <v>132</v>
      </c>
      <c r="C985" s="286" t="s">
        <v>619</v>
      </c>
      <c r="D985" s="286" t="s">
        <v>686</v>
      </c>
      <c r="E985" s="286" t="s">
        <v>634</v>
      </c>
      <c r="F985" s="286">
        <v>25</v>
      </c>
      <c r="G985" s="425">
        <v>764.56</v>
      </c>
      <c r="H985" s="425">
        <v>24</v>
      </c>
      <c r="J985" s="289"/>
      <c r="K985" s="289"/>
      <c r="L985" s="291"/>
      <c r="M985" s="291"/>
      <c r="N985" s="300"/>
      <c r="O985" s="296"/>
      <c r="P985" s="294"/>
      <c r="Q985" s="294"/>
      <c r="R985" s="295"/>
      <c r="S985" s="302">
        <f t="shared" si="61"/>
        <v>0</v>
      </c>
      <c r="T985" s="302"/>
      <c r="U985" s="303"/>
      <c r="V985" s="305">
        <f t="shared" si="63"/>
        <v>0</v>
      </c>
      <c r="W985" s="305" t="str">
        <f t="shared" si="60"/>
        <v xml:space="preserve"> </v>
      </c>
      <c r="X985" s="288"/>
    </row>
    <row r="986" spans="1:24">
      <c r="A986" s="286">
        <v>132</v>
      </c>
      <c r="C986" s="286" t="s">
        <v>619</v>
      </c>
      <c r="D986" s="286" t="s">
        <v>686</v>
      </c>
      <c r="E986" s="286" t="s">
        <v>623</v>
      </c>
      <c r="F986" s="286">
        <v>25</v>
      </c>
      <c r="G986" s="425">
        <v>250</v>
      </c>
      <c r="H986" s="425">
        <v>0</v>
      </c>
      <c r="J986" s="289"/>
      <c r="K986" s="289"/>
      <c r="L986" s="291"/>
      <c r="M986" s="291"/>
      <c r="N986" s="300"/>
      <c r="O986" s="296"/>
      <c r="P986" s="294"/>
      <c r="Q986" s="294"/>
      <c r="R986" s="295"/>
      <c r="S986" s="302">
        <f t="shared" si="61"/>
        <v>0</v>
      </c>
      <c r="T986" s="302"/>
      <c r="U986" s="303"/>
      <c r="V986" s="305">
        <f t="shared" si="63"/>
        <v>250</v>
      </c>
      <c r="W986" s="305" t="str">
        <f t="shared" si="60"/>
        <v xml:space="preserve"> </v>
      </c>
      <c r="X986" s="288"/>
    </row>
    <row r="987" spans="1:24">
      <c r="A987" s="286">
        <v>132</v>
      </c>
      <c r="C987" s="286" t="s">
        <v>619</v>
      </c>
      <c r="D987" s="286" t="s">
        <v>686</v>
      </c>
      <c r="E987" s="286" t="s">
        <v>625</v>
      </c>
      <c r="F987" s="286">
        <v>25</v>
      </c>
      <c r="G987" s="425">
        <v>800</v>
      </c>
      <c r="H987" s="425">
        <v>0</v>
      </c>
      <c r="J987" s="289"/>
      <c r="K987" s="289"/>
      <c r="L987" s="291"/>
      <c r="M987" s="291"/>
      <c r="N987" s="300"/>
      <c r="O987" s="296"/>
      <c r="P987" s="294"/>
      <c r="Q987" s="294"/>
      <c r="R987" s="295"/>
      <c r="S987" s="302">
        <f t="shared" si="61"/>
        <v>0</v>
      </c>
      <c r="T987" s="302"/>
      <c r="U987" s="303"/>
      <c r="V987" s="305">
        <f t="shared" si="63"/>
        <v>800</v>
      </c>
      <c r="W987" s="305">
        <f t="shared" si="60"/>
        <v>200</v>
      </c>
      <c r="X987" s="288"/>
    </row>
    <row r="988" spans="1:24">
      <c r="A988" s="286">
        <v>132</v>
      </c>
      <c r="C988" s="286" t="s">
        <v>619</v>
      </c>
      <c r="D988" s="286" t="s">
        <v>686</v>
      </c>
      <c r="E988" s="286" t="s">
        <v>661</v>
      </c>
      <c r="F988" s="286">
        <v>25</v>
      </c>
      <c r="G988" s="425">
        <v>250.16</v>
      </c>
      <c r="H988" s="425">
        <v>8</v>
      </c>
      <c r="J988" s="289"/>
      <c r="K988" s="289"/>
      <c r="L988" s="291"/>
      <c r="M988" s="291"/>
      <c r="N988" s="300"/>
      <c r="O988" s="296"/>
      <c r="P988" s="294"/>
      <c r="Q988" s="294"/>
      <c r="R988" s="295"/>
      <c r="S988" s="302">
        <f t="shared" si="61"/>
        <v>0</v>
      </c>
      <c r="T988" s="302"/>
      <c r="U988" s="303"/>
      <c r="V988" s="305">
        <f t="shared" si="63"/>
        <v>0</v>
      </c>
      <c r="W988" s="305" t="str">
        <f t="shared" si="60"/>
        <v xml:space="preserve"> </v>
      </c>
      <c r="X988" s="288"/>
    </row>
    <row r="989" spans="1:24">
      <c r="A989" s="286">
        <v>132</v>
      </c>
      <c r="C989" s="286" t="s">
        <v>619</v>
      </c>
      <c r="D989" s="286" t="s">
        <v>686</v>
      </c>
      <c r="E989" s="286" t="s">
        <v>649</v>
      </c>
      <c r="F989" s="286">
        <v>25</v>
      </c>
      <c r="G989" s="425">
        <v>0</v>
      </c>
      <c r="H989" s="425">
        <v>24</v>
      </c>
      <c r="J989" s="289"/>
      <c r="K989" s="289"/>
      <c r="L989" s="291"/>
      <c r="M989" s="291"/>
      <c r="N989" s="300"/>
      <c r="O989" s="296"/>
      <c r="P989" s="294"/>
      <c r="Q989" s="294"/>
      <c r="R989" s="295"/>
      <c r="S989" s="302">
        <f t="shared" si="61"/>
        <v>0</v>
      </c>
      <c r="T989" s="302"/>
      <c r="U989" s="303"/>
      <c r="V989" s="305">
        <f t="shared" si="63"/>
        <v>0</v>
      </c>
      <c r="W989" s="305" t="str">
        <f t="shared" si="60"/>
        <v xml:space="preserve"> </v>
      </c>
      <c r="X989" s="288"/>
    </row>
    <row r="990" spans="1:24">
      <c r="A990" s="286">
        <v>132</v>
      </c>
      <c r="C990" s="286" t="s">
        <v>619</v>
      </c>
      <c r="D990" s="286" t="s">
        <v>686</v>
      </c>
      <c r="E990" s="286" t="s">
        <v>658</v>
      </c>
      <c r="F990" s="286">
        <v>25</v>
      </c>
      <c r="G990" s="425">
        <v>0</v>
      </c>
      <c r="H990" s="425">
        <v>40</v>
      </c>
      <c r="J990" s="289"/>
      <c r="K990" s="289"/>
      <c r="L990" s="291"/>
      <c r="M990" s="291"/>
      <c r="N990" s="300"/>
      <c r="O990" s="296"/>
      <c r="P990" s="294"/>
      <c r="Q990" s="294"/>
      <c r="R990" s="295"/>
      <c r="S990" s="302">
        <f t="shared" si="61"/>
        <v>0</v>
      </c>
      <c r="T990" s="302"/>
      <c r="U990" s="303"/>
      <c r="V990" s="305">
        <f t="shared" si="63"/>
        <v>0</v>
      </c>
      <c r="W990" s="305" t="str">
        <f t="shared" si="60"/>
        <v xml:space="preserve"> </v>
      </c>
      <c r="X990" s="288"/>
    </row>
    <row r="991" spans="1:24">
      <c r="A991" s="286">
        <v>132</v>
      </c>
      <c r="C991" s="286" t="s">
        <v>619</v>
      </c>
      <c r="D991" s="286" t="s">
        <v>686</v>
      </c>
      <c r="E991" s="286" t="s">
        <v>632</v>
      </c>
      <c r="F991" s="286">
        <v>25</v>
      </c>
      <c r="G991" s="425">
        <v>5824.74</v>
      </c>
      <c r="H991" s="425">
        <v>0</v>
      </c>
      <c r="J991" s="289"/>
      <c r="K991" s="289"/>
      <c r="L991" s="291"/>
      <c r="M991" s="291"/>
      <c r="N991" s="300"/>
      <c r="O991" s="296"/>
      <c r="P991" s="294"/>
      <c r="Q991" s="294"/>
      <c r="R991" s="295"/>
      <c r="S991" s="302">
        <f t="shared" si="61"/>
        <v>0</v>
      </c>
      <c r="T991" s="302"/>
      <c r="U991" s="303"/>
      <c r="V991" s="305">
        <f t="shared" si="63"/>
        <v>5824.74</v>
      </c>
      <c r="W991" s="305">
        <f t="shared" si="60"/>
        <v>-5824.74</v>
      </c>
      <c r="X991" s="288"/>
    </row>
    <row r="992" spans="1:24">
      <c r="A992" s="286">
        <v>133</v>
      </c>
      <c r="C992" s="286" t="s">
        <v>644</v>
      </c>
      <c r="D992" s="286"/>
      <c r="E992" s="286" t="s">
        <v>598</v>
      </c>
      <c r="F992" s="286">
        <f>IF(VLOOKUP(A992,'WP-5 Payroll Data'!$K$11:$O$151,3,FALSE)&gt;26,26,VLOOKUP(A992,'WP-5 Payroll Data'!$K$11:$O$151,3,FALSE))</f>
        <v>22</v>
      </c>
      <c r="G992" s="425">
        <v>5845.55</v>
      </c>
      <c r="H992" s="425">
        <v>422</v>
      </c>
      <c r="J992" s="289">
        <f>VLOOKUP(A992,'WP-5 Payroll Data'!$K$11:$O$151,4,FALSE)</f>
        <v>6011.7699999999995</v>
      </c>
      <c r="K992" s="289">
        <f>VLOOKUP(A992,'WP-5 Payroll Data'!$K$11:$O$151,5,FALSE)</f>
        <v>434</v>
      </c>
      <c r="L992" s="289">
        <f>J992/K992</f>
        <v>13.85200460829493</v>
      </c>
      <c r="M992" s="289"/>
      <c r="N992" s="300">
        <f>IF((K992/F992)*26&gt;1500,2080,IF((K992/F992)*26&gt;300,520,IF((K992/F992)*26&gt;100,260,K992)))</f>
        <v>520</v>
      </c>
      <c r="O992" s="296">
        <f>N992*L992</f>
        <v>7203.0423963133635</v>
      </c>
      <c r="P992" s="294"/>
      <c r="Q992" s="294">
        <f>O992*0.03</f>
        <v>216.0912718894009</v>
      </c>
      <c r="R992" s="295"/>
      <c r="S992" s="302">
        <f t="shared" si="61"/>
        <v>0</v>
      </c>
      <c r="T992" s="302"/>
      <c r="U992" s="303"/>
      <c r="V992" s="305">
        <f t="shared" si="63"/>
        <v>0</v>
      </c>
      <c r="W992" s="305" t="str">
        <f t="shared" si="60"/>
        <v xml:space="preserve"> </v>
      </c>
      <c r="X992" s="288"/>
    </row>
    <row r="993" spans="1:24">
      <c r="A993" s="286">
        <v>133</v>
      </c>
      <c r="C993" s="286" t="s">
        <v>644</v>
      </c>
      <c r="D993" s="286"/>
      <c r="E993" s="286" t="s">
        <v>599</v>
      </c>
      <c r="F993" s="286">
        <v>22</v>
      </c>
      <c r="G993" s="425">
        <v>632.71999999999991</v>
      </c>
      <c r="H993" s="425">
        <v>30.5</v>
      </c>
      <c r="J993" s="289"/>
      <c r="K993" s="289"/>
      <c r="L993" s="291"/>
      <c r="M993" s="291"/>
      <c r="N993" s="300"/>
      <c r="O993" s="296"/>
      <c r="P993" s="294"/>
      <c r="Q993" s="294"/>
      <c r="R993" s="295"/>
      <c r="S993" s="302">
        <f t="shared" si="61"/>
        <v>632.71999999999991</v>
      </c>
      <c r="T993" s="302">
        <f t="shared" si="62"/>
        <v>18.981599999999997</v>
      </c>
      <c r="U993" s="303"/>
      <c r="V993" s="305">
        <f t="shared" si="63"/>
        <v>0</v>
      </c>
      <c r="W993" s="305" t="str">
        <f t="shared" si="60"/>
        <v xml:space="preserve"> </v>
      </c>
      <c r="X993" s="288"/>
    </row>
    <row r="994" spans="1:24">
      <c r="A994" s="286">
        <v>133</v>
      </c>
      <c r="C994" s="286" t="s">
        <v>644</v>
      </c>
      <c r="D994" s="286"/>
      <c r="E994" s="286" t="s">
        <v>608</v>
      </c>
      <c r="F994" s="286">
        <v>22</v>
      </c>
      <c r="G994" s="425">
        <v>110.82</v>
      </c>
      <c r="H994" s="425">
        <v>8</v>
      </c>
      <c r="J994" s="289"/>
      <c r="K994" s="289"/>
      <c r="L994" s="291"/>
      <c r="M994" s="291"/>
      <c r="N994" s="300"/>
      <c r="O994" s="296"/>
      <c r="P994" s="294"/>
      <c r="Q994" s="294"/>
      <c r="R994" s="295"/>
      <c r="S994" s="302">
        <f t="shared" si="61"/>
        <v>0</v>
      </c>
      <c r="T994" s="302"/>
      <c r="U994" s="303"/>
      <c r="V994" s="305">
        <f t="shared" si="63"/>
        <v>0</v>
      </c>
      <c r="W994" s="305" t="str">
        <f t="shared" si="60"/>
        <v xml:space="preserve"> </v>
      </c>
      <c r="X994" s="288"/>
    </row>
    <row r="995" spans="1:24">
      <c r="A995" s="286">
        <v>133</v>
      </c>
      <c r="C995" s="286" t="s">
        <v>644</v>
      </c>
      <c r="D995" s="286"/>
      <c r="E995" s="286" t="s">
        <v>610</v>
      </c>
      <c r="F995" s="286">
        <v>22</v>
      </c>
      <c r="G995" s="425">
        <v>55.4</v>
      </c>
      <c r="H995" s="425">
        <v>4</v>
      </c>
      <c r="J995" s="289"/>
      <c r="K995" s="289"/>
      <c r="L995" s="291"/>
      <c r="M995" s="291"/>
      <c r="N995" s="300"/>
      <c r="O995" s="296"/>
      <c r="P995" s="294"/>
      <c r="Q995" s="294"/>
      <c r="R995" s="295"/>
      <c r="S995" s="302">
        <f t="shared" si="61"/>
        <v>0</v>
      </c>
      <c r="T995" s="302"/>
      <c r="U995" s="303"/>
      <c r="V995" s="305">
        <f t="shared" si="63"/>
        <v>0</v>
      </c>
      <c r="W995" s="305" t="str">
        <f t="shared" si="60"/>
        <v xml:space="preserve"> </v>
      </c>
      <c r="X995" s="288"/>
    </row>
    <row r="996" spans="1:24">
      <c r="A996" s="286">
        <v>133</v>
      </c>
      <c r="C996" s="286" t="s">
        <v>644</v>
      </c>
      <c r="D996" s="286"/>
      <c r="E996" s="286" t="s">
        <v>612</v>
      </c>
      <c r="F996" s="286">
        <v>22</v>
      </c>
      <c r="G996" s="425">
        <v>25</v>
      </c>
      <c r="H996" s="425">
        <v>0</v>
      </c>
      <c r="J996" s="289"/>
      <c r="K996" s="289"/>
      <c r="L996" s="291"/>
      <c r="M996" s="291"/>
      <c r="N996" s="300"/>
      <c r="O996" s="296"/>
      <c r="P996" s="294"/>
      <c r="Q996" s="294"/>
      <c r="R996" s="295"/>
      <c r="S996" s="302">
        <f t="shared" si="61"/>
        <v>0</v>
      </c>
      <c r="T996" s="302"/>
      <c r="U996" s="303"/>
      <c r="V996" s="305">
        <f t="shared" si="63"/>
        <v>25</v>
      </c>
      <c r="W996" s="305" t="str">
        <f t="shared" si="60"/>
        <v xml:space="preserve"> </v>
      </c>
      <c r="X996" s="288"/>
    </row>
    <row r="997" spans="1:24">
      <c r="A997" s="286">
        <v>134</v>
      </c>
      <c r="C997" s="286" t="s">
        <v>644</v>
      </c>
      <c r="D997" s="286"/>
      <c r="E997" s="286" t="s">
        <v>598</v>
      </c>
      <c r="F997" s="286">
        <f>IF(VLOOKUP(A997,'WP-5 Payroll Data'!$K$11:$O$151,3,FALSE)&gt;26,26,VLOOKUP(A997,'WP-5 Payroll Data'!$K$11:$O$151,3,FALSE))</f>
        <v>26</v>
      </c>
      <c r="G997" s="425">
        <v>7117.4999999999991</v>
      </c>
      <c r="H997" s="425">
        <v>469.96</v>
      </c>
      <c r="J997" s="289">
        <f>VLOOKUP(A997,'WP-5 Payroll Data'!$K$11:$O$151,4,FALSE)</f>
        <v>7876.4899999999989</v>
      </c>
      <c r="K997" s="289">
        <f>VLOOKUP(A997,'WP-5 Payroll Data'!$K$11:$O$151,5,FALSE)</f>
        <v>520.04999999999995</v>
      </c>
      <c r="L997" s="289">
        <f>J997/K997</f>
        <v>15.145639842322852</v>
      </c>
      <c r="M997" s="289"/>
      <c r="N997" s="300">
        <f>IF((K997/F997)*26&gt;1500,2080,IF((K997/F997)*26&gt;300,520,IF((K997/F997)*26&gt;100,260,K997)))</f>
        <v>520</v>
      </c>
      <c r="O997" s="296">
        <f>N997*L997</f>
        <v>7875.7327180078837</v>
      </c>
      <c r="P997" s="294"/>
      <c r="Q997" s="294">
        <f>O997*0.03</f>
        <v>236.27198154023651</v>
      </c>
      <c r="R997" s="295"/>
      <c r="S997" s="302">
        <f t="shared" si="61"/>
        <v>0</v>
      </c>
      <c r="T997" s="302"/>
      <c r="U997" s="303"/>
      <c r="V997" s="305">
        <f t="shared" si="63"/>
        <v>0</v>
      </c>
      <c r="W997" s="305" t="str">
        <f t="shared" si="60"/>
        <v xml:space="preserve"> </v>
      </c>
      <c r="X997" s="288"/>
    </row>
    <row r="998" spans="1:24">
      <c r="A998" s="286">
        <v>134</v>
      </c>
      <c r="C998" s="286" t="s">
        <v>644</v>
      </c>
      <c r="D998" s="286"/>
      <c r="E998" s="286" t="s">
        <v>599</v>
      </c>
      <c r="F998" s="286">
        <v>26</v>
      </c>
      <c r="G998" s="425">
        <v>595.89</v>
      </c>
      <c r="H998" s="425">
        <v>26.289999999999996</v>
      </c>
      <c r="J998" s="289"/>
      <c r="K998" s="289"/>
      <c r="L998" s="291"/>
      <c r="M998" s="291"/>
      <c r="N998" s="300"/>
      <c r="O998" s="296"/>
      <c r="P998" s="294"/>
      <c r="Q998" s="294"/>
      <c r="R998" s="295"/>
      <c r="S998" s="302">
        <f t="shared" si="61"/>
        <v>595.89</v>
      </c>
      <c r="T998" s="302">
        <f t="shared" si="62"/>
        <v>17.8767</v>
      </c>
      <c r="U998" s="303"/>
      <c r="V998" s="305">
        <f t="shared" si="63"/>
        <v>0</v>
      </c>
      <c r="W998" s="305" t="str">
        <f t="shared" si="60"/>
        <v xml:space="preserve"> </v>
      </c>
      <c r="X998" s="288"/>
    </row>
    <row r="999" spans="1:24">
      <c r="A999" s="286">
        <v>134</v>
      </c>
      <c r="C999" s="286" t="s">
        <v>644</v>
      </c>
      <c r="D999" s="286"/>
      <c r="E999" s="286" t="s">
        <v>605</v>
      </c>
      <c r="F999" s="286">
        <v>26</v>
      </c>
      <c r="G999" s="425">
        <v>217.99</v>
      </c>
      <c r="H999" s="425">
        <v>14.379999999999999</v>
      </c>
      <c r="J999" s="289"/>
      <c r="K999" s="289"/>
      <c r="L999" s="291"/>
      <c r="M999" s="291"/>
      <c r="N999" s="300"/>
      <c r="O999" s="296"/>
      <c r="P999" s="294"/>
      <c r="Q999" s="294"/>
      <c r="R999" s="295"/>
      <c r="S999" s="302">
        <f t="shared" si="61"/>
        <v>0</v>
      </c>
      <c r="T999" s="302"/>
      <c r="U999" s="303"/>
      <c r="V999" s="305">
        <f t="shared" si="63"/>
        <v>0</v>
      </c>
      <c r="W999" s="305" t="str">
        <f t="shared" si="60"/>
        <v xml:space="preserve"> </v>
      </c>
      <c r="X999" s="288"/>
    </row>
    <row r="1000" spans="1:24">
      <c r="A1000" s="286">
        <v>134</v>
      </c>
      <c r="C1000" s="286" t="s">
        <v>644</v>
      </c>
      <c r="D1000" s="286"/>
      <c r="E1000" s="286" t="s">
        <v>608</v>
      </c>
      <c r="F1000" s="286">
        <v>26</v>
      </c>
      <c r="G1000" s="425">
        <v>394.28999999999991</v>
      </c>
      <c r="H1000" s="425">
        <v>26.019999999999996</v>
      </c>
      <c r="J1000" s="289"/>
      <c r="K1000" s="289"/>
      <c r="L1000" s="291"/>
      <c r="M1000" s="291"/>
      <c r="N1000" s="300"/>
      <c r="O1000" s="296"/>
      <c r="P1000" s="294"/>
      <c r="Q1000" s="294"/>
      <c r="R1000" s="295"/>
      <c r="S1000" s="302">
        <f t="shared" si="61"/>
        <v>0</v>
      </c>
      <c r="T1000" s="302"/>
      <c r="U1000" s="303"/>
      <c r="V1000" s="305">
        <f t="shared" si="63"/>
        <v>0</v>
      </c>
      <c r="W1000" s="305" t="str">
        <f t="shared" si="60"/>
        <v xml:space="preserve"> </v>
      </c>
      <c r="X1000" s="288"/>
    </row>
    <row r="1001" spans="1:24">
      <c r="A1001" s="286">
        <v>134</v>
      </c>
      <c r="C1001" s="286" t="s">
        <v>644</v>
      </c>
      <c r="D1001" s="286"/>
      <c r="E1001" s="286" t="s">
        <v>610</v>
      </c>
      <c r="F1001" s="286">
        <v>26</v>
      </c>
      <c r="G1001" s="425">
        <v>86.050000000000011</v>
      </c>
      <c r="H1001" s="425">
        <v>5.6899999999999995</v>
      </c>
      <c r="J1001" s="289"/>
      <c r="K1001" s="289"/>
      <c r="L1001" s="291"/>
      <c r="M1001" s="291"/>
      <c r="N1001" s="300"/>
      <c r="O1001" s="296"/>
      <c r="P1001" s="294"/>
      <c r="Q1001" s="294"/>
      <c r="R1001" s="295"/>
      <c r="S1001" s="302">
        <f t="shared" si="61"/>
        <v>0</v>
      </c>
      <c r="T1001" s="302"/>
      <c r="U1001" s="303"/>
      <c r="V1001" s="305">
        <f t="shared" si="63"/>
        <v>0</v>
      </c>
      <c r="W1001" s="305" t="str">
        <f t="shared" si="60"/>
        <v xml:space="preserve"> </v>
      </c>
      <c r="X1001" s="288"/>
    </row>
    <row r="1002" spans="1:24">
      <c r="A1002" s="286">
        <v>134</v>
      </c>
      <c r="C1002" s="286" t="s">
        <v>644</v>
      </c>
      <c r="D1002" s="286"/>
      <c r="E1002" s="286" t="s">
        <v>638</v>
      </c>
      <c r="F1002" s="286">
        <v>26</v>
      </c>
      <c r="G1002" s="425">
        <v>60.66</v>
      </c>
      <c r="H1002" s="425">
        <v>4</v>
      </c>
      <c r="J1002" s="289"/>
      <c r="K1002" s="289"/>
      <c r="L1002" s="291"/>
      <c r="M1002" s="291"/>
      <c r="N1002" s="300"/>
      <c r="O1002" s="296"/>
      <c r="P1002" s="294"/>
      <c r="Q1002" s="294"/>
      <c r="R1002" s="295"/>
      <c r="S1002" s="302">
        <f t="shared" si="61"/>
        <v>0</v>
      </c>
      <c r="T1002" s="302"/>
      <c r="U1002" s="303"/>
      <c r="V1002" s="305">
        <f t="shared" si="63"/>
        <v>0</v>
      </c>
      <c r="W1002" s="305" t="str">
        <f t="shared" si="60"/>
        <v xml:space="preserve"> </v>
      </c>
      <c r="X1002" s="288"/>
    </row>
    <row r="1003" spans="1:24">
      <c r="A1003" s="286">
        <v>134</v>
      </c>
      <c r="C1003" s="286" t="s">
        <v>644</v>
      </c>
      <c r="D1003" s="286"/>
      <c r="E1003" s="286" t="s">
        <v>616</v>
      </c>
      <c r="F1003" s="286">
        <v>26</v>
      </c>
      <c r="G1003" s="425">
        <v>100</v>
      </c>
      <c r="H1003" s="425">
        <v>0</v>
      </c>
      <c r="J1003" s="289"/>
      <c r="K1003" s="289"/>
      <c r="L1003" s="291"/>
      <c r="M1003" s="291"/>
      <c r="N1003" s="300"/>
      <c r="O1003" s="296"/>
      <c r="P1003" s="294"/>
      <c r="Q1003" s="294"/>
      <c r="R1003" s="295"/>
      <c r="S1003" s="302">
        <f t="shared" si="61"/>
        <v>0</v>
      </c>
      <c r="T1003" s="302"/>
      <c r="U1003" s="303"/>
      <c r="V1003" s="305">
        <f t="shared" si="63"/>
        <v>100</v>
      </c>
      <c r="W1003" s="305">
        <f t="shared" si="60"/>
        <v>25</v>
      </c>
      <c r="X1003" s="288"/>
    </row>
    <row r="1004" spans="1:24">
      <c r="A1004" s="286">
        <v>135</v>
      </c>
      <c r="C1004" s="286" t="s">
        <v>644</v>
      </c>
      <c r="D1004" s="286"/>
      <c r="E1004" s="286" t="s">
        <v>598</v>
      </c>
      <c r="F1004" s="286">
        <f>IF(VLOOKUP(A1004,'WP-5 Payroll Data'!$K$11:$O$151,3,FALSE)&gt;26,26,VLOOKUP(A1004,'WP-5 Payroll Data'!$K$11:$O$151,3,FALSE))</f>
        <v>26</v>
      </c>
      <c r="G1004" s="425">
        <v>7193.199999999998</v>
      </c>
      <c r="H1004" s="425">
        <v>474.94</v>
      </c>
      <c r="J1004" s="289">
        <f>VLOOKUP(A1004,'WP-5 Payroll Data'!$K$11:$O$151,4,FALSE)</f>
        <v>7876.4599999999973</v>
      </c>
      <c r="K1004" s="289">
        <f>VLOOKUP(A1004,'WP-5 Payroll Data'!$K$11:$O$151,5,FALSE)</f>
        <v>520.02</v>
      </c>
      <c r="L1004" s="289">
        <f>J1004/K1004</f>
        <v>15.146455905542091</v>
      </c>
      <c r="M1004" s="289"/>
      <c r="N1004" s="300">
        <f>IF((K1004/F1004)*26&gt;1500,2080,IF((K1004/F1004)*26&gt;300,520,IF((K1004/F1004)*26&gt;100,260,K1004)))</f>
        <v>520</v>
      </c>
      <c r="O1004" s="296">
        <f>N1004*L1004</f>
        <v>7876.1570708818872</v>
      </c>
      <c r="P1004" s="294"/>
      <c r="Q1004" s="294">
        <f>O1004*0.03</f>
        <v>236.28471212645661</v>
      </c>
      <c r="R1004" s="295"/>
      <c r="S1004" s="302">
        <f t="shared" si="61"/>
        <v>0</v>
      </c>
      <c r="T1004" s="302"/>
      <c r="U1004" s="303"/>
      <c r="V1004" s="305">
        <f t="shared" si="63"/>
        <v>0</v>
      </c>
      <c r="W1004" s="305" t="str">
        <f t="shared" si="60"/>
        <v xml:space="preserve"> </v>
      </c>
      <c r="X1004" s="288"/>
    </row>
    <row r="1005" spans="1:24">
      <c r="A1005" s="286">
        <v>135</v>
      </c>
      <c r="C1005" s="286" t="s">
        <v>644</v>
      </c>
      <c r="D1005" s="286"/>
      <c r="E1005" s="286" t="s">
        <v>599</v>
      </c>
      <c r="F1005" s="286">
        <v>26</v>
      </c>
      <c r="G1005" s="425">
        <v>474.15000000000003</v>
      </c>
      <c r="H1005" s="425">
        <v>20.919999999999998</v>
      </c>
      <c r="J1005" s="289"/>
      <c r="K1005" s="289"/>
      <c r="L1005" s="291"/>
      <c r="M1005" s="291"/>
      <c r="N1005" s="300"/>
      <c r="O1005" s="296"/>
      <c r="P1005" s="294"/>
      <c r="Q1005" s="294"/>
      <c r="R1005" s="295"/>
      <c r="S1005" s="302">
        <f t="shared" si="61"/>
        <v>474.15000000000003</v>
      </c>
      <c r="T1005" s="302">
        <f t="shared" si="62"/>
        <v>14.224500000000001</v>
      </c>
      <c r="U1005" s="303"/>
      <c r="V1005" s="305">
        <f t="shared" si="63"/>
        <v>0</v>
      </c>
      <c r="W1005" s="305" t="str">
        <f t="shared" si="60"/>
        <v xml:space="preserve"> </v>
      </c>
      <c r="X1005" s="288"/>
    </row>
    <row r="1006" spans="1:24">
      <c r="A1006" s="286">
        <v>135</v>
      </c>
      <c r="C1006" s="286" t="s">
        <v>644</v>
      </c>
      <c r="D1006" s="286"/>
      <c r="E1006" s="286" t="s">
        <v>605</v>
      </c>
      <c r="F1006" s="286">
        <v>26</v>
      </c>
      <c r="G1006" s="425">
        <v>303.27999999999997</v>
      </c>
      <c r="H1006" s="425">
        <v>20</v>
      </c>
      <c r="J1006" s="289"/>
      <c r="K1006" s="289"/>
      <c r="L1006" s="291"/>
      <c r="M1006" s="291"/>
      <c r="N1006" s="300"/>
      <c r="O1006" s="296"/>
      <c r="P1006" s="294"/>
      <c r="Q1006" s="294"/>
      <c r="R1006" s="295"/>
      <c r="S1006" s="302">
        <f t="shared" si="61"/>
        <v>0</v>
      </c>
      <c r="T1006" s="302"/>
      <c r="U1006" s="303"/>
      <c r="V1006" s="305">
        <f t="shared" si="63"/>
        <v>0</v>
      </c>
      <c r="W1006" s="305" t="str">
        <f t="shared" si="60"/>
        <v xml:space="preserve"> </v>
      </c>
      <c r="X1006" s="288"/>
    </row>
    <row r="1007" spans="1:24">
      <c r="A1007" s="286">
        <v>135</v>
      </c>
      <c r="C1007" s="286" t="s">
        <v>644</v>
      </c>
      <c r="D1007" s="286"/>
      <c r="E1007" s="286" t="s">
        <v>608</v>
      </c>
      <c r="F1007" s="286">
        <v>26</v>
      </c>
      <c r="G1007" s="425">
        <v>255.89999999999995</v>
      </c>
      <c r="H1007" s="425">
        <v>16.89</v>
      </c>
      <c r="J1007" s="289"/>
      <c r="K1007" s="289"/>
      <c r="L1007" s="291"/>
      <c r="M1007" s="291"/>
      <c r="N1007" s="300"/>
      <c r="O1007" s="296"/>
      <c r="P1007" s="294"/>
      <c r="Q1007" s="294"/>
      <c r="R1007" s="295"/>
      <c r="S1007" s="302">
        <f t="shared" si="61"/>
        <v>0</v>
      </c>
      <c r="T1007" s="302"/>
      <c r="U1007" s="303"/>
      <c r="V1007" s="305">
        <f t="shared" si="63"/>
        <v>0</v>
      </c>
      <c r="W1007" s="305" t="str">
        <f t="shared" si="60"/>
        <v xml:space="preserve"> </v>
      </c>
      <c r="X1007" s="288"/>
    </row>
    <row r="1008" spans="1:24">
      <c r="A1008" s="286">
        <v>135</v>
      </c>
      <c r="C1008" s="286" t="s">
        <v>644</v>
      </c>
      <c r="D1008" s="286"/>
      <c r="E1008" s="286" t="s">
        <v>610</v>
      </c>
      <c r="F1008" s="286">
        <v>26</v>
      </c>
      <c r="G1008" s="425">
        <v>93.75</v>
      </c>
      <c r="H1008" s="425">
        <v>6.1899999999999995</v>
      </c>
      <c r="J1008" s="289"/>
      <c r="K1008" s="289"/>
      <c r="L1008" s="291"/>
      <c r="M1008" s="291"/>
      <c r="N1008" s="300"/>
      <c r="O1008" s="296"/>
      <c r="P1008" s="294"/>
      <c r="Q1008" s="294"/>
      <c r="R1008" s="295"/>
      <c r="S1008" s="302">
        <f t="shared" si="61"/>
        <v>0</v>
      </c>
      <c r="T1008" s="302"/>
      <c r="U1008" s="303"/>
      <c r="V1008" s="305">
        <f t="shared" si="63"/>
        <v>0</v>
      </c>
      <c r="W1008" s="305" t="str">
        <f t="shared" si="60"/>
        <v xml:space="preserve"> </v>
      </c>
      <c r="X1008" s="288"/>
    </row>
    <row r="1009" spans="1:24">
      <c r="A1009" s="286">
        <v>135</v>
      </c>
      <c r="C1009" s="286" t="s">
        <v>644</v>
      </c>
      <c r="D1009" s="286"/>
      <c r="E1009" s="286" t="s">
        <v>638</v>
      </c>
      <c r="F1009" s="286">
        <v>26</v>
      </c>
      <c r="G1009" s="425">
        <v>30.33</v>
      </c>
      <c r="H1009" s="425">
        <v>2</v>
      </c>
      <c r="J1009" s="289"/>
      <c r="K1009" s="289"/>
      <c r="L1009" s="291"/>
      <c r="M1009" s="291"/>
      <c r="N1009" s="300"/>
      <c r="O1009" s="296"/>
      <c r="P1009" s="294"/>
      <c r="Q1009" s="294"/>
      <c r="R1009" s="295"/>
      <c r="S1009" s="302">
        <f t="shared" si="61"/>
        <v>0</v>
      </c>
      <c r="T1009" s="302"/>
      <c r="U1009" s="303"/>
      <c r="V1009" s="305">
        <f t="shared" si="63"/>
        <v>0</v>
      </c>
      <c r="W1009" s="305" t="str">
        <f t="shared" si="60"/>
        <v xml:space="preserve"> </v>
      </c>
      <c r="X1009" s="288"/>
    </row>
    <row r="1010" spans="1:24">
      <c r="A1010" s="286">
        <v>135</v>
      </c>
      <c r="C1010" s="286" t="s">
        <v>644</v>
      </c>
      <c r="D1010" s="286"/>
      <c r="E1010" s="286" t="s">
        <v>614</v>
      </c>
      <c r="F1010" s="286">
        <v>26</v>
      </c>
      <c r="G1010" s="425">
        <v>62.5</v>
      </c>
      <c r="H1010" s="425">
        <v>0</v>
      </c>
      <c r="J1010" s="289"/>
      <c r="K1010" s="289"/>
      <c r="L1010" s="291"/>
      <c r="M1010" s="291"/>
      <c r="N1010" s="300"/>
      <c r="O1010" s="296"/>
      <c r="P1010" s="294"/>
      <c r="Q1010" s="294"/>
      <c r="R1010" s="295"/>
      <c r="S1010" s="302">
        <f t="shared" si="61"/>
        <v>0</v>
      </c>
      <c r="T1010" s="302"/>
      <c r="U1010" s="303"/>
      <c r="V1010" s="305">
        <f t="shared" si="63"/>
        <v>62.5</v>
      </c>
      <c r="W1010" s="305" t="str">
        <f t="shared" si="60"/>
        <v xml:space="preserve"> </v>
      </c>
      <c r="X1010" s="288"/>
    </row>
    <row r="1011" spans="1:24">
      <c r="A1011" s="286">
        <v>135</v>
      </c>
      <c r="C1011" s="286" t="s">
        <v>644</v>
      </c>
      <c r="D1011" s="286"/>
      <c r="E1011" s="286" t="s">
        <v>616</v>
      </c>
      <c r="F1011" s="286">
        <v>26</v>
      </c>
      <c r="G1011" s="425">
        <v>100</v>
      </c>
      <c r="H1011" s="425">
        <v>0</v>
      </c>
      <c r="J1011" s="289"/>
      <c r="K1011" s="289"/>
      <c r="L1011" s="291"/>
      <c r="M1011" s="291"/>
      <c r="N1011" s="300"/>
      <c r="O1011" s="296"/>
      <c r="P1011" s="294"/>
      <c r="Q1011" s="294"/>
      <c r="R1011" s="295"/>
      <c r="S1011" s="302">
        <f t="shared" si="61"/>
        <v>0</v>
      </c>
      <c r="T1011" s="302"/>
      <c r="U1011" s="303"/>
      <c r="V1011" s="305">
        <f t="shared" si="63"/>
        <v>100</v>
      </c>
      <c r="W1011" s="305">
        <f t="shared" si="60"/>
        <v>25</v>
      </c>
      <c r="X1011" s="288"/>
    </row>
    <row r="1012" spans="1:24">
      <c r="A1012" s="286">
        <v>136</v>
      </c>
      <c r="C1012" s="286" t="s">
        <v>644</v>
      </c>
      <c r="D1012" s="286"/>
      <c r="E1012" s="286" t="s">
        <v>598</v>
      </c>
      <c r="F1012" s="286">
        <f>IF(VLOOKUP(A1012,'WP-5 Payroll Data'!$K$11:$O$151,3,FALSE)&gt;26,26,VLOOKUP(A1012,'WP-5 Payroll Data'!$K$11:$O$151,3,FALSE))</f>
        <v>26</v>
      </c>
      <c r="G1012" s="425">
        <v>6966.3499999999995</v>
      </c>
      <c r="H1012" s="425">
        <v>459.82</v>
      </c>
      <c r="J1012" s="289">
        <f>VLOOKUP(A1012,'WP-5 Payroll Data'!$K$11:$O$151,4,FALSE)</f>
        <v>7876.4699999999993</v>
      </c>
      <c r="K1012" s="289">
        <f>VLOOKUP(A1012,'WP-5 Payroll Data'!$K$11:$O$151,5,FALSE)</f>
        <v>520.01</v>
      </c>
      <c r="L1012" s="289">
        <f>J1012/K1012</f>
        <v>15.1467664083383</v>
      </c>
      <c r="M1012" s="289"/>
      <c r="N1012" s="300">
        <f>IF((K1012/F1012)*26&gt;1500,2080,IF((K1012/F1012)*26&gt;300,520,IF((K1012/F1012)*26&gt;100,260,K1012)))</f>
        <v>520</v>
      </c>
      <c r="O1012" s="296">
        <f>N1012*L1012</f>
        <v>7876.3185323359157</v>
      </c>
      <c r="P1012" s="294"/>
      <c r="Q1012" s="294">
        <f>O1012*0.03</f>
        <v>236.28955597007746</v>
      </c>
      <c r="R1012" s="295"/>
      <c r="S1012" s="302">
        <f t="shared" si="61"/>
        <v>0</v>
      </c>
      <c r="T1012" s="302"/>
      <c r="U1012" s="303"/>
      <c r="V1012" s="305">
        <f t="shared" si="63"/>
        <v>0</v>
      </c>
      <c r="W1012" s="305" t="str">
        <f t="shared" si="60"/>
        <v xml:space="preserve"> </v>
      </c>
      <c r="X1012" s="288"/>
    </row>
    <row r="1013" spans="1:24">
      <c r="A1013" s="286">
        <v>136</v>
      </c>
      <c r="C1013" s="286" t="s">
        <v>644</v>
      </c>
      <c r="D1013" s="286"/>
      <c r="E1013" s="286" t="s">
        <v>599</v>
      </c>
      <c r="F1013" s="286">
        <v>26</v>
      </c>
      <c r="G1013" s="425">
        <v>89.110000000000028</v>
      </c>
      <c r="H1013" s="425">
        <v>3.9499999999999993</v>
      </c>
      <c r="J1013" s="289"/>
      <c r="K1013" s="289"/>
      <c r="L1013" s="291"/>
      <c r="M1013" s="291"/>
      <c r="N1013" s="300"/>
      <c r="O1013" s="296"/>
      <c r="P1013" s="294"/>
      <c r="Q1013" s="294"/>
      <c r="R1013" s="295"/>
      <c r="S1013" s="302">
        <f t="shared" si="61"/>
        <v>89.110000000000028</v>
      </c>
      <c r="T1013" s="302">
        <f t="shared" si="62"/>
        <v>2.6733000000000007</v>
      </c>
      <c r="U1013" s="303"/>
      <c r="V1013" s="305">
        <f t="shared" si="63"/>
        <v>0</v>
      </c>
      <c r="W1013" s="305" t="str">
        <f t="shared" si="60"/>
        <v xml:space="preserve"> </v>
      </c>
      <c r="X1013" s="288"/>
    </row>
    <row r="1014" spans="1:24">
      <c r="A1014" s="286">
        <v>136</v>
      </c>
      <c r="C1014" s="286" t="s">
        <v>644</v>
      </c>
      <c r="D1014" s="286"/>
      <c r="E1014" s="286" t="s">
        <v>605</v>
      </c>
      <c r="F1014" s="286">
        <v>26</v>
      </c>
      <c r="G1014" s="425">
        <v>317.83</v>
      </c>
      <c r="H1014" s="425">
        <v>20.99</v>
      </c>
      <c r="J1014" s="289"/>
      <c r="K1014" s="289"/>
      <c r="L1014" s="291"/>
      <c r="M1014" s="291"/>
      <c r="N1014" s="300"/>
      <c r="O1014" s="296"/>
      <c r="P1014" s="294"/>
      <c r="Q1014" s="294"/>
      <c r="R1014" s="295"/>
      <c r="S1014" s="302">
        <f t="shared" si="61"/>
        <v>0</v>
      </c>
      <c r="T1014" s="302"/>
      <c r="U1014" s="303"/>
      <c r="V1014" s="305">
        <f t="shared" si="63"/>
        <v>0</v>
      </c>
      <c r="W1014" s="305" t="str">
        <f t="shared" si="60"/>
        <v xml:space="preserve"> </v>
      </c>
      <c r="X1014" s="288"/>
    </row>
    <row r="1015" spans="1:24">
      <c r="A1015" s="286">
        <v>136</v>
      </c>
      <c r="C1015" s="286" t="s">
        <v>644</v>
      </c>
      <c r="D1015" s="286"/>
      <c r="E1015" s="286" t="s">
        <v>608</v>
      </c>
      <c r="F1015" s="286">
        <v>26</v>
      </c>
      <c r="G1015" s="425">
        <v>501.3</v>
      </c>
      <c r="H1015" s="425">
        <v>33.199999999999996</v>
      </c>
      <c r="J1015" s="289"/>
      <c r="K1015" s="289"/>
      <c r="L1015" s="291"/>
      <c r="M1015" s="291"/>
      <c r="N1015" s="300"/>
      <c r="O1015" s="296"/>
      <c r="P1015" s="294"/>
      <c r="Q1015" s="294"/>
      <c r="R1015" s="295"/>
      <c r="S1015" s="302">
        <f t="shared" si="61"/>
        <v>0</v>
      </c>
      <c r="T1015" s="302"/>
      <c r="U1015" s="303"/>
      <c r="V1015" s="305">
        <f t="shared" si="63"/>
        <v>0</v>
      </c>
      <c r="W1015" s="305" t="str">
        <f t="shared" si="60"/>
        <v xml:space="preserve"> </v>
      </c>
      <c r="X1015" s="288"/>
    </row>
    <row r="1016" spans="1:24">
      <c r="A1016" s="286">
        <v>136</v>
      </c>
      <c r="C1016" s="286" t="s">
        <v>644</v>
      </c>
      <c r="D1016" s="286"/>
      <c r="E1016" s="286" t="s">
        <v>610</v>
      </c>
      <c r="F1016" s="286">
        <v>26</v>
      </c>
      <c r="G1016" s="425">
        <v>90.99</v>
      </c>
      <c r="H1016" s="425">
        <v>6</v>
      </c>
      <c r="J1016" s="289"/>
      <c r="K1016" s="289"/>
      <c r="L1016" s="291"/>
      <c r="M1016" s="291"/>
      <c r="N1016" s="300"/>
      <c r="O1016" s="296"/>
      <c r="P1016" s="294"/>
      <c r="Q1016" s="294"/>
      <c r="R1016" s="295"/>
      <c r="S1016" s="302">
        <f t="shared" si="61"/>
        <v>0</v>
      </c>
      <c r="T1016" s="302"/>
      <c r="U1016" s="303"/>
      <c r="V1016" s="305">
        <f t="shared" si="63"/>
        <v>0</v>
      </c>
      <c r="W1016" s="305" t="str">
        <f t="shared" si="60"/>
        <v xml:space="preserve"> </v>
      </c>
      <c r="X1016" s="288"/>
    </row>
    <row r="1017" spans="1:24">
      <c r="A1017" s="286">
        <v>136</v>
      </c>
      <c r="C1017" s="286" t="s">
        <v>644</v>
      </c>
      <c r="D1017" s="286"/>
      <c r="E1017" s="286" t="s">
        <v>612</v>
      </c>
      <c r="F1017" s="286">
        <v>26</v>
      </c>
      <c r="G1017" s="425">
        <v>50</v>
      </c>
      <c r="H1017" s="425">
        <v>0</v>
      </c>
      <c r="J1017" s="289"/>
      <c r="K1017" s="289"/>
      <c r="L1017" s="291"/>
      <c r="M1017" s="291"/>
      <c r="N1017" s="300"/>
      <c r="O1017" s="296"/>
      <c r="P1017" s="294"/>
      <c r="Q1017" s="294"/>
      <c r="R1017" s="295"/>
      <c r="S1017" s="302">
        <f t="shared" si="61"/>
        <v>0</v>
      </c>
      <c r="T1017" s="302"/>
      <c r="U1017" s="303"/>
      <c r="V1017" s="305">
        <f t="shared" si="63"/>
        <v>50</v>
      </c>
      <c r="W1017" s="305" t="str">
        <f t="shared" si="60"/>
        <v xml:space="preserve"> </v>
      </c>
      <c r="X1017" s="288"/>
    </row>
    <row r="1018" spans="1:24">
      <c r="A1018" s="286">
        <v>136</v>
      </c>
      <c r="C1018" s="286" t="s">
        <v>644</v>
      </c>
      <c r="D1018" s="286"/>
      <c r="E1018" s="286" t="s">
        <v>614</v>
      </c>
      <c r="F1018" s="286">
        <v>26</v>
      </c>
      <c r="G1018" s="425">
        <v>62.5</v>
      </c>
      <c r="H1018" s="425">
        <v>0</v>
      </c>
      <c r="J1018" s="289"/>
      <c r="K1018" s="289"/>
      <c r="L1018" s="291"/>
      <c r="M1018" s="291"/>
      <c r="N1018" s="300"/>
      <c r="O1018" s="296"/>
      <c r="P1018" s="294"/>
      <c r="Q1018" s="294"/>
      <c r="R1018" s="295"/>
      <c r="S1018" s="302">
        <f t="shared" si="61"/>
        <v>0</v>
      </c>
      <c r="T1018" s="302"/>
      <c r="U1018" s="303"/>
      <c r="V1018" s="305">
        <f t="shared" si="63"/>
        <v>62.5</v>
      </c>
      <c r="W1018" s="305" t="str">
        <f t="shared" si="60"/>
        <v xml:space="preserve"> </v>
      </c>
      <c r="X1018" s="288"/>
    </row>
    <row r="1019" spans="1:24">
      <c r="A1019" s="286">
        <v>136</v>
      </c>
      <c r="C1019" s="286" t="s">
        <v>644</v>
      </c>
      <c r="D1019" s="286"/>
      <c r="E1019" s="286" t="s">
        <v>616</v>
      </c>
      <c r="F1019" s="286">
        <v>26</v>
      </c>
      <c r="G1019" s="425">
        <v>100</v>
      </c>
      <c r="H1019" s="425">
        <v>0</v>
      </c>
      <c r="J1019" s="289"/>
      <c r="K1019" s="289"/>
      <c r="L1019" s="291"/>
      <c r="M1019" s="291"/>
      <c r="N1019" s="300"/>
      <c r="O1019" s="296"/>
      <c r="P1019" s="294"/>
      <c r="Q1019" s="294"/>
      <c r="R1019" s="295"/>
      <c r="S1019" s="302">
        <f t="shared" si="61"/>
        <v>0</v>
      </c>
      <c r="T1019" s="302"/>
      <c r="U1019" s="303"/>
      <c r="V1019" s="305">
        <f t="shared" si="63"/>
        <v>100</v>
      </c>
      <c r="W1019" s="305">
        <f t="shared" si="60"/>
        <v>25</v>
      </c>
      <c r="X1019" s="288"/>
    </row>
    <row r="1020" spans="1:24">
      <c r="A1020" s="286">
        <v>137</v>
      </c>
      <c r="C1020" s="286" t="s">
        <v>644</v>
      </c>
      <c r="D1020" s="286"/>
      <c r="E1020" s="286" t="s">
        <v>598</v>
      </c>
      <c r="F1020" s="286">
        <f>IF(VLOOKUP(A1020,'WP-5 Payroll Data'!$K$11:$O$151,3,FALSE)&gt;26,26,VLOOKUP(A1020,'WP-5 Payroll Data'!$K$11:$O$151,3,FALSE))</f>
        <v>26</v>
      </c>
      <c r="G1020" s="425">
        <v>8100.8900000000031</v>
      </c>
      <c r="H1020" s="425">
        <v>470.75</v>
      </c>
      <c r="J1020" s="289">
        <f>VLOOKUP(A1020,'WP-5 Payroll Data'!$K$11:$O$151,4,FALSE)</f>
        <v>8843.8800000000047</v>
      </c>
      <c r="K1020" s="289">
        <f>VLOOKUP(A1020,'WP-5 Payroll Data'!$K$11:$O$151,5,FALSE)</f>
        <v>514</v>
      </c>
      <c r="L1020" s="289">
        <f>J1020/K1020</f>
        <v>17.205992217898842</v>
      </c>
      <c r="M1020" s="289"/>
      <c r="N1020" s="300">
        <f>IF((K1020/F1020)*26&gt;1500,2080,IF((K1020/F1020)*26&gt;300,520,IF((K1020/F1020)*26&gt;100,260,K1020)))</f>
        <v>520</v>
      </c>
      <c r="O1020" s="296">
        <f>N1020*L1020</f>
        <v>8947.1159533073987</v>
      </c>
      <c r="P1020" s="294"/>
      <c r="Q1020" s="294">
        <f>O1020*0.03</f>
        <v>268.41347859922195</v>
      </c>
      <c r="R1020" s="295"/>
      <c r="S1020" s="302">
        <f t="shared" si="61"/>
        <v>0</v>
      </c>
      <c r="T1020" s="302"/>
      <c r="U1020" s="303"/>
      <c r="V1020" s="305">
        <f t="shared" si="63"/>
        <v>0</v>
      </c>
      <c r="W1020" s="305" t="str">
        <f t="shared" si="60"/>
        <v xml:space="preserve"> </v>
      </c>
      <c r="X1020" s="288"/>
    </row>
    <row r="1021" spans="1:24">
      <c r="A1021" s="286">
        <v>137</v>
      </c>
      <c r="C1021" s="286" t="s">
        <v>644</v>
      </c>
      <c r="D1021" s="286"/>
      <c r="E1021" s="286" t="s">
        <v>599</v>
      </c>
      <c r="F1021" s="286">
        <v>26</v>
      </c>
      <c r="G1021" s="425">
        <v>20.05</v>
      </c>
      <c r="H1021" s="425">
        <v>0.8</v>
      </c>
      <c r="J1021" s="289"/>
      <c r="K1021" s="289"/>
      <c r="L1021" s="291"/>
      <c r="M1021" s="291"/>
      <c r="N1021" s="300"/>
      <c r="O1021" s="296"/>
      <c r="P1021" s="294"/>
      <c r="Q1021" s="294"/>
      <c r="R1021" s="295"/>
      <c r="S1021" s="302">
        <f t="shared" si="61"/>
        <v>20.05</v>
      </c>
      <c r="T1021" s="302">
        <f t="shared" si="62"/>
        <v>0.60150000000000003</v>
      </c>
      <c r="U1021" s="303"/>
      <c r="V1021" s="305">
        <f t="shared" si="63"/>
        <v>0</v>
      </c>
      <c r="W1021" s="305" t="str">
        <f t="shared" si="60"/>
        <v xml:space="preserve"> </v>
      </c>
      <c r="X1021" s="288"/>
    </row>
    <row r="1022" spans="1:24">
      <c r="A1022" s="286">
        <v>137</v>
      </c>
      <c r="C1022" s="286" t="s">
        <v>644</v>
      </c>
      <c r="D1022" s="286"/>
      <c r="E1022" s="286" t="s">
        <v>605</v>
      </c>
      <c r="F1022" s="286">
        <v>26</v>
      </c>
      <c r="G1022" s="425">
        <v>597.65000000000009</v>
      </c>
      <c r="H1022" s="425">
        <v>34.81</v>
      </c>
      <c r="J1022" s="289"/>
      <c r="K1022" s="289"/>
      <c r="L1022" s="291"/>
      <c r="M1022" s="291"/>
      <c r="N1022" s="300"/>
      <c r="O1022" s="296"/>
      <c r="P1022" s="294"/>
      <c r="Q1022" s="294"/>
      <c r="R1022" s="295"/>
      <c r="S1022" s="302">
        <f t="shared" si="61"/>
        <v>0</v>
      </c>
      <c r="T1022" s="302"/>
      <c r="U1022" s="303"/>
      <c r="V1022" s="305">
        <f t="shared" si="63"/>
        <v>0</v>
      </c>
      <c r="W1022" s="305" t="str">
        <f t="shared" si="60"/>
        <v xml:space="preserve"> </v>
      </c>
      <c r="X1022" s="288"/>
    </row>
    <row r="1023" spans="1:24">
      <c r="A1023" s="286">
        <v>137</v>
      </c>
      <c r="C1023" s="286" t="s">
        <v>644</v>
      </c>
      <c r="D1023" s="286"/>
      <c r="E1023" s="286" t="s">
        <v>608</v>
      </c>
      <c r="F1023" s="286">
        <v>26</v>
      </c>
      <c r="G1023" s="425">
        <v>7.54</v>
      </c>
      <c r="H1023" s="425">
        <v>0.44</v>
      </c>
      <c r="J1023" s="289"/>
      <c r="K1023" s="289"/>
      <c r="L1023" s="291"/>
      <c r="M1023" s="291"/>
      <c r="N1023" s="300"/>
      <c r="O1023" s="296"/>
      <c r="P1023" s="294"/>
      <c r="Q1023" s="294"/>
      <c r="R1023" s="295"/>
      <c r="S1023" s="302">
        <f t="shared" si="61"/>
        <v>0</v>
      </c>
      <c r="T1023" s="302"/>
      <c r="U1023" s="303"/>
      <c r="V1023" s="305">
        <f t="shared" si="63"/>
        <v>0</v>
      </c>
      <c r="W1023" s="305" t="str">
        <f t="shared" si="60"/>
        <v xml:space="preserve"> </v>
      </c>
      <c r="X1023" s="288"/>
    </row>
    <row r="1024" spans="1:24">
      <c r="A1024" s="286">
        <v>137</v>
      </c>
      <c r="C1024" s="286" t="s">
        <v>644</v>
      </c>
      <c r="D1024" s="286"/>
      <c r="E1024" s="286" t="s">
        <v>602</v>
      </c>
      <c r="F1024" s="286">
        <v>26</v>
      </c>
      <c r="G1024" s="425">
        <v>103.35000000000001</v>
      </c>
      <c r="H1024" s="425">
        <v>6</v>
      </c>
      <c r="J1024" s="289"/>
      <c r="K1024" s="289"/>
      <c r="L1024" s="291"/>
      <c r="M1024" s="291"/>
      <c r="N1024" s="300"/>
      <c r="O1024" s="296"/>
      <c r="P1024" s="294"/>
      <c r="Q1024" s="294"/>
      <c r="R1024" s="295"/>
      <c r="S1024" s="302">
        <f t="shared" si="61"/>
        <v>0</v>
      </c>
      <c r="T1024" s="302"/>
      <c r="U1024" s="303"/>
      <c r="V1024" s="305">
        <f t="shared" si="63"/>
        <v>103.35000000000001</v>
      </c>
      <c r="W1024" s="305" t="str">
        <f t="shared" si="60"/>
        <v xml:space="preserve"> </v>
      </c>
      <c r="X1024" s="288"/>
    </row>
    <row r="1025" spans="1:24">
      <c r="A1025" s="286">
        <v>137</v>
      </c>
      <c r="C1025" s="286" t="s">
        <v>644</v>
      </c>
      <c r="D1025" s="286"/>
      <c r="E1025" s="286" t="s">
        <v>610</v>
      </c>
      <c r="F1025" s="286">
        <v>26</v>
      </c>
      <c r="G1025" s="425">
        <v>103.35000000000001</v>
      </c>
      <c r="H1025" s="425">
        <v>6</v>
      </c>
      <c r="J1025" s="289"/>
      <c r="K1025" s="289"/>
      <c r="L1025" s="291"/>
      <c r="M1025" s="291"/>
      <c r="N1025" s="300"/>
      <c r="O1025" s="296"/>
      <c r="P1025" s="294"/>
      <c r="Q1025" s="294"/>
      <c r="R1025" s="295"/>
      <c r="S1025" s="302">
        <f t="shared" si="61"/>
        <v>0</v>
      </c>
      <c r="T1025" s="302"/>
      <c r="U1025" s="303"/>
      <c r="V1025" s="305">
        <f t="shared" si="63"/>
        <v>0</v>
      </c>
      <c r="W1025" s="305" t="str">
        <f t="shared" si="60"/>
        <v xml:space="preserve"> </v>
      </c>
      <c r="X1025" s="288"/>
    </row>
    <row r="1026" spans="1:24">
      <c r="A1026" s="286">
        <v>137</v>
      </c>
      <c r="C1026" s="286" t="s">
        <v>644</v>
      </c>
      <c r="D1026" s="286"/>
      <c r="E1026" s="286" t="s">
        <v>638</v>
      </c>
      <c r="F1026" s="286">
        <v>26</v>
      </c>
      <c r="G1026" s="425">
        <v>34.450000000000003</v>
      </c>
      <c r="H1026" s="425">
        <v>2</v>
      </c>
      <c r="J1026" s="289"/>
      <c r="K1026" s="289"/>
      <c r="L1026" s="291"/>
      <c r="M1026" s="291"/>
      <c r="N1026" s="300"/>
      <c r="O1026" s="296"/>
      <c r="P1026" s="294"/>
      <c r="Q1026" s="294"/>
      <c r="R1026" s="295"/>
      <c r="S1026" s="302">
        <f t="shared" si="61"/>
        <v>0</v>
      </c>
      <c r="T1026" s="302"/>
      <c r="U1026" s="303"/>
      <c r="V1026" s="305">
        <f t="shared" si="63"/>
        <v>0</v>
      </c>
      <c r="W1026" s="305" t="str">
        <f t="shared" si="60"/>
        <v xml:space="preserve"> </v>
      </c>
      <c r="X1026" s="288"/>
    </row>
    <row r="1027" spans="1:24">
      <c r="A1027" s="286">
        <v>137</v>
      </c>
      <c r="C1027" s="286" t="s">
        <v>644</v>
      </c>
      <c r="D1027" s="286"/>
      <c r="E1027" s="286" t="s">
        <v>614</v>
      </c>
      <c r="F1027" s="286">
        <v>26</v>
      </c>
      <c r="G1027" s="425">
        <v>62.5</v>
      </c>
      <c r="H1027" s="425">
        <v>0</v>
      </c>
      <c r="J1027" s="289"/>
      <c r="K1027" s="289"/>
      <c r="L1027" s="291"/>
      <c r="M1027" s="291"/>
      <c r="N1027" s="300"/>
      <c r="O1027" s="296"/>
      <c r="P1027" s="294"/>
      <c r="Q1027" s="294"/>
      <c r="R1027" s="295"/>
      <c r="S1027" s="302">
        <f t="shared" si="61"/>
        <v>0</v>
      </c>
      <c r="T1027" s="302"/>
      <c r="U1027" s="303"/>
      <c r="V1027" s="305">
        <f t="shared" si="63"/>
        <v>62.5</v>
      </c>
      <c r="W1027" s="305" t="str">
        <f t="shared" si="60"/>
        <v xml:space="preserve"> </v>
      </c>
      <c r="X1027" s="288"/>
    </row>
    <row r="1028" spans="1:24">
      <c r="A1028" s="286">
        <v>137</v>
      </c>
      <c r="C1028" s="286" t="s">
        <v>644</v>
      </c>
      <c r="D1028" s="286"/>
      <c r="E1028" s="286" t="s">
        <v>616</v>
      </c>
      <c r="F1028" s="286">
        <v>26</v>
      </c>
      <c r="G1028" s="425">
        <v>400</v>
      </c>
      <c r="H1028" s="425">
        <v>0</v>
      </c>
      <c r="J1028" s="289"/>
      <c r="K1028" s="289"/>
      <c r="L1028" s="291"/>
      <c r="M1028" s="291"/>
      <c r="N1028" s="300"/>
      <c r="O1028" s="296"/>
      <c r="P1028" s="294"/>
      <c r="Q1028" s="294"/>
      <c r="R1028" s="295"/>
      <c r="S1028" s="302">
        <f t="shared" si="61"/>
        <v>0</v>
      </c>
      <c r="T1028" s="302"/>
      <c r="U1028" s="303"/>
      <c r="V1028" s="305">
        <f t="shared" si="63"/>
        <v>400</v>
      </c>
      <c r="W1028" s="305">
        <f t="shared" si="60"/>
        <v>100</v>
      </c>
      <c r="X1028" s="288"/>
    </row>
    <row r="1029" spans="1:24">
      <c r="A1029" s="286">
        <v>138</v>
      </c>
      <c r="C1029" s="286" t="s">
        <v>650</v>
      </c>
      <c r="D1029" s="286"/>
      <c r="E1029" s="286" t="s">
        <v>598</v>
      </c>
      <c r="F1029" s="286">
        <f>IF(VLOOKUP(A1029,'WP-5 Payroll Data'!$K$11:$O$151,3,FALSE)&gt;26,26,VLOOKUP(A1029,'WP-5 Payroll Data'!$K$11:$O$151,3,FALSE))</f>
        <v>26</v>
      </c>
      <c r="G1029" s="425">
        <v>11661.259999999998</v>
      </c>
      <c r="H1029" s="425">
        <v>229</v>
      </c>
      <c r="J1029" s="289">
        <f>VLOOKUP(A1029,'WP-5 Payroll Data'!$K$11:$O$151,4,FALSE)</f>
        <v>13136.059999999998</v>
      </c>
      <c r="K1029" s="289">
        <f>VLOOKUP(A1029,'WP-5 Payroll Data'!$K$11:$O$151,5,FALSE)</f>
        <v>258</v>
      </c>
      <c r="L1029" s="289">
        <f>J1029/K1029</f>
        <v>50.91496124031007</v>
      </c>
      <c r="M1029" s="289"/>
      <c r="N1029" s="300">
        <f>IF((K1029/F1029)*26&gt;1500,2080,IF((K1029/F1029)*26&gt;300,520,IF((K1029/F1029)*26&gt;100,260,K1029)))</f>
        <v>260</v>
      </c>
      <c r="O1029" s="296">
        <f>N1029*L1029</f>
        <v>13237.889922480619</v>
      </c>
      <c r="P1029" s="294"/>
      <c r="Q1029" s="294">
        <f>O1029*0.03</f>
        <v>397.13669767441854</v>
      </c>
      <c r="R1029" s="295"/>
      <c r="S1029" s="302">
        <f t="shared" si="61"/>
        <v>0</v>
      </c>
      <c r="T1029" s="302"/>
      <c r="U1029" s="303"/>
      <c r="V1029" s="305">
        <f t="shared" si="63"/>
        <v>0</v>
      </c>
      <c r="W1029" s="305" t="str">
        <f t="shared" si="60"/>
        <v xml:space="preserve"> </v>
      </c>
      <c r="X1029" s="288"/>
    </row>
    <row r="1030" spans="1:24">
      <c r="A1030" s="286">
        <v>138</v>
      </c>
      <c r="C1030" s="286" t="s">
        <v>650</v>
      </c>
      <c r="D1030" s="286"/>
      <c r="E1030" s="286" t="s">
        <v>605</v>
      </c>
      <c r="F1030" s="286">
        <v>26</v>
      </c>
      <c r="G1030" s="425">
        <v>1270.8300000000002</v>
      </c>
      <c r="H1030" s="425">
        <v>25</v>
      </c>
      <c r="J1030" s="289"/>
      <c r="K1030" s="289"/>
      <c r="L1030" s="291"/>
      <c r="M1030" s="291"/>
      <c r="N1030" s="300"/>
      <c r="O1030" s="296"/>
      <c r="P1030" s="294"/>
      <c r="Q1030" s="294"/>
      <c r="R1030" s="295"/>
      <c r="S1030" s="302">
        <f t="shared" si="61"/>
        <v>0</v>
      </c>
      <c r="T1030" s="302"/>
      <c r="U1030" s="303"/>
      <c r="V1030" s="305">
        <f t="shared" si="63"/>
        <v>0</v>
      </c>
      <c r="W1030" s="305" t="str">
        <f t="shared" si="60"/>
        <v xml:space="preserve"> </v>
      </c>
      <c r="X1030" s="288"/>
    </row>
    <row r="1031" spans="1:24">
      <c r="A1031" s="286">
        <v>138</v>
      </c>
      <c r="C1031" s="286" t="s">
        <v>650</v>
      </c>
      <c r="D1031" s="286"/>
      <c r="E1031" s="286" t="s">
        <v>608</v>
      </c>
      <c r="F1031" s="286">
        <v>26</v>
      </c>
      <c r="G1031" s="425">
        <v>50.99</v>
      </c>
      <c r="H1031" s="425">
        <v>1</v>
      </c>
      <c r="J1031" s="289"/>
      <c r="K1031" s="289"/>
      <c r="L1031" s="291"/>
      <c r="M1031" s="291"/>
      <c r="N1031" s="300"/>
      <c r="O1031" s="296"/>
      <c r="P1031" s="294"/>
      <c r="Q1031" s="294"/>
      <c r="R1031" s="295"/>
      <c r="S1031" s="302">
        <f t="shared" si="61"/>
        <v>0</v>
      </c>
      <c r="T1031" s="302"/>
      <c r="U1031" s="303"/>
      <c r="V1031" s="305">
        <f t="shared" si="63"/>
        <v>0</v>
      </c>
      <c r="W1031" s="305" t="str">
        <f t="shared" si="60"/>
        <v xml:space="preserve"> </v>
      </c>
      <c r="X1031" s="288"/>
    </row>
    <row r="1032" spans="1:24">
      <c r="A1032" s="286">
        <v>138</v>
      </c>
      <c r="C1032" s="286" t="s">
        <v>650</v>
      </c>
      <c r="D1032" s="286"/>
      <c r="E1032" s="286" t="s">
        <v>602</v>
      </c>
      <c r="F1032" s="286">
        <v>26</v>
      </c>
      <c r="G1032" s="425">
        <v>101.98</v>
      </c>
      <c r="H1032" s="425">
        <v>2</v>
      </c>
      <c r="J1032" s="289"/>
      <c r="K1032" s="289"/>
      <c r="L1032" s="291"/>
      <c r="M1032" s="291"/>
      <c r="N1032" s="300"/>
      <c r="O1032" s="296"/>
      <c r="P1032" s="294"/>
      <c r="Q1032" s="294"/>
      <c r="R1032" s="295"/>
      <c r="S1032" s="302">
        <f t="shared" si="61"/>
        <v>0</v>
      </c>
      <c r="T1032" s="302"/>
      <c r="U1032" s="303"/>
      <c r="V1032" s="305">
        <f t="shared" si="63"/>
        <v>101.98</v>
      </c>
      <c r="W1032" s="305" t="str">
        <f t="shared" si="60"/>
        <v xml:space="preserve"> </v>
      </c>
      <c r="X1032" s="288"/>
    </row>
    <row r="1033" spans="1:24">
      <c r="A1033" s="286">
        <v>138</v>
      </c>
      <c r="C1033" s="286" t="s">
        <v>650</v>
      </c>
      <c r="D1033" s="286"/>
      <c r="E1033" s="286" t="s">
        <v>610</v>
      </c>
      <c r="F1033" s="286">
        <v>26</v>
      </c>
      <c r="G1033" s="425">
        <v>152.98000000000002</v>
      </c>
      <c r="H1033" s="425">
        <v>3</v>
      </c>
      <c r="J1033" s="289"/>
      <c r="K1033" s="289"/>
      <c r="L1033" s="291"/>
      <c r="M1033" s="291"/>
      <c r="N1033" s="300"/>
      <c r="O1033" s="296"/>
      <c r="P1033" s="294"/>
      <c r="Q1033" s="294"/>
      <c r="R1033" s="295"/>
      <c r="S1033" s="302">
        <f t="shared" si="61"/>
        <v>0</v>
      </c>
      <c r="T1033" s="302"/>
      <c r="U1033" s="303"/>
      <c r="V1033" s="305">
        <f t="shared" si="63"/>
        <v>0</v>
      </c>
      <c r="W1033" s="305" t="str">
        <f t="shared" si="60"/>
        <v xml:space="preserve"> </v>
      </c>
      <c r="X1033" s="288"/>
    </row>
    <row r="1034" spans="1:24">
      <c r="A1034" s="286">
        <v>138</v>
      </c>
      <c r="C1034" s="286" t="s">
        <v>650</v>
      </c>
      <c r="D1034" s="286"/>
      <c r="E1034" s="286" t="s">
        <v>612</v>
      </c>
      <c r="F1034" s="286">
        <v>26</v>
      </c>
      <c r="G1034" s="425">
        <v>12.5</v>
      </c>
      <c r="H1034" s="425">
        <v>0</v>
      </c>
      <c r="J1034" s="289"/>
      <c r="K1034" s="289"/>
      <c r="L1034" s="291"/>
      <c r="M1034" s="291"/>
      <c r="N1034" s="300"/>
      <c r="O1034" s="296"/>
      <c r="P1034" s="294"/>
      <c r="Q1034" s="294"/>
      <c r="R1034" s="295"/>
      <c r="S1034" s="302">
        <f t="shared" si="61"/>
        <v>0</v>
      </c>
      <c r="T1034" s="302"/>
      <c r="U1034" s="303"/>
      <c r="V1034" s="305">
        <f t="shared" si="63"/>
        <v>12.5</v>
      </c>
      <c r="W1034" s="305" t="str">
        <f t="shared" ref="W1034:W1049" si="64">IF($E1034=$AA$29,-$V1034,IF(OR($E1034=$AA$18,$E1034=$AA$23,$E1034=$AA$24,$E1034=$AA$26),(($V1034/200)*50)," "))</f>
        <v xml:space="preserve"> </v>
      </c>
      <c r="X1034" s="288"/>
    </row>
    <row r="1035" spans="1:24">
      <c r="A1035" s="286">
        <v>138</v>
      </c>
      <c r="C1035" s="286" t="s">
        <v>650</v>
      </c>
      <c r="D1035" s="286"/>
      <c r="E1035" s="286" t="s">
        <v>624</v>
      </c>
      <c r="F1035" s="286">
        <v>26</v>
      </c>
      <c r="G1035" s="425">
        <v>87.5</v>
      </c>
      <c r="H1035" s="425">
        <v>0</v>
      </c>
      <c r="J1035" s="289"/>
      <c r="K1035" s="289"/>
      <c r="L1035" s="291"/>
      <c r="M1035" s="291"/>
      <c r="N1035" s="300"/>
      <c r="O1035" s="296"/>
      <c r="P1035" s="294"/>
      <c r="Q1035" s="294"/>
      <c r="R1035" s="295"/>
      <c r="S1035" s="302">
        <f t="shared" ref="S1035:S1049" si="65">IF(OR($E1035=$Y$10,$E1035=$Y$11,$E1035=$Y$12,$E1035=$Y$13),$G1035,0)</f>
        <v>0</v>
      </c>
      <c r="T1035" s="302"/>
      <c r="U1035" s="303"/>
      <c r="V1035" s="305">
        <f t="shared" ref="V1035:V1049" si="66">IF(OR($E1035=$AA$10,$E1035=$AA$11,$E1035=$AA$12,$E1035=$AA$13,$E1035=$AA$14,$E1035=$AA$15,$E1035=$AA$16,$E1035=$AA$17,$E1035=$AA$18,$E1035=$AA$19,$E1035=$AA$20,$E1035=$AA$21,$E1035=$AA$22,$E1035=$AA$23,$E1035=$AA$24,$E1035=$AA$25,$E1035=$AA$26,$E1035=$AA$27,$E1035=$AA$28,$E1035=$AA$29),G1035,0)</f>
        <v>87.5</v>
      </c>
      <c r="W1035" s="305">
        <f t="shared" si="64"/>
        <v>21.875</v>
      </c>
      <c r="X1035" s="288"/>
    </row>
    <row r="1036" spans="1:24">
      <c r="A1036" s="286">
        <v>139</v>
      </c>
      <c r="C1036" s="286" t="s">
        <v>619</v>
      </c>
      <c r="D1036" s="286" t="s">
        <v>684</v>
      </c>
      <c r="E1036" s="286" t="s">
        <v>621</v>
      </c>
      <c r="F1036" s="286">
        <f>IF(VLOOKUP(A1036,'WP-5 Payroll Data'!$K$11:$O$151,3,FALSE)&gt;26,26,VLOOKUP(A1036,'WP-5 Payroll Data'!$K$11:$O$151,3,FALSE))</f>
        <v>26</v>
      </c>
      <c r="G1036" s="425">
        <v>36282.519999999997</v>
      </c>
      <c r="H1036" s="425">
        <v>1600.5</v>
      </c>
      <c r="J1036" s="289">
        <f>VLOOKUP(A1036,'WP-5 Payroll Data'!$K$11:$O$151,4,FALSE)</f>
        <v>47701.19999999999</v>
      </c>
      <c r="K1036" s="289">
        <f>VLOOKUP(A1036,'WP-5 Payroll Data'!$K$11:$O$151,5,FALSE)</f>
        <v>2080</v>
      </c>
      <c r="L1036" s="289">
        <f>J1036/K1036</f>
        <v>22.933269230769227</v>
      </c>
      <c r="M1036" s="289"/>
      <c r="N1036" s="300">
        <f>IF((K1036/F1036)*26&gt;1500,2080,IF((K1036/F1036)*26&gt;300,520,IF((K1036/F1036)*26&gt;100,260,K1036)))</f>
        <v>2080</v>
      </c>
      <c r="O1036" s="296">
        <f>N1036*L1036</f>
        <v>47701.19999999999</v>
      </c>
      <c r="P1036" s="294"/>
      <c r="Q1036" s="294">
        <f>O1036*0.03</f>
        <v>1431.0359999999996</v>
      </c>
      <c r="R1036" s="295"/>
      <c r="S1036" s="302">
        <f t="shared" si="65"/>
        <v>0</v>
      </c>
      <c r="T1036" s="302"/>
      <c r="U1036" s="303"/>
      <c r="V1036" s="305">
        <f t="shared" si="66"/>
        <v>0</v>
      </c>
      <c r="W1036" s="305" t="str">
        <f t="shared" si="64"/>
        <v xml:space="preserve"> </v>
      </c>
      <c r="X1036" s="288"/>
    </row>
    <row r="1037" spans="1:24">
      <c r="A1037" s="286">
        <v>139</v>
      </c>
      <c r="C1037" s="286" t="s">
        <v>619</v>
      </c>
      <c r="D1037" s="286" t="s">
        <v>684</v>
      </c>
      <c r="E1037" s="286" t="s">
        <v>622</v>
      </c>
      <c r="F1037" s="286">
        <v>27</v>
      </c>
      <c r="G1037" s="425">
        <v>2957.6599999999994</v>
      </c>
      <c r="H1037" s="425">
        <v>120</v>
      </c>
      <c r="J1037" s="289"/>
      <c r="K1037" s="289"/>
      <c r="L1037" s="291"/>
      <c r="M1037" s="291"/>
      <c r="N1037" s="300"/>
      <c r="O1037" s="296"/>
      <c r="P1037" s="294"/>
      <c r="Q1037" s="294"/>
      <c r="R1037" s="295"/>
      <c r="S1037" s="302">
        <f t="shared" si="65"/>
        <v>0</v>
      </c>
      <c r="T1037" s="302"/>
      <c r="U1037" s="303"/>
      <c r="V1037" s="305">
        <f t="shared" si="66"/>
        <v>0</v>
      </c>
      <c r="W1037" s="305" t="str">
        <f t="shared" si="64"/>
        <v xml:space="preserve"> </v>
      </c>
      <c r="X1037" s="288"/>
    </row>
    <row r="1038" spans="1:24">
      <c r="A1038" s="286">
        <v>139</v>
      </c>
      <c r="C1038" s="286" t="s">
        <v>619</v>
      </c>
      <c r="D1038" s="286" t="s">
        <v>684</v>
      </c>
      <c r="E1038" s="286" t="s">
        <v>599</v>
      </c>
      <c r="F1038" s="286">
        <v>27</v>
      </c>
      <c r="G1038" s="425">
        <v>1957.31</v>
      </c>
      <c r="H1038" s="425">
        <v>58.9</v>
      </c>
      <c r="J1038" s="289"/>
      <c r="K1038" s="289"/>
      <c r="L1038" s="291"/>
      <c r="M1038" s="291"/>
      <c r="N1038" s="300"/>
      <c r="O1038" s="296"/>
      <c r="P1038" s="294"/>
      <c r="Q1038" s="294"/>
      <c r="R1038" s="295"/>
      <c r="S1038" s="302">
        <f t="shared" si="65"/>
        <v>1957.31</v>
      </c>
      <c r="T1038" s="302">
        <f t="shared" ref="T1038:T1040" si="67">S1038*0.03</f>
        <v>58.719299999999997</v>
      </c>
      <c r="U1038" s="303"/>
      <c r="V1038" s="305">
        <f t="shared" si="66"/>
        <v>0</v>
      </c>
      <c r="W1038" s="305" t="str">
        <f t="shared" si="64"/>
        <v xml:space="preserve"> </v>
      </c>
      <c r="X1038" s="288"/>
    </row>
    <row r="1039" spans="1:24">
      <c r="A1039" s="286">
        <v>139</v>
      </c>
      <c r="C1039" s="286" t="s">
        <v>619</v>
      </c>
      <c r="D1039" s="286" t="s">
        <v>684</v>
      </c>
      <c r="E1039" s="286" t="s">
        <v>601</v>
      </c>
      <c r="F1039" s="286">
        <v>27</v>
      </c>
      <c r="G1039" s="425">
        <v>4563.92</v>
      </c>
      <c r="H1039" s="425">
        <v>100.9</v>
      </c>
      <c r="J1039" s="289"/>
      <c r="K1039" s="289"/>
      <c r="L1039" s="291"/>
      <c r="M1039" s="291"/>
      <c r="N1039" s="300"/>
      <c r="O1039" s="296"/>
      <c r="P1039" s="294"/>
      <c r="Q1039" s="294"/>
      <c r="R1039" s="295"/>
      <c r="S1039" s="302">
        <f t="shared" si="65"/>
        <v>4563.92</v>
      </c>
      <c r="T1039" s="302">
        <f t="shared" si="67"/>
        <v>136.91759999999999</v>
      </c>
      <c r="U1039" s="303"/>
      <c r="V1039" s="305">
        <f t="shared" si="66"/>
        <v>0</v>
      </c>
      <c r="W1039" s="305" t="str">
        <f t="shared" si="64"/>
        <v xml:space="preserve"> </v>
      </c>
      <c r="X1039" s="288"/>
    </row>
    <row r="1040" spans="1:24">
      <c r="A1040" s="286">
        <v>139</v>
      </c>
      <c r="C1040" s="286" t="s">
        <v>619</v>
      </c>
      <c r="D1040" s="286" t="s">
        <v>684</v>
      </c>
      <c r="E1040" s="286" t="s">
        <v>603</v>
      </c>
      <c r="F1040" s="286">
        <v>27</v>
      </c>
      <c r="G1040" s="425">
        <v>83.19</v>
      </c>
      <c r="H1040" s="425">
        <v>2.2000000000000002</v>
      </c>
      <c r="J1040" s="289"/>
      <c r="K1040" s="289"/>
      <c r="L1040" s="291"/>
      <c r="M1040" s="291"/>
      <c r="N1040" s="300"/>
      <c r="O1040" s="296"/>
      <c r="P1040" s="294"/>
      <c r="Q1040" s="294"/>
      <c r="R1040" s="295"/>
      <c r="S1040" s="302">
        <f t="shared" si="65"/>
        <v>83.19</v>
      </c>
      <c r="T1040" s="302">
        <f t="shared" si="67"/>
        <v>2.4956999999999998</v>
      </c>
      <c r="U1040" s="303"/>
      <c r="V1040" s="305">
        <f t="shared" si="66"/>
        <v>0</v>
      </c>
      <c r="W1040" s="305" t="str">
        <f t="shared" si="64"/>
        <v xml:space="preserve"> </v>
      </c>
      <c r="X1040" s="288"/>
    </row>
    <row r="1041" spans="1:25">
      <c r="A1041" s="286">
        <v>139</v>
      </c>
      <c r="C1041" s="286" t="s">
        <v>619</v>
      </c>
      <c r="D1041" s="286" t="s">
        <v>684</v>
      </c>
      <c r="E1041" s="286" t="s">
        <v>627</v>
      </c>
      <c r="F1041" s="286">
        <v>27</v>
      </c>
      <c r="G1041" s="425">
        <v>1668.9999999999998</v>
      </c>
      <c r="H1041" s="425">
        <v>72</v>
      </c>
      <c r="J1041" s="289"/>
      <c r="K1041" s="289"/>
      <c r="L1041" s="291"/>
      <c r="M1041" s="291"/>
      <c r="N1041" s="300"/>
      <c r="O1041" s="296"/>
      <c r="P1041" s="294"/>
      <c r="Q1041" s="294"/>
      <c r="R1041" s="295"/>
      <c r="S1041" s="302">
        <f t="shared" si="65"/>
        <v>0</v>
      </c>
      <c r="T1041" s="302"/>
      <c r="U1041" s="303"/>
      <c r="V1041" s="305">
        <f t="shared" si="66"/>
        <v>0</v>
      </c>
      <c r="W1041" s="305" t="str">
        <f t="shared" si="64"/>
        <v xml:space="preserve"> </v>
      </c>
      <c r="X1041" s="288"/>
    </row>
    <row r="1042" spans="1:25">
      <c r="A1042" s="286">
        <v>139</v>
      </c>
      <c r="C1042" s="286" t="s">
        <v>619</v>
      </c>
      <c r="D1042" s="286" t="s">
        <v>684</v>
      </c>
      <c r="E1042" s="286" t="s">
        <v>630</v>
      </c>
      <c r="F1042" s="286">
        <v>27</v>
      </c>
      <c r="G1042" s="425">
        <v>3487.4399999999996</v>
      </c>
      <c r="H1042" s="425">
        <v>151.5</v>
      </c>
      <c r="J1042" s="289"/>
      <c r="K1042" s="289"/>
      <c r="L1042" s="291"/>
      <c r="M1042" s="291"/>
      <c r="N1042" s="300"/>
      <c r="O1042" s="296"/>
      <c r="P1042" s="294"/>
      <c r="Q1042" s="294"/>
      <c r="R1042" s="295"/>
      <c r="S1042" s="302">
        <f t="shared" si="65"/>
        <v>0</v>
      </c>
      <c r="T1042" s="302"/>
      <c r="U1042" s="303"/>
      <c r="V1042" s="305">
        <f t="shared" si="66"/>
        <v>0</v>
      </c>
      <c r="W1042" s="305" t="str">
        <f t="shared" si="64"/>
        <v xml:space="preserve"> </v>
      </c>
      <c r="X1042" s="288"/>
    </row>
    <row r="1043" spans="1:25">
      <c r="A1043" s="286">
        <v>139</v>
      </c>
      <c r="C1043" s="286" t="s">
        <v>619</v>
      </c>
      <c r="D1043" s="286" t="s">
        <v>684</v>
      </c>
      <c r="E1043" s="286" t="s">
        <v>633</v>
      </c>
      <c r="F1043" s="286">
        <v>27</v>
      </c>
      <c r="G1043" s="425">
        <v>2574.6400000000003</v>
      </c>
      <c r="H1043" s="425">
        <v>112</v>
      </c>
      <c r="J1043" s="289"/>
      <c r="K1043" s="289"/>
      <c r="L1043" s="291"/>
      <c r="M1043" s="291"/>
      <c r="N1043" s="300"/>
      <c r="O1043" s="296"/>
      <c r="P1043" s="294"/>
      <c r="Q1043" s="294"/>
      <c r="R1043" s="295"/>
      <c r="S1043" s="302">
        <f t="shared" si="65"/>
        <v>0</v>
      </c>
      <c r="T1043" s="302"/>
      <c r="U1043" s="303"/>
      <c r="V1043" s="305">
        <f t="shared" si="66"/>
        <v>0</v>
      </c>
      <c r="W1043" s="305" t="str">
        <f t="shared" si="64"/>
        <v xml:space="preserve"> </v>
      </c>
      <c r="X1043" s="288"/>
    </row>
    <row r="1044" spans="1:25">
      <c r="A1044" s="286">
        <v>139</v>
      </c>
      <c r="C1044" s="286" t="s">
        <v>619</v>
      </c>
      <c r="D1044" s="286" t="s">
        <v>684</v>
      </c>
      <c r="E1044" s="286" t="s">
        <v>634</v>
      </c>
      <c r="F1044" s="286">
        <v>27</v>
      </c>
      <c r="G1044" s="425">
        <v>530.17000000000007</v>
      </c>
      <c r="H1044" s="425">
        <v>24</v>
      </c>
      <c r="J1044" s="289"/>
      <c r="K1044" s="289"/>
      <c r="L1044" s="291"/>
      <c r="M1044" s="291"/>
      <c r="N1044" s="300"/>
      <c r="O1044" s="296"/>
      <c r="P1044" s="294"/>
      <c r="Q1044" s="294"/>
      <c r="R1044" s="295"/>
      <c r="S1044" s="302">
        <f t="shared" si="65"/>
        <v>0</v>
      </c>
      <c r="T1044" s="302"/>
      <c r="U1044" s="303"/>
      <c r="V1044" s="305">
        <f t="shared" si="66"/>
        <v>0</v>
      </c>
      <c r="W1044" s="305" t="str">
        <f t="shared" si="64"/>
        <v xml:space="preserve"> </v>
      </c>
      <c r="X1044" s="288"/>
    </row>
    <row r="1045" spans="1:25">
      <c r="A1045" s="286">
        <v>139</v>
      </c>
      <c r="C1045" s="286" t="s">
        <v>619</v>
      </c>
      <c r="D1045" s="286" t="s">
        <v>684</v>
      </c>
      <c r="E1045" s="286" t="s">
        <v>623</v>
      </c>
      <c r="F1045" s="286">
        <v>27</v>
      </c>
      <c r="G1045" s="425">
        <v>250</v>
      </c>
      <c r="H1045" s="425">
        <v>0</v>
      </c>
      <c r="J1045" s="289"/>
      <c r="K1045" s="289"/>
      <c r="L1045" s="291"/>
      <c r="M1045" s="291"/>
      <c r="N1045" s="300"/>
      <c r="O1045" s="296"/>
      <c r="P1045" s="294"/>
      <c r="Q1045" s="294"/>
      <c r="R1045" s="295"/>
      <c r="S1045" s="302">
        <f t="shared" si="65"/>
        <v>0</v>
      </c>
      <c r="T1045" s="302"/>
      <c r="U1045" s="303"/>
      <c r="V1045" s="305">
        <f t="shared" si="66"/>
        <v>250</v>
      </c>
      <c r="W1045" s="305" t="str">
        <f t="shared" si="64"/>
        <v xml:space="preserve"> </v>
      </c>
      <c r="X1045" s="288"/>
    </row>
    <row r="1046" spans="1:25">
      <c r="A1046" s="286">
        <v>139</v>
      </c>
      <c r="C1046" s="286" t="s">
        <v>619</v>
      </c>
      <c r="D1046" s="286" t="s">
        <v>684</v>
      </c>
      <c r="E1046" s="286" t="s">
        <v>625</v>
      </c>
      <c r="F1046" s="286">
        <v>27</v>
      </c>
      <c r="G1046" s="425">
        <v>400</v>
      </c>
      <c r="H1046" s="425">
        <v>0</v>
      </c>
      <c r="J1046" s="289"/>
      <c r="K1046" s="289"/>
      <c r="L1046" s="291"/>
      <c r="M1046" s="291"/>
      <c r="N1046" s="300"/>
      <c r="O1046" s="296"/>
      <c r="P1046" s="294"/>
      <c r="Q1046" s="294"/>
      <c r="R1046" s="295"/>
      <c r="S1046" s="302">
        <f t="shared" si="65"/>
        <v>0</v>
      </c>
      <c r="T1046" s="302"/>
      <c r="U1046" s="303"/>
      <c r="V1046" s="305">
        <f t="shared" si="66"/>
        <v>400</v>
      </c>
      <c r="W1046" s="305">
        <f t="shared" si="64"/>
        <v>100</v>
      </c>
      <c r="X1046" s="288"/>
    </row>
    <row r="1047" spans="1:25">
      <c r="A1047" s="286">
        <v>139</v>
      </c>
      <c r="C1047" s="286" t="s">
        <v>619</v>
      </c>
      <c r="D1047" s="286" t="s">
        <v>684</v>
      </c>
      <c r="E1047" s="286" t="s">
        <v>629</v>
      </c>
      <c r="F1047" s="286">
        <v>27</v>
      </c>
      <c r="G1047" s="425">
        <v>4250</v>
      </c>
      <c r="H1047" s="425">
        <v>0</v>
      </c>
      <c r="J1047" s="289"/>
      <c r="K1047" s="289"/>
      <c r="L1047" s="291"/>
      <c r="M1047" s="291"/>
      <c r="N1047" s="300"/>
      <c r="O1047" s="296"/>
      <c r="P1047" s="294"/>
      <c r="Q1047" s="294"/>
      <c r="R1047" s="295"/>
      <c r="S1047" s="302">
        <f t="shared" si="65"/>
        <v>0</v>
      </c>
      <c r="T1047" s="302"/>
      <c r="U1047" s="303"/>
      <c r="V1047" s="305">
        <f t="shared" si="66"/>
        <v>4250</v>
      </c>
      <c r="W1047" s="305" t="str">
        <f t="shared" si="64"/>
        <v xml:space="preserve"> </v>
      </c>
      <c r="X1047" s="288"/>
    </row>
    <row r="1048" spans="1:25">
      <c r="A1048" s="286">
        <v>139</v>
      </c>
      <c r="C1048" s="286" t="s">
        <v>619</v>
      </c>
      <c r="D1048" s="286" t="s">
        <v>684</v>
      </c>
      <c r="E1048" s="286" t="s">
        <v>636</v>
      </c>
      <c r="F1048" s="286">
        <v>27</v>
      </c>
      <c r="G1048" s="425">
        <v>199.77</v>
      </c>
      <c r="H1048" s="425">
        <v>0</v>
      </c>
      <c r="J1048" s="289"/>
      <c r="K1048" s="289"/>
      <c r="L1048" s="291"/>
      <c r="M1048" s="291"/>
      <c r="N1048" s="300"/>
      <c r="O1048" s="296"/>
      <c r="P1048" s="294"/>
      <c r="Q1048" s="294"/>
      <c r="R1048" s="295"/>
      <c r="S1048" s="302">
        <f t="shared" si="65"/>
        <v>0</v>
      </c>
      <c r="T1048" s="302"/>
      <c r="U1048" s="303"/>
      <c r="V1048" s="305">
        <f t="shared" si="66"/>
        <v>0</v>
      </c>
      <c r="W1048" s="305" t="str">
        <f t="shared" si="64"/>
        <v xml:space="preserve"> </v>
      </c>
      <c r="X1048" s="288"/>
    </row>
    <row r="1049" spans="1:25">
      <c r="A1049" s="286">
        <v>139</v>
      </c>
      <c r="C1049" s="286" t="s">
        <v>619</v>
      </c>
      <c r="D1049" s="286" t="s">
        <v>684</v>
      </c>
      <c r="E1049" s="286" t="s">
        <v>632</v>
      </c>
      <c r="F1049" s="286">
        <v>27</v>
      </c>
      <c r="G1049" s="425">
        <v>7729.77</v>
      </c>
      <c r="H1049" s="424">
        <v>0</v>
      </c>
      <c r="J1049" s="289"/>
      <c r="K1049" s="289"/>
      <c r="L1049" s="291"/>
      <c r="M1049" s="291"/>
      <c r="N1049" s="300"/>
      <c r="O1049" s="296"/>
      <c r="P1049" s="294"/>
      <c r="Q1049" s="294"/>
      <c r="R1049" s="295"/>
      <c r="S1049" s="302">
        <f t="shared" si="65"/>
        <v>0</v>
      </c>
      <c r="T1049" s="302"/>
      <c r="U1049" s="303"/>
      <c r="V1049" s="305">
        <f t="shared" si="66"/>
        <v>7729.77</v>
      </c>
      <c r="W1049" s="305">
        <f t="shared" si="64"/>
        <v>-7729.77</v>
      </c>
      <c r="X1049" s="288"/>
    </row>
    <row r="1050" spans="1:25">
      <c r="C1050" s="286"/>
      <c r="D1050" s="286"/>
      <c r="E1050" s="286"/>
      <c r="F1050" s="286"/>
      <c r="G1050" s="287"/>
      <c r="H1050" s="287"/>
      <c r="I1050" s="288"/>
      <c r="J1050" s="287"/>
      <c r="K1050" s="287"/>
      <c r="L1050" s="287"/>
      <c r="M1050" s="287"/>
      <c r="N1050" s="309"/>
      <c r="O1050" s="287"/>
      <c r="P1050" s="287"/>
      <c r="Q1050" s="287"/>
      <c r="S1050" s="287"/>
      <c r="T1050" s="287"/>
      <c r="V1050" s="287"/>
      <c r="W1050" s="287"/>
      <c r="Y1050" s="288"/>
    </row>
    <row r="1051" spans="1:25">
      <c r="C1051" s="286"/>
      <c r="D1051" s="286"/>
      <c r="E1051" s="286"/>
      <c r="F1051" s="286"/>
      <c r="G1051" s="287"/>
      <c r="H1051" s="287"/>
      <c r="I1051" s="287"/>
      <c r="J1051" s="287"/>
      <c r="K1051" s="287"/>
      <c r="L1051" s="287"/>
      <c r="M1051" s="287"/>
      <c r="N1051" s="287"/>
      <c r="O1051" s="287"/>
      <c r="P1051" s="287"/>
      <c r="Q1051" s="287"/>
      <c r="R1051" s="287"/>
      <c r="S1051" s="287"/>
      <c r="T1051" s="287"/>
      <c r="U1051" s="287"/>
      <c r="V1051" s="287">
        <f>SUBTOTAL(9,V19:V1046)</f>
        <v>488270.36999999988</v>
      </c>
      <c r="W1051" s="287">
        <f>SUBTOTAL(9,W19:W1046)</f>
        <v>-194156.8125</v>
      </c>
    </row>
    <row r="1052" spans="1:25" ht="13.5" thickBot="1">
      <c r="C1052" s="286"/>
      <c r="D1052" s="286"/>
      <c r="E1052" s="286"/>
      <c r="F1052" s="286"/>
      <c r="G1052" s="287"/>
      <c r="H1052" s="287"/>
      <c r="I1052" s="288"/>
      <c r="J1052" s="287"/>
      <c r="K1052" s="287"/>
      <c r="L1052" s="287"/>
      <c r="M1052" s="287"/>
      <c r="N1052" s="309"/>
      <c r="O1052" s="287"/>
      <c r="P1052" s="287"/>
      <c r="Q1052" s="287"/>
      <c r="S1052" s="287"/>
      <c r="T1052" s="287"/>
      <c r="V1052" s="287"/>
      <c r="W1052" s="287"/>
    </row>
    <row r="1053" spans="1:25" ht="15.75" customHeight="1" thickBot="1">
      <c r="C1053" s="286"/>
      <c r="D1053" s="286"/>
      <c r="E1053" s="286"/>
      <c r="F1053" s="312"/>
      <c r="G1053" s="483" t="s">
        <v>687</v>
      </c>
      <c r="H1053" s="483"/>
      <c r="I1053" s="483"/>
      <c r="J1053" s="484"/>
      <c r="K1053" s="484"/>
      <c r="L1053" s="313"/>
      <c r="M1053" s="313"/>
      <c r="N1053" s="485" t="s">
        <v>688</v>
      </c>
      <c r="O1053" s="485"/>
      <c r="P1053" s="486"/>
      <c r="Q1053" s="486"/>
      <c r="R1053" s="486"/>
      <c r="S1053" s="486"/>
      <c r="T1053" s="486"/>
      <c r="U1053" s="486"/>
      <c r="V1053" s="486"/>
      <c r="W1053" s="487"/>
      <c r="Y1053" s="288"/>
    </row>
    <row r="1054" spans="1:25" ht="51.75" thickTop="1">
      <c r="C1054" s="286"/>
      <c r="D1054" s="286"/>
      <c r="E1054" s="286"/>
      <c r="F1054" s="314"/>
      <c r="G1054" s="310" t="str">
        <f>G9</f>
        <v>2023 Gross Earnings</v>
      </c>
      <c r="H1054" s="310" t="str">
        <f>H9</f>
        <v>Hours</v>
      </c>
      <c r="I1054" s="315"/>
      <c r="J1054" s="369" t="str">
        <f t="shared" ref="J1054:W1054" si="68">J9</f>
        <v>2023 Base Pay</v>
      </c>
      <c r="K1054" s="370" t="str">
        <f t="shared" si="68"/>
        <v>2023 Base Hours</v>
      </c>
      <c r="L1054" s="371"/>
      <c r="M1054" s="371"/>
      <c r="N1054" s="370" t="str">
        <f t="shared" si="68"/>
        <v>Annualized Hours</v>
      </c>
      <c r="O1054" s="372" t="str">
        <f t="shared" si="68"/>
        <v>Annualized Wages</v>
      </c>
      <c r="P1054" s="315"/>
      <c r="Q1054" s="310" t="str">
        <f t="shared" si="68"/>
        <v>3.0% Increase</v>
      </c>
      <c r="R1054" s="315"/>
      <c r="S1054" s="310" t="str">
        <f t="shared" si="68"/>
        <v>2023 Over Time</v>
      </c>
      <c r="T1054" s="310" t="str">
        <f t="shared" si="68"/>
        <v>3.0% Increase</v>
      </c>
      <c r="U1054" s="315"/>
      <c r="V1054" s="310" t="str">
        <f t="shared" si="68"/>
        <v>2023 Incentives</v>
      </c>
      <c r="W1054" s="316" t="str">
        <f t="shared" si="68"/>
        <v>Change</v>
      </c>
    </row>
    <row r="1055" spans="1:25" ht="13.5" thickBot="1">
      <c r="C1055" s="287"/>
      <c r="D1055" s="287"/>
      <c r="E1055" s="287"/>
      <c r="F1055" s="317"/>
      <c r="G1055" s="423">
        <f>SUM(G10:G1049)</f>
        <v>3553935.4200000027</v>
      </c>
      <c r="H1055" s="423">
        <f>SUM(H10:H1049)</f>
        <v>116478.00000000001</v>
      </c>
      <c r="I1055" s="288"/>
      <c r="J1055" s="373">
        <f>SUM(J10:J1049)</f>
        <v>2736688.5600000005</v>
      </c>
      <c r="K1055" s="374">
        <f>SUM(K10:K1049)</f>
        <v>109599.10999999999</v>
      </c>
      <c r="L1055" s="374"/>
      <c r="M1055" s="374">
        <f t="shared" ref="M1055" si="69">SUM(M10:M1054)</f>
        <v>0</v>
      </c>
      <c r="N1055" s="374">
        <f>SUM(N10:N1049)</f>
        <v>120145.02999999998</v>
      </c>
      <c r="O1055" s="375">
        <f t="shared" ref="O1055:W1055" si="70">SUM(O10:O1049)</f>
        <v>2938650.0253514228</v>
      </c>
      <c r="P1055" s="288">
        <f t="shared" si="70"/>
        <v>0</v>
      </c>
      <c r="Q1055" s="288">
        <f>SUM(Q10:Q1049)</f>
        <v>88159.500760542651</v>
      </c>
      <c r="R1055" s="288">
        <f t="shared" si="70"/>
        <v>0</v>
      </c>
      <c r="S1055" s="288">
        <f t="shared" si="70"/>
        <v>316859.21000000002</v>
      </c>
      <c r="T1055" s="288">
        <f t="shared" si="70"/>
        <v>9505.7763000000032</v>
      </c>
      <c r="U1055" s="288">
        <f t="shared" si="70"/>
        <v>0</v>
      </c>
      <c r="V1055" s="288">
        <f t="shared" si="70"/>
        <v>500387.64999999991</v>
      </c>
      <c r="W1055" s="318">
        <f t="shared" si="70"/>
        <v>-201886.58249999999</v>
      </c>
    </row>
    <row r="1056" spans="1:25" ht="14.25" thickTop="1" thickBot="1">
      <c r="C1056" s="287"/>
      <c r="D1056" s="287"/>
      <c r="E1056" s="287"/>
      <c r="F1056" s="319"/>
      <c r="G1056" s="320"/>
      <c r="H1056" s="320"/>
      <c r="I1056" s="320"/>
      <c r="J1056" s="320"/>
      <c r="K1056" s="320"/>
      <c r="L1056" s="320"/>
      <c r="M1056" s="320"/>
      <c r="N1056" s="320"/>
      <c r="O1056" s="320"/>
      <c r="P1056" s="320"/>
      <c r="Q1056" s="320"/>
      <c r="R1056" s="320"/>
      <c r="S1056" s="320"/>
      <c r="T1056" s="320"/>
      <c r="U1056" s="320"/>
      <c r="V1056" s="320"/>
      <c r="W1056" s="321"/>
    </row>
    <row r="1057" spans="3:23">
      <c r="C1057" s="287"/>
      <c r="D1057" s="309"/>
      <c r="E1057" s="287"/>
      <c r="F1057" s="286"/>
      <c r="G1057" s="287" t="s">
        <v>197</v>
      </c>
      <c r="J1057" s="311"/>
      <c r="N1057" s="288">
        <f>N1055-K1055</f>
        <v>10545.919999999998</v>
      </c>
      <c r="V1057" s="286" t="s">
        <v>689</v>
      </c>
      <c r="W1057" s="290">
        <f>SUMIF(E10:E1049,AA29,W10:W1049)</f>
        <v>-235113.98999999996</v>
      </c>
    </row>
    <row r="1058" spans="3:23">
      <c r="C1058" s="287"/>
      <c r="D1058" s="287"/>
      <c r="E1058" s="287"/>
      <c r="F1058" s="287"/>
      <c r="G1058" s="290">
        <f>3553935.42-G1055</f>
        <v>0</v>
      </c>
      <c r="H1058" s="288"/>
      <c r="K1058" s="340"/>
      <c r="N1058" s="288">
        <f>(N1055-K1055)/2080</f>
        <v>5.0701538461538451</v>
      </c>
      <c r="O1058" s="288"/>
      <c r="P1058" s="288"/>
      <c r="Q1058" s="288"/>
      <c r="V1058" s="286" t="s">
        <v>690</v>
      </c>
      <c r="W1058" s="288">
        <f>W1055-W1057</f>
        <v>33227.407499999972</v>
      </c>
    </row>
    <row r="1059" spans="3:23" ht="13.5" thickBot="1">
      <c r="C1059" s="287"/>
      <c r="D1059" s="287"/>
      <c r="E1059" s="287"/>
      <c r="F1059" s="287"/>
      <c r="G1059" s="290">
        <f>G1055-J1055-S1055-V1055</f>
        <v>2.2700987756252289E-9</v>
      </c>
      <c r="N1059" s="288"/>
      <c r="O1059" s="288"/>
      <c r="P1059" s="288"/>
      <c r="Q1059" s="288"/>
    </row>
    <row r="1060" spans="3:23">
      <c r="C1060" s="287"/>
      <c r="D1060" s="287"/>
      <c r="E1060" s="322"/>
      <c r="F1060" s="313"/>
      <c r="G1060" s="481" t="s">
        <v>691</v>
      </c>
      <c r="H1060" s="481"/>
      <c r="I1060" s="481"/>
      <c r="J1060" s="481"/>
      <c r="K1060" s="481"/>
      <c r="L1060" s="481"/>
      <c r="M1060" s="481"/>
      <c r="N1060" s="481"/>
      <c r="O1060" s="481"/>
      <c r="P1060" s="481"/>
      <c r="Q1060" s="481"/>
      <c r="R1060" s="481"/>
      <c r="S1060" s="481"/>
      <c r="T1060" s="481"/>
      <c r="U1060" s="481"/>
      <c r="V1060" s="481"/>
      <c r="W1060" s="482"/>
    </row>
    <row r="1061" spans="3:23" ht="51">
      <c r="C1061" s="287"/>
      <c r="D1061" s="287"/>
      <c r="E1061" s="317"/>
      <c r="F1061" s="323"/>
      <c r="G1061" s="324" t="s">
        <v>692</v>
      </c>
      <c r="H1061" s="324" t="s">
        <v>585</v>
      </c>
      <c r="I1061" s="324"/>
      <c r="J1061" s="324"/>
      <c r="K1061" s="324"/>
      <c r="L1061" s="324"/>
      <c r="M1061" s="324"/>
      <c r="N1061" s="324" t="s">
        <v>693</v>
      </c>
      <c r="O1061" s="324" t="s">
        <v>694</v>
      </c>
      <c r="P1061" s="324"/>
      <c r="Q1061" s="324" t="s">
        <v>591</v>
      </c>
      <c r="R1061" s="324"/>
      <c r="S1061" s="324" t="s">
        <v>695</v>
      </c>
      <c r="T1061" s="324" t="s">
        <v>591</v>
      </c>
      <c r="U1061" s="324"/>
      <c r="V1061" s="324" t="s">
        <v>696</v>
      </c>
      <c r="W1061" s="325" t="s">
        <v>594</v>
      </c>
    </row>
    <row r="1062" spans="3:23" ht="10.5" customHeight="1">
      <c r="C1062" s="287"/>
      <c r="D1062" s="287"/>
      <c r="E1062" s="317"/>
      <c r="F1062" s="323"/>
      <c r="G1062" s="326"/>
      <c r="H1062" s="326"/>
      <c r="I1062" s="326"/>
      <c r="J1062" s="326"/>
      <c r="K1062" s="326"/>
      <c r="L1062" s="326"/>
      <c r="M1062" s="326"/>
      <c r="N1062" s="326"/>
      <c r="O1062" s="326"/>
      <c r="P1062" s="326"/>
      <c r="Q1062" s="326"/>
      <c r="R1062" s="326"/>
      <c r="S1062" s="326"/>
      <c r="T1062" s="326"/>
      <c r="U1062" s="326"/>
      <c r="V1062" s="326"/>
      <c r="W1062" s="327"/>
    </row>
    <row r="1063" spans="3:23">
      <c r="C1063" s="287"/>
      <c r="D1063" s="287"/>
      <c r="E1063" s="317"/>
      <c r="F1063" s="323"/>
      <c r="G1063" s="323">
        <f>'WP-6 2024 Salaries $ Wages'!B82</f>
        <v>3557631.4799999995</v>
      </c>
      <c r="H1063" s="323">
        <f>'WP-6 2024 Salaries $ Wages'!C82</f>
        <v>115452.4</v>
      </c>
      <c r="I1063" s="323"/>
      <c r="J1063" s="323"/>
      <c r="K1063" s="323"/>
      <c r="L1063" s="323"/>
      <c r="M1063" s="323"/>
      <c r="N1063" s="323">
        <f>'WP-6 2024 Salaries $ Wages'!C52</f>
        <v>105122.76999999999</v>
      </c>
      <c r="O1063" s="323">
        <f>'WP-6 2024 Salaries $ Wages'!B52</f>
        <v>2773165.9699999993</v>
      </c>
      <c r="P1063" s="323"/>
      <c r="Q1063" s="323"/>
      <c r="R1063" s="323"/>
      <c r="S1063" s="323">
        <f>'WP-6 2024 Salaries $ Wages'!B59</f>
        <v>464676.59000000008</v>
      </c>
      <c r="T1063" s="323"/>
      <c r="U1063" s="323"/>
      <c r="V1063" s="323">
        <f>'WP-6 2024 Salaries $ Wages'!B80</f>
        <v>319788.92</v>
      </c>
      <c r="W1063" s="328"/>
    </row>
    <row r="1064" spans="3:23">
      <c r="C1064" s="287"/>
      <c r="D1064" s="287"/>
      <c r="E1064" s="317"/>
      <c r="F1064" s="323"/>
      <c r="N1064" s="288"/>
      <c r="O1064" s="288"/>
      <c r="P1064" s="288"/>
      <c r="Q1064" s="288"/>
      <c r="W1064" s="329"/>
    </row>
    <row r="1065" spans="3:23">
      <c r="C1065" s="287"/>
      <c r="D1065" s="287"/>
      <c r="E1065" s="330" t="s">
        <v>697</v>
      </c>
      <c r="F1065" s="323"/>
      <c r="G1065" s="288">
        <f>G1063-G1055</f>
        <v>3696.0599999967963</v>
      </c>
      <c r="H1065" s="288">
        <f>H1063-H1055</f>
        <v>-1025.6000000000204</v>
      </c>
      <c r="I1065" s="288">
        <f t="shared" ref="I1065:U1065" si="71">I1063-I1055</f>
        <v>0</v>
      </c>
      <c r="J1065" s="288"/>
      <c r="K1065" s="288"/>
      <c r="L1065" s="288"/>
      <c r="M1065" s="288"/>
      <c r="N1065" s="288">
        <f>N1063-N1055</f>
        <v>-15022.259999999995</v>
      </c>
      <c r="O1065" s="288">
        <f>O1055+Q1055-O1063</f>
        <v>253643.55611196626</v>
      </c>
      <c r="P1065" s="288">
        <f t="shared" si="71"/>
        <v>0</v>
      </c>
      <c r="Q1065" s="288"/>
      <c r="R1065" s="288">
        <f t="shared" si="71"/>
        <v>0</v>
      </c>
      <c r="S1065" s="423">
        <f>S1055+T1055-S1063</f>
        <v>-138311.60370000004</v>
      </c>
      <c r="T1065" s="288"/>
      <c r="U1065" s="288">
        <f t="shared" si="71"/>
        <v>0</v>
      </c>
      <c r="V1065" s="288">
        <f>V1055+W1055-V1063</f>
        <v>-21287.852500000095</v>
      </c>
      <c r="W1065" s="318"/>
    </row>
    <row r="1066" spans="3:23" ht="13.5" thickBot="1">
      <c r="C1066" s="287"/>
      <c r="D1066" s="287"/>
      <c r="E1066" s="319"/>
      <c r="F1066" s="331"/>
      <c r="G1066" s="320"/>
      <c r="H1066" s="320"/>
      <c r="I1066" s="320"/>
      <c r="J1066" s="320"/>
      <c r="K1066" s="320"/>
      <c r="L1066" s="320"/>
      <c r="M1066" s="320"/>
      <c r="N1066" s="320"/>
      <c r="O1066" s="320"/>
      <c r="P1066" s="320"/>
      <c r="Q1066" s="320"/>
      <c r="R1066" s="320"/>
      <c r="S1066" s="320"/>
      <c r="T1066" s="320"/>
      <c r="U1066" s="320"/>
      <c r="V1066" s="320"/>
      <c r="W1066" s="321"/>
    </row>
    <row r="1067" spans="3:23">
      <c r="C1067" s="287"/>
      <c r="D1067" s="287"/>
      <c r="E1067" s="287"/>
      <c r="F1067" s="287"/>
    </row>
    <row r="1068" spans="3:23">
      <c r="C1068" s="287"/>
      <c r="D1068" s="287"/>
      <c r="E1068" s="287"/>
      <c r="F1068" s="287"/>
    </row>
    <row r="1069" spans="3:23">
      <c r="C1069" s="287"/>
      <c r="D1069" s="287"/>
      <c r="E1069" s="287"/>
      <c r="F1069" s="287"/>
      <c r="O1069" s="288"/>
    </row>
    <row r="1070" spans="3:23">
      <c r="G1070" s="286" t="s">
        <v>698</v>
      </c>
      <c r="J1070" s="288">
        <f>N1055-K1055</f>
        <v>10545.919999999998</v>
      </c>
    </row>
    <row r="1071" spans="3:23">
      <c r="O1071" s="288">
        <f>O1055+Q1055+S1055+T1055+V1055+W1055</f>
        <v>3651675.5799119654</v>
      </c>
      <c r="Q1071" s="286" t="s">
        <v>261</v>
      </c>
    </row>
    <row r="1072" spans="3:23">
      <c r="G1072" s="286" t="s">
        <v>699</v>
      </c>
      <c r="J1072" s="288">
        <f>O1055-J1055</f>
        <v>201961.46535142232</v>
      </c>
      <c r="O1072" s="292">
        <f>O1063+S1063+V1063</f>
        <v>3557631.4799999995</v>
      </c>
      <c r="Q1072" s="286" t="s">
        <v>691</v>
      </c>
    </row>
    <row r="1073" spans="1:20">
      <c r="G1073" s="286" t="s">
        <v>700</v>
      </c>
      <c r="J1073" s="288">
        <f>Q1055+T1055</f>
        <v>97665.277060542649</v>
      </c>
      <c r="O1073" s="288">
        <f>O1071-O1072</f>
        <v>94044.099911965895</v>
      </c>
      <c r="Q1073" s="286" t="s">
        <v>701</v>
      </c>
    </row>
    <row r="1074" spans="1:20">
      <c r="G1074" s="286" t="s">
        <v>702</v>
      </c>
      <c r="J1074" s="292">
        <f>W1055</f>
        <v>-201886.58249999999</v>
      </c>
    </row>
    <row r="1075" spans="1:20">
      <c r="J1075" s="288">
        <f>SUM(J1072:J1074)</f>
        <v>97740.159911964991</v>
      </c>
    </row>
    <row r="1076" spans="1:20">
      <c r="N1076" s="288"/>
    </row>
    <row r="1078" spans="1:20">
      <c r="N1078" s="286" t="s">
        <v>619</v>
      </c>
      <c r="O1078" s="288"/>
      <c r="T1078" s="288"/>
    </row>
    <row r="1079" spans="1:20">
      <c r="E1079" s="286" t="s">
        <v>703</v>
      </c>
      <c r="N1079" s="286" t="s">
        <v>644</v>
      </c>
      <c r="O1079" s="288"/>
      <c r="T1079" s="288"/>
    </row>
    <row r="1080" spans="1:20">
      <c r="A1080" s="290"/>
      <c r="B1080" s="290">
        <f>B378</f>
        <v>0</v>
      </c>
      <c r="C1080" s="290">
        <f>L378</f>
        <v>16.198498062015503</v>
      </c>
      <c r="E1080" s="377" t="s">
        <v>704</v>
      </c>
      <c r="H1080" s="290">
        <v>15.78</v>
      </c>
      <c r="N1080" s="286" t="s">
        <v>705</v>
      </c>
      <c r="O1080" s="288"/>
      <c r="T1080" s="288"/>
    </row>
    <row r="1081" spans="1:20">
      <c r="A1081" s="290"/>
      <c r="B1081" s="290">
        <f>B894</f>
        <v>0</v>
      </c>
      <c r="C1081" s="290">
        <f>L894</f>
        <v>23.942284299348508</v>
      </c>
      <c r="E1081" s="377" t="s">
        <v>684</v>
      </c>
      <c r="H1081" s="290">
        <v>22.08</v>
      </c>
      <c r="O1081" s="288"/>
      <c r="T1081" s="288"/>
    </row>
    <row r="1082" spans="1:20" ht="13.5" thickBot="1">
      <c r="A1082" s="290"/>
      <c r="B1082" s="290">
        <f>B1036</f>
        <v>0</v>
      </c>
      <c r="C1082" s="290">
        <f>L1036</f>
        <v>22.933269230769227</v>
      </c>
      <c r="E1082" s="377" t="s">
        <v>684</v>
      </c>
      <c r="H1082" s="290">
        <v>22.08</v>
      </c>
      <c r="N1082" s="286" t="s">
        <v>706</v>
      </c>
    </row>
    <row r="1083" spans="1:20" ht="15.75">
      <c r="A1083" s="290"/>
      <c r="C1083" s="286"/>
      <c r="E1083" s="377" t="s">
        <v>684</v>
      </c>
      <c r="H1083" s="290">
        <v>22.08</v>
      </c>
      <c r="M1083" s="142"/>
      <c r="N1083" s="28"/>
      <c r="O1083" s="429" t="s">
        <v>31</v>
      </c>
      <c r="P1083" s="28"/>
      <c r="Q1083" s="429" t="s">
        <v>31</v>
      </c>
      <c r="R1083" s="28"/>
      <c r="S1083" s="430" t="s">
        <v>33</v>
      </c>
    </row>
    <row r="1084" spans="1:20" ht="15.75">
      <c r="A1084" s="290"/>
      <c r="B1084" s="290">
        <f>B21</f>
        <v>0</v>
      </c>
      <c r="C1084" s="290">
        <f>L21</f>
        <v>22.997190686934772</v>
      </c>
      <c r="E1084" s="377" t="s">
        <v>707</v>
      </c>
      <c r="H1084" s="290">
        <v>23.18</v>
      </c>
      <c r="M1084" s="30"/>
      <c r="N1084"/>
      <c r="O1084" s="428" t="s">
        <v>34</v>
      </c>
      <c r="P1084"/>
      <c r="Q1084" s="428" t="s">
        <v>33</v>
      </c>
      <c r="R1084"/>
      <c r="S1084" s="431" t="s">
        <v>36</v>
      </c>
    </row>
    <row r="1085" spans="1:20" ht="15.75">
      <c r="A1085" s="290"/>
      <c r="B1085" s="290">
        <f>B255</f>
        <v>0</v>
      </c>
      <c r="C1085" s="290">
        <f>L255</f>
        <v>23.698670520231214</v>
      </c>
      <c r="E1085" s="377" t="s">
        <v>707</v>
      </c>
      <c r="H1085" s="290">
        <v>23.18</v>
      </c>
      <c r="M1085" s="30"/>
      <c r="N1085"/>
      <c r="O1085" s="432"/>
      <c r="P1085"/>
      <c r="Q1085" s="432"/>
      <c r="R1085"/>
      <c r="S1085" s="433"/>
    </row>
    <row r="1086" spans="1:20" ht="15.75">
      <c r="A1086" s="290"/>
      <c r="B1086" s="290">
        <f>B549</f>
        <v>0</v>
      </c>
      <c r="C1086" s="290">
        <f>L549</f>
        <v>23.019638305035837</v>
      </c>
      <c r="E1086" s="377" t="s">
        <v>707</v>
      </c>
      <c r="H1086" s="290">
        <v>23.18</v>
      </c>
      <c r="M1086" s="434" t="s">
        <v>708</v>
      </c>
      <c r="N1086"/>
      <c r="O1086" s="432"/>
      <c r="P1086"/>
      <c r="Q1086" s="432"/>
      <c r="R1086"/>
      <c r="S1086" s="433"/>
    </row>
    <row r="1087" spans="1:20" ht="15.75">
      <c r="A1087" s="290"/>
      <c r="B1087" s="290">
        <f>B604</f>
        <v>0</v>
      </c>
      <c r="C1087" s="290">
        <f>L604</f>
        <v>22.999456704649258</v>
      </c>
      <c r="E1087" s="377" t="s">
        <v>707</v>
      </c>
      <c r="H1087" s="290">
        <v>23.18</v>
      </c>
      <c r="M1087" s="435" t="s">
        <v>703</v>
      </c>
      <c r="N1087"/>
      <c r="O1087" s="386">
        <v>60828.44750000022</v>
      </c>
      <c r="P1087" s="386"/>
      <c r="Q1087" s="441">
        <f>ROUND(SUMIF($C$10:$C$1049,$N1078,O$9:O$1049)-SUMIF($C$10:$C$1049,$N1078,J$9:J$1049),0)</f>
        <v>31289</v>
      </c>
      <c r="R1087" s="386"/>
      <c r="S1087" s="422">
        <f>Q1087-O1087</f>
        <v>-29539.44750000022</v>
      </c>
    </row>
    <row r="1088" spans="1:20" ht="15.75">
      <c r="A1088" s="290"/>
      <c r="B1088" s="290">
        <f>B951</f>
        <v>0</v>
      </c>
      <c r="C1088" s="290">
        <f>L951</f>
        <v>23.696543412235446</v>
      </c>
      <c r="E1088" s="377" t="s">
        <v>707</v>
      </c>
      <c r="H1088" s="290">
        <v>23.18</v>
      </c>
      <c r="M1088" s="435" t="s">
        <v>709</v>
      </c>
      <c r="N1088"/>
      <c r="O1088" s="25">
        <v>12663.381250000035</v>
      </c>
      <c r="P1088" s="25"/>
      <c r="Q1088" s="436">
        <f>ROUND(SUMIF($C$10:$C$1049,$N1079,O$9:O$1049)-SUMIF($C$10:$C$1049,$N1079,J$9:J$1049),0)</f>
        <v>57527</v>
      </c>
      <c r="R1088" s="25"/>
      <c r="S1088" s="29">
        <f>Q1088-O1088</f>
        <v>44863.618749999965</v>
      </c>
    </row>
    <row r="1089" spans="1:22" ht="15.75">
      <c r="A1089" s="290"/>
      <c r="B1089" s="290">
        <f>B163</f>
        <v>0</v>
      </c>
      <c r="C1089" s="290">
        <f>L163</f>
        <v>24.016418269230769</v>
      </c>
      <c r="E1089" s="377" t="s">
        <v>710</v>
      </c>
      <c r="H1089" s="290">
        <v>23.48</v>
      </c>
      <c r="M1089" s="435" t="s">
        <v>711</v>
      </c>
      <c r="N1089"/>
      <c r="O1089" s="25">
        <v>0</v>
      </c>
      <c r="P1089" s="25"/>
      <c r="Q1089" s="436">
        <f>ROUND(O1055-J1055-Q1087-Q1088,0)</f>
        <v>113145</v>
      </c>
      <c r="R1089" s="25"/>
      <c r="S1089" s="29">
        <f>Q1089-O1089</f>
        <v>113145</v>
      </c>
      <c r="V1089" s="340">
        <f>SUM(Q1087:Q1089)-'Sch 4 PF IS'!H21</f>
        <v>0</v>
      </c>
    </row>
    <row r="1090" spans="1:22" ht="15.75">
      <c r="A1090" s="290"/>
      <c r="B1090" s="290">
        <f>B448</f>
        <v>0</v>
      </c>
      <c r="C1090" s="290">
        <f>L448</f>
        <v>24.028164062499997</v>
      </c>
      <c r="E1090" s="377" t="s">
        <v>710</v>
      </c>
      <c r="H1090" s="290">
        <v>23.48</v>
      </c>
      <c r="M1090" s="437" t="s">
        <v>591</v>
      </c>
      <c r="N1090"/>
      <c r="O1090" s="432"/>
      <c r="P1090"/>
      <c r="Q1090" s="432"/>
      <c r="R1090"/>
      <c r="S1090" s="433"/>
    </row>
    <row r="1091" spans="1:22" ht="15.75">
      <c r="A1091" s="290"/>
      <c r="B1091" s="290">
        <f>B917</f>
        <v>0</v>
      </c>
      <c r="C1091" s="290">
        <f>L917</f>
        <v>24.032529182879376</v>
      </c>
      <c r="E1091" s="377" t="s">
        <v>710</v>
      </c>
      <c r="H1091" s="290">
        <v>23.48</v>
      </c>
      <c r="M1091" s="435" t="s">
        <v>703</v>
      </c>
      <c r="N1091"/>
      <c r="O1091" s="386">
        <v>36158</v>
      </c>
      <c r="P1091" s="386"/>
      <c r="Q1091" s="386">
        <f>ROUND(SUMIF($C$10:$C$1049,N1078,Q$9:Q$1049)+SUMIF($C$10:$C$1049,N1078,T$9:T$1049),0)</f>
        <v>50063</v>
      </c>
      <c r="R1091" s="386"/>
      <c r="S1091" s="422">
        <f>Q1091-O1091</f>
        <v>13905</v>
      </c>
    </row>
    <row r="1092" spans="1:22" ht="15.75">
      <c r="A1092" s="290"/>
      <c r="B1092" s="290">
        <f>B435</f>
        <v>0</v>
      </c>
      <c r="C1092" s="290">
        <f>L435</f>
        <v>23.734743083003959</v>
      </c>
      <c r="E1092" s="377" t="s">
        <v>668</v>
      </c>
      <c r="H1092" s="290">
        <v>23.18</v>
      </c>
      <c r="M1092" s="435" t="s">
        <v>709</v>
      </c>
      <c r="N1092"/>
      <c r="O1092" s="25">
        <v>12857</v>
      </c>
      <c r="P1092" s="25"/>
      <c r="Q1092" s="25">
        <f>ROUND(SUMIF($C$10:$C$1049,N1079,Q$9:Q$1049)+SUMIF($C$10:$C$1049,N1079,T$9:T$1049),0)</f>
        <v>13348</v>
      </c>
      <c r="R1092" s="25"/>
      <c r="S1092" s="29">
        <f>Q1092-O1092</f>
        <v>491</v>
      </c>
    </row>
    <row r="1093" spans="1:22" ht="15.75">
      <c r="A1093" s="290"/>
      <c r="B1093" s="290">
        <f>B748</f>
        <v>0</v>
      </c>
      <c r="C1093" s="290">
        <f>L748</f>
        <v>23.714717053704504</v>
      </c>
      <c r="E1093" s="377" t="s">
        <v>668</v>
      </c>
      <c r="H1093" s="290">
        <v>23.18</v>
      </c>
      <c r="M1093" s="435" t="s">
        <v>711</v>
      </c>
      <c r="N1093"/>
      <c r="O1093" s="25">
        <v>32101</v>
      </c>
      <c r="P1093" s="25"/>
      <c r="Q1093" s="25">
        <f>ROUND(Q1055+T1055-Q1091-Q1092,0)</f>
        <v>34254</v>
      </c>
      <c r="R1093" s="25"/>
      <c r="S1093" s="29">
        <f>Q1093-O1093</f>
        <v>2153</v>
      </c>
      <c r="V1093" s="439">
        <f>SUM(Q1091:Q1093)-'Sch 4 PF IS'!H22</f>
        <v>0</v>
      </c>
    </row>
    <row r="1094" spans="1:22" ht="15.75">
      <c r="A1094" s="290"/>
      <c r="B1094" s="290">
        <f>B491</f>
        <v>0</v>
      </c>
      <c r="C1094" s="290">
        <f>L491</f>
        <v>24.389999999999997</v>
      </c>
      <c r="E1094" s="377" t="s">
        <v>670</v>
      </c>
      <c r="H1094" s="290">
        <v>23.86</v>
      </c>
      <c r="M1094" s="30"/>
      <c r="N1094"/>
      <c r="O1094"/>
      <c r="P1094"/>
      <c r="Q1094"/>
      <c r="R1094"/>
      <c r="S1094" s="115"/>
    </row>
    <row r="1095" spans="1:22" ht="15.75">
      <c r="A1095" s="290"/>
      <c r="B1095" s="290">
        <f>B800</f>
        <v>0</v>
      </c>
      <c r="C1095" s="290">
        <f>L800</f>
        <v>23.910355058365756</v>
      </c>
      <c r="E1095" s="377" t="s">
        <v>712</v>
      </c>
      <c r="H1095" s="290">
        <v>23.41</v>
      </c>
      <c r="M1095" s="437" t="s">
        <v>273</v>
      </c>
      <c r="N1095"/>
      <c r="O1095"/>
      <c r="P1095"/>
      <c r="Q1095"/>
      <c r="R1095"/>
      <c r="S1095" s="115"/>
    </row>
    <row r="1096" spans="1:22" ht="15.75">
      <c r="A1096" s="290"/>
      <c r="B1096" s="290">
        <f>B583</f>
        <v>0</v>
      </c>
      <c r="C1096" s="290">
        <f>L583</f>
        <v>23.703966346153841</v>
      </c>
      <c r="E1096" s="377" t="s">
        <v>713</v>
      </c>
      <c r="H1096" s="290">
        <v>23.54</v>
      </c>
      <c r="M1096" s="435" t="s">
        <v>703</v>
      </c>
      <c r="N1096"/>
      <c r="O1096" s="386">
        <v>277055</v>
      </c>
      <c r="P1096" s="386"/>
      <c r="Q1096" s="386">
        <v>0</v>
      </c>
      <c r="R1096" s="386"/>
      <c r="S1096" s="422">
        <f>Q1096-O1096</f>
        <v>-277055</v>
      </c>
    </row>
    <row r="1097" spans="1:22" ht="15.75">
      <c r="A1097" s="290"/>
      <c r="B1097" s="290">
        <f>B344</f>
        <v>0</v>
      </c>
      <c r="C1097" s="290">
        <f>L344</f>
        <v>24.956994349307678</v>
      </c>
      <c r="E1097" s="377" t="s">
        <v>713</v>
      </c>
      <c r="H1097" s="290">
        <v>23.54</v>
      </c>
      <c r="M1097" s="435" t="s">
        <v>709</v>
      </c>
      <c r="N1097"/>
      <c r="O1097" s="25">
        <v>0</v>
      </c>
      <c r="P1097" s="25"/>
      <c r="Q1097" s="25">
        <v>0</v>
      </c>
      <c r="R1097" s="25"/>
      <c r="S1097" s="29">
        <f>Q1097-O1097</f>
        <v>0</v>
      </c>
    </row>
    <row r="1098" spans="1:22" ht="15.75">
      <c r="A1098" s="290"/>
      <c r="B1098" s="290"/>
      <c r="E1098" s="377" t="s">
        <v>713</v>
      </c>
      <c r="H1098" s="290">
        <v>23.54</v>
      </c>
      <c r="M1098" s="435" t="s">
        <v>711</v>
      </c>
      <c r="N1098"/>
      <c r="O1098" s="25">
        <v>238843</v>
      </c>
      <c r="P1098" s="25"/>
      <c r="Q1098" s="25">
        <v>0</v>
      </c>
      <c r="R1098" s="25"/>
      <c r="S1098" s="29">
        <f>Q1098-O1098</f>
        <v>-238843</v>
      </c>
    </row>
    <row r="1099" spans="1:22" ht="15.75">
      <c r="A1099" s="290"/>
      <c r="E1099" s="377" t="s">
        <v>714</v>
      </c>
      <c r="H1099" s="290">
        <v>24.18</v>
      </c>
      <c r="M1099" s="30"/>
      <c r="N1099"/>
      <c r="O1099"/>
      <c r="P1099"/>
      <c r="Q1099"/>
      <c r="R1099"/>
      <c r="S1099" s="115"/>
    </row>
    <row r="1100" spans="1:22" ht="15.75">
      <c r="A1100" s="290"/>
      <c r="B1100" s="290">
        <f>B686</f>
        <v>0</v>
      </c>
      <c r="C1100" s="290">
        <f>L686</f>
        <v>29.522163461538469</v>
      </c>
      <c r="E1100" s="377" t="s">
        <v>715</v>
      </c>
      <c r="H1100" s="290">
        <v>24.81</v>
      </c>
      <c r="M1100" s="437" t="s">
        <v>87</v>
      </c>
      <c r="N1100"/>
      <c r="O1100"/>
      <c r="P1100"/>
      <c r="Q1100"/>
      <c r="R1100"/>
      <c r="S1100" s="115"/>
    </row>
    <row r="1101" spans="1:22" ht="15.75">
      <c r="A1101" s="290"/>
      <c r="B1101" s="290">
        <f>B710</f>
        <v>0</v>
      </c>
      <c r="C1101" s="290">
        <f>L710</f>
        <v>31.855939849624068</v>
      </c>
      <c r="E1101" s="377" t="s">
        <v>715</v>
      </c>
      <c r="H1101" s="290">
        <v>24.81</v>
      </c>
      <c r="M1101" s="435" t="s">
        <v>703</v>
      </c>
      <c r="N1101"/>
      <c r="O1101" s="386">
        <v>0</v>
      </c>
      <c r="P1101"/>
      <c r="Q1101" s="386">
        <f>ROUND(SUMIF($C$10:$C$1049,N1078,W$9:W$1049),0)</f>
        <v>-15341</v>
      </c>
      <c r="R1101" s="386"/>
      <c r="S1101" s="422">
        <f>Q1101-O1101</f>
        <v>-15341</v>
      </c>
    </row>
    <row r="1102" spans="1:22" ht="15.75">
      <c r="A1102" s="290"/>
      <c r="B1102" s="290">
        <f>B819</f>
        <v>0</v>
      </c>
      <c r="C1102" s="290">
        <f>L819</f>
        <v>31.019925650557617</v>
      </c>
      <c r="E1102" s="377" t="s">
        <v>715</v>
      </c>
      <c r="H1102" s="290">
        <v>24.81</v>
      </c>
      <c r="M1102" s="435" t="s">
        <v>709</v>
      </c>
      <c r="N1102"/>
      <c r="O1102" s="25">
        <v>0</v>
      </c>
      <c r="P1102"/>
      <c r="Q1102" s="25">
        <f>ROUND(SUMIF($C$10:$C$1049,N1079,W$9:W$1049),0)</f>
        <v>-59849</v>
      </c>
      <c r="R1102" s="25"/>
      <c r="S1102" s="29">
        <f>Q1102-O1102</f>
        <v>-59849</v>
      </c>
    </row>
    <row r="1103" spans="1:22" ht="15.75">
      <c r="A1103" s="290"/>
      <c r="B1103" s="290">
        <f>B873</f>
        <v>0</v>
      </c>
      <c r="C1103" s="290">
        <f>L873</f>
        <v>31.691634980988592</v>
      </c>
      <c r="E1103" s="377" t="s">
        <v>715</v>
      </c>
      <c r="H1103" s="290">
        <v>24.81</v>
      </c>
      <c r="M1103" s="435" t="s">
        <v>711</v>
      </c>
      <c r="N1103"/>
      <c r="O1103" s="25">
        <v>0</v>
      </c>
      <c r="P1103"/>
      <c r="Q1103" s="25">
        <f>ROUND(W1055-Q1101-Q1102,0)</f>
        <v>-126697</v>
      </c>
      <c r="R1103" s="25"/>
      <c r="S1103" s="29">
        <f>Q1103-O1103</f>
        <v>-126697</v>
      </c>
      <c r="V1103" s="440">
        <f>SUM(Q1101:Q1103)-'Sch 4 PF IS'!H23</f>
        <v>0</v>
      </c>
    </row>
    <row r="1104" spans="1:22" ht="15.75">
      <c r="A1104" s="290"/>
      <c r="B1104" s="290">
        <f>B978</f>
        <v>0</v>
      </c>
      <c r="C1104" s="290">
        <f>L978</f>
        <v>30.525517241379312</v>
      </c>
      <c r="E1104" s="377"/>
      <c r="H1104" s="290"/>
      <c r="M1104" s="30"/>
      <c r="N1104"/>
      <c r="O1104"/>
      <c r="P1104"/>
      <c r="Q1104"/>
      <c r="R1104"/>
      <c r="S1104" s="115"/>
    </row>
    <row r="1105" spans="1:19" ht="16.5" thickBot="1">
      <c r="A1105" s="290"/>
      <c r="B1105" s="290">
        <f>B786</f>
        <v>0</v>
      </c>
      <c r="C1105" s="290">
        <f>L786</f>
        <v>25.387401817936198</v>
      </c>
      <c r="E1105" s="377" t="s">
        <v>716</v>
      </c>
      <c r="H1105" s="290">
        <v>24.81</v>
      </c>
      <c r="M1105" s="30"/>
      <c r="N1105"/>
      <c r="O1105" s="362">
        <f>SUM(O1087:O1103)</f>
        <v>670505.82875000022</v>
      </c>
      <c r="P1105"/>
      <c r="Q1105" s="362">
        <f>SUM(Q1087:Q1103)</f>
        <v>97739</v>
      </c>
      <c r="R1105"/>
      <c r="S1105" s="438">
        <f t="shared" ref="S1105" si="72">SUM(S1087:S1103)</f>
        <v>-572766.82875000022</v>
      </c>
    </row>
    <row r="1106" spans="1:19" ht="14.25" thickTop="1" thickBot="1">
      <c r="A1106" s="290"/>
      <c r="B1106" s="290">
        <f>B267</f>
        <v>0</v>
      </c>
      <c r="C1106" s="290">
        <f>L267</f>
        <v>29.263291746641077</v>
      </c>
      <c r="E1106" s="377" t="s">
        <v>659</v>
      </c>
      <c r="H1106" s="290">
        <v>24.81</v>
      </c>
      <c r="M1106" s="347"/>
      <c r="N1106" s="320"/>
      <c r="O1106" s="320"/>
      <c r="P1106" s="320"/>
      <c r="Q1106" s="320"/>
      <c r="R1106" s="320"/>
      <c r="S1106" s="321"/>
    </row>
    <row r="1107" spans="1:19">
      <c r="A1107" s="290"/>
      <c r="B1107" s="290">
        <f>B563</f>
        <v>0</v>
      </c>
      <c r="C1107" s="290">
        <f>L563</f>
        <v>24.04102863822326</v>
      </c>
      <c r="E1107" s="377" t="s">
        <v>659</v>
      </c>
      <c r="H1107" s="290">
        <v>24.81</v>
      </c>
    </row>
    <row r="1108" spans="1:19">
      <c r="A1108" s="290"/>
      <c r="B1108" s="290">
        <f>B645</f>
        <v>0</v>
      </c>
      <c r="C1108" s="290">
        <f>L645</f>
        <v>24.356625985008652</v>
      </c>
      <c r="E1108" s="377" t="s">
        <v>659</v>
      </c>
      <c r="H1108" s="290">
        <v>24.81</v>
      </c>
    </row>
    <row r="1109" spans="1:19">
      <c r="A1109" s="290">
        <f>H1109*2080</f>
        <v>51604.799999999996</v>
      </c>
      <c r="C1109" s="286"/>
      <c r="E1109" s="426" t="s">
        <v>717</v>
      </c>
      <c r="H1109" s="290">
        <v>24.81</v>
      </c>
    </row>
    <row r="1110" spans="1:19">
      <c r="A1110" s="290">
        <f>H1110*2080</f>
        <v>51604.799999999996</v>
      </c>
      <c r="B1110" s="290"/>
      <c r="E1110" s="426" t="s">
        <v>718</v>
      </c>
      <c r="H1110" s="290">
        <v>24.81</v>
      </c>
    </row>
    <row r="1111" spans="1:19">
      <c r="A1111" s="290">
        <f>H1111*2080</f>
        <v>51604.799999999996</v>
      </c>
      <c r="C1111" s="286"/>
      <c r="E1111" s="426" t="s">
        <v>719</v>
      </c>
      <c r="H1111" s="290">
        <v>24.81</v>
      </c>
    </row>
    <row r="1112" spans="1:19">
      <c r="A1112" s="290">
        <f>SUBTOTAL(9,A1109:A1111)</f>
        <v>154814.39999999999</v>
      </c>
      <c r="B1112" s="290"/>
      <c r="E1112" s="286"/>
      <c r="H1112" s="290"/>
    </row>
    <row r="1113" spans="1:19">
      <c r="A1113" s="290"/>
      <c r="B1113" s="290"/>
      <c r="E1113" s="286" t="s">
        <v>720</v>
      </c>
      <c r="H1113" s="290"/>
    </row>
    <row r="1114" spans="1:19">
      <c r="A1114" s="290"/>
      <c r="B1114" s="290"/>
      <c r="E1114" s="376" t="s">
        <v>721</v>
      </c>
      <c r="H1114" s="290">
        <v>24.84</v>
      </c>
    </row>
    <row r="1115" spans="1:19">
      <c r="A1115" s="290"/>
      <c r="B1115" s="290">
        <f>B534</f>
        <v>0</v>
      </c>
      <c r="C1115" s="290">
        <f>L534</f>
        <v>25.391411764705879</v>
      </c>
      <c r="E1115" s="376" t="s">
        <v>672</v>
      </c>
      <c r="H1115" s="290">
        <v>24.84</v>
      </c>
    </row>
    <row r="1116" spans="1:19">
      <c r="A1116" s="290"/>
      <c r="B1116" s="290">
        <f>B675</f>
        <v>0</v>
      </c>
      <c r="C1116" s="290">
        <f>L675</f>
        <v>25.393402577418719</v>
      </c>
      <c r="E1116" s="376" t="s">
        <v>672</v>
      </c>
      <c r="H1116" s="290">
        <v>24.84</v>
      </c>
    </row>
    <row r="1117" spans="1:19">
      <c r="H1117" s="290"/>
    </row>
    <row r="1118" spans="1:19">
      <c r="H1118" s="290"/>
    </row>
    <row r="1119" spans="1:19">
      <c r="H1119" s="290"/>
    </row>
    <row r="1120" spans="1:19">
      <c r="H1120" s="290"/>
    </row>
    <row r="1121" spans="8:8">
      <c r="H1121" s="290"/>
    </row>
  </sheetData>
  <sortState xmlns:xlrd2="http://schemas.microsoft.com/office/spreadsheetml/2017/richdata2" ref="A10:W1049">
    <sortCondition ref="A10:A1049"/>
  </sortState>
  <mergeCells count="7">
    <mergeCell ref="A4:W4"/>
    <mergeCell ref="A7:W7"/>
    <mergeCell ref="G1060:W1060"/>
    <mergeCell ref="G1053:K1053"/>
    <mergeCell ref="N1053:W1053"/>
    <mergeCell ref="A8:G8"/>
    <mergeCell ref="A5:W5"/>
  </mergeCells>
  <pageMargins left="0.7" right="0.7" top="0.75" bottom="0.75" header="0.3" footer="0.3"/>
  <pageSetup scale="6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4171D-F133-4FCD-BA10-BE38A999BF35}">
  <sheetPr>
    <tabColor rgb="FFFFFF00"/>
  </sheetPr>
  <dimension ref="A1:V1049"/>
  <sheetViews>
    <sheetView view="pageBreakPreview" zoomScaleNormal="100" zoomScaleSheetLayoutView="100" workbookViewId="0">
      <selection activeCell="R10" sqref="R10:V151"/>
    </sheetView>
  </sheetViews>
  <sheetFormatPr defaultColWidth="9" defaultRowHeight="12.75"/>
  <cols>
    <col min="1" max="1" width="3.25" style="286" bestFit="1" customWidth="1"/>
    <col min="2" max="2" width="11.875" style="286" bestFit="1" customWidth="1"/>
    <col min="3" max="3" width="0.5" style="286" customWidth="1"/>
    <col min="4" max="4" width="24.125" style="286" bestFit="1" customWidth="1"/>
    <col min="5" max="5" width="17.625" style="286" bestFit="1" customWidth="1"/>
    <col min="6" max="6" width="31" style="286" bestFit="1" customWidth="1"/>
    <col min="7" max="7" width="7" style="286" bestFit="1" customWidth="1"/>
    <col min="8" max="8" width="9.25" style="286" bestFit="1" customWidth="1"/>
    <col min="9" max="9" width="7.125" style="286" bestFit="1" customWidth="1"/>
    <col min="10" max="10" width="9" style="286"/>
    <col min="11" max="11" width="4.375" style="286" customWidth="1"/>
    <col min="12" max="12" width="15.5" style="286" hidden="1" customWidth="1"/>
    <col min="13" max="13" width="9" style="286"/>
    <col min="14" max="14" width="14.875" style="286" bestFit="1" customWidth="1"/>
    <col min="15" max="15" width="10" style="286" bestFit="1" customWidth="1"/>
    <col min="16" max="17" width="9" style="286"/>
    <col min="18" max="18" width="11" style="286" customWidth="1"/>
    <col min="19" max="19" width="32.75" style="286" bestFit="1" customWidth="1"/>
    <col min="20" max="20" width="14.875" style="286" bestFit="1" customWidth="1"/>
    <col min="21" max="21" width="24.875" style="286" bestFit="1" customWidth="1"/>
    <col min="22" max="22" width="12.25" style="286" bestFit="1" customWidth="1"/>
    <col min="23" max="16384" width="9" style="286"/>
  </cols>
  <sheetData>
    <row r="1" spans="1:22" s="2" customFormat="1" ht="15.75">
      <c r="P1" s="26" t="str">
        <f>'Cover Page'!A3</f>
        <v>OUCC Attachment CFS-1</v>
      </c>
    </row>
    <row r="2" spans="1:22" s="2" customFormat="1" ht="15.75">
      <c r="P2" s="26" t="str">
        <f>"Workpaper "&amp;+Inputs!C11&amp;"-5"</f>
        <v>Workpaper CFS-5</v>
      </c>
    </row>
    <row r="3" spans="1:22" s="2" customFormat="1" ht="15.75">
      <c r="P3" s="443" t="s">
        <v>722</v>
      </c>
    </row>
    <row r="4" spans="1:22" s="3" customFormat="1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9"/>
    </row>
    <row r="5" spans="1:22" s="4" customFormat="1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10"/>
    </row>
    <row r="6" spans="1:22" s="2" customFormat="1" ht="15.75"/>
    <row r="7" spans="1:22" s="2" customFormat="1" ht="15.75">
      <c r="A7" s="452" t="s">
        <v>723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33"/>
    </row>
    <row r="8" spans="1:22" s="2" customFormat="1" ht="15.75">
      <c r="A8" s="442"/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33"/>
    </row>
    <row r="9" spans="1:22" ht="153.75" thickBot="1">
      <c r="A9" s="342" t="s">
        <v>578</v>
      </c>
      <c r="B9" s="342" t="s">
        <v>724</v>
      </c>
      <c r="C9" s="342" t="s">
        <v>579</v>
      </c>
      <c r="D9" s="342" t="s">
        <v>580</v>
      </c>
      <c r="E9" s="342" t="s">
        <v>581</v>
      </c>
      <c r="F9" s="342" t="s">
        <v>582</v>
      </c>
      <c r="G9" s="342" t="s">
        <v>583</v>
      </c>
      <c r="H9" s="343" t="s">
        <v>584</v>
      </c>
      <c r="I9" s="343" t="s">
        <v>585</v>
      </c>
      <c r="K9" s="286" t="s">
        <v>725</v>
      </c>
    </row>
    <row r="10" spans="1:22" ht="15.75">
      <c r="A10" s="286">
        <v>1.1000000000000001</v>
      </c>
      <c r="B10" s="344">
        <v>1</v>
      </c>
      <c r="D10" s="286" t="s">
        <v>619</v>
      </c>
      <c r="E10" s="286" t="s">
        <v>686</v>
      </c>
      <c r="F10" s="286" t="s">
        <v>598</v>
      </c>
      <c r="G10" s="286">
        <v>26</v>
      </c>
      <c r="H10" s="287">
        <v>5489.8899999999994</v>
      </c>
      <c r="I10" s="287">
        <v>238.24</v>
      </c>
      <c r="K10" s="312"/>
      <c r="L10" s="345"/>
      <c r="M10" s="345"/>
      <c r="N10" s="345"/>
      <c r="O10" s="345"/>
      <c r="P10" s="346"/>
      <c r="R10"/>
      <c r="S10"/>
      <c r="T10"/>
      <c r="U10"/>
      <c r="V10"/>
    </row>
    <row r="11" spans="1:22" ht="15.75">
      <c r="A11" s="286">
        <v>1.2</v>
      </c>
      <c r="B11" s="344">
        <v>1</v>
      </c>
      <c r="D11" s="286" t="s">
        <v>619</v>
      </c>
      <c r="E11" s="286" t="s">
        <v>686</v>
      </c>
      <c r="F11" s="286" t="s">
        <v>621</v>
      </c>
      <c r="G11" s="286">
        <v>26</v>
      </c>
      <c r="H11" s="290">
        <v>37033.33</v>
      </c>
      <c r="I11" s="290">
        <v>1626.8999999999999</v>
      </c>
      <c r="K11" s="314" t="s">
        <v>578</v>
      </c>
      <c r="L11" s="286" t="s">
        <v>579</v>
      </c>
      <c r="M11" s="286" t="s">
        <v>726</v>
      </c>
      <c r="N11" s="286" t="s">
        <v>727</v>
      </c>
      <c r="O11" s="286" t="s">
        <v>728</v>
      </c>
      <c r="P11" s="329"/>
      <c r="R11"/>
      <c r="S11"/>
      <c r="T11"/>
      <c r="U11"/>
      <c r="V11"/>
    </row>
    <row r="12" spans="1:22" ht="15.75">
      <c r="A12" s="286">
        <v>1.2</v>
      </c>
      <c r="B12" s="344">
        <v>1</v>
      </c>
      <c r="D12" s="286" t="s">
        <v>619</v>
      </c>
      <c r="E12" s="286" t="s">
        <v>686</v>
      </c>
      <c r="F12" s="286" t="s">
        <v>622</v>
      </c>
      <c r="H12" s="290">
        <v>993.6</v>
      </c>
      <c r="I12" s="290">
        <v>40</v>
      </c>
      <c r="K12" s="314">
        <v>1.1000000000000001</v>
      </c>
      <c r="L12" s="286" t="s">
        <v>729</v>
      </c>
      <c r="M12" s="286">
        <v>26</v>
      </c>
      <c r="N12" s="290">
        <v>5991.9699999999993</v>
      </c>
      <c r="O12" s="290">
        <v>260</v>
      </c>
      <c r="P12" s="329"/>
      <c r="R12"/>
      <c r="S12"/>
      <c r="T12"/>
      <c r="U12"/>
      <c r="V12"/>
    </row>
    <row r="13" spans="1:22" ht="15.75">
      <c r="A13" s="286">
        <v>1.1000000000000001</v>
      </c>
      <c r="B13" s="344">
        <v>1</v>
      </c>
      <c r="D13" s="286" t="s">
        <v>619</v>
      </c>
      <c r="E13" s="286" t="s">
        <v>686</v>
      </c>
      <c r="F13" s="286" t="s">
        <v>599</v>
      </c>
      <c r="H13" s="290"/>
      <c r="I13" s="290"/>
      <c r="K13" s="314">
        <v>1.2</v>
      </c>
      <c r="L13" s="286" t="s">
        <v>729</v>
      </c>
      <c r="M13" s="286">
        <v>26</v>
      </c>
      <c r="N13" s="290">
        <v>47806.559999999998</v>
      </c>
      <c r="O13" s="290">
        <v>2078.7999999999997</v>
      </c>
      <c r="P13" s="329"/>
      <c r="R13"/>
      <c r="S13"/>
      <c r="T13"/>
      <c r="U13"/>
      <c r="V13"/>
    </row>
    <row r="14" spans="1:22" ht="15.75">
      <c r="A14" s="286">
        <v>1.1000000000000001</v>
      </c>
      <c r="B14" s="344">
        <v>1</v>
      </c>
      <c r="D14" s="286" t="s">
        <v>619</v>
      </c>
      <c r="E14" s="286" t="s">
        <v>686</v>
      </c>
      <c r="F14" s="286" t="s">
        <v>599</v>
      </c>
      <c r="H14" s="290"/>
      <c r="I14" s="290"/>
      <c r="K14" s="314">
        <v>2</v>
      </c>
      <c r="L14" s="286" t="s">
        <v>730</v>
      </c>
      <c r="M14" s="286">
        <v>26</v>
      </c>
      <c r="N14" s="290">
        <v>17536.55</v>
      </c>
      <c r="O14" s="290">
        <v>520.03</v>
      </c>
      <c r="P14" s="329"/>
      <c r="R14"/>
      <c r="S14"/>
      <c r="T14"/>
      <c r="U14"/>
      <c r="V14"/>
    </row>
    <row r="15" spans="1:22" ht="15.75">
      <c r="A15" s="286">
        <v>1.1000000000000001</v>
      </c>
      <c r="B15" s="344">
        <v>1</v>
      </c>
      <c r="D15" s="286" t="s">
        <v>619</v>
      </c>
      <c r="E15" s="286" t="s">
        <v>686</v>
      </c>
      <c r="F15" s="286" t="s">
        <v>601</v>
      </c>
      <c r="H15" s="290"/>
      <c r="I15" s="290"/>
      <c r="K15" s="314">
        <v>3</v>
      </c>
      <c r="L15" s="286" t="s">
        <v>731</v>
      </c>
      <c r="M15" s="286">
        <v>26</v>
      </c>
      <c r="N15" s="290">
        <v>56159.76</v>
      </c>
      <c r="O15" s="290">
        <v>2080</v>
      </c>
      <c r="P15" s="329"/>
      <c r="R15"/>
      <c r="S15"/>
      <c r="T15"/>
      <c r="U15"/>
      <c r="V15"/>
    </row>
    <row r="16" spans="1:22" ht="15.75">
      <c r="A16" s="286">
        <v>1.1000000000000001</v>
      </c>
      <c r="B16" s="344">
        <v>1</v>
      </c>
      <c r="D16" s="286" t="s">
        <v>619</v>
      </c>
      <c r="E16" s="286" t="s">
        <v>686</v>
      </c>
      <c r="F16" s="286" t="s">
        <v>601</v>
      </c>
      <c r="H16" s="290"/>
      <c r="I16" s="290"/>
      <c r="K16" s="314">
        <v>4</v>
      </c>
      <c r="L16" s="286" t="s">
        <v>732</v>
      </c>
      <c r="M16" s="286">
        <v>26</v>
      </c>
      <c r="N16" s="290">
        <v>9415.5800000000017</v>
      </c>
      <c r="O16" s="290">
        <v>520.03</v>
      </c>
      <c r="P16" s="329"/>
      <c r="R16"/>
      <c r="S16"/>
      <c r="T16"/>
      <c r="U16"/>
      <c r="V16"/>
    </row>
    <row r="17" spans="1:22" ht="15.75">
      <c r="A17" s="286">
        <v>1.1000000000000001</v>
      </c>
      <c r="B17" s="344">
        <v>1</v>
      </c>
      <c r="D17" s="286" t="s">
        <v>619</v>
      </c>
      <c r="E17" s="286" t="s">
        <v>686</v>
      </c>
      <c r="F17" s="286" t="s">
        <v>603</v>
      </c>
      <c r="H17" s="290"/>
      <c r="I17" s="290"/>
      <c r="K17" s="314">
        <v>5</v>
      </c>
      <c r="L17" s="286" t="s">
        <v>733</v>
      </c>
      <c r="M17" s="286">
        <v>26</v>
      </c>
      <c r="N17" s="290">
        <v>7161.9199999999983</v>
      </c>
      <c r="O17" s="290">
        <v>254.79000000000002</v>
      </c>
      <c r="P17" s="329"/>
      <c r="R17"/>
      <c r="S17"/>
      <c r="T17"/>
      <c r="U17"/>
      <c r="V17"/>
    </row>
    <row r="18" spans="1:22" ht="15.75">
      <c r="A18" s="286">
        <v>1.1000000000000001</v>
      </c>
      <c r="B18" s="344">
        <v>1</v>
      </c>
      <c r="D18" s="286" t="s">
        <v>619</v>
      </c>
      <c r="E18" s="286" t="s">
        <v>686</v>
      </c>
      <c r="F18" s="286" t="s">
        <v>605</v>
      </c>
      <c r="H18" s="290">
        <v>202.17</v>
      </c>
      <c r="I18" s="290">
        <v>8.76</v>
      </c>
      <c r="K18" s="314">
        <v>6</v>
      </c>
      <c r="L18" s="286" t="s">
        <v>734</v>
      </c>
      <c r="M18" s="286">
        <v>26</v>
      </c>
      <c r="N18" s="290">
        <v>5982.0600000000013</v>
      </c>
      <c r="O18" s="290">
        <v>208</v>
      </c>
      <c r="P18" s="329"/>
      <c r="R18"/>
      <c r="S18"/>
      <c r="T18"/>
      <c r="U18"/>
      <c r="V18"/>
    </row>
    <row r="19" spans="1:22" ht="15.75">
      <c r="A19" s="286">
        <v>1.2</v>
      </c>
      <c r="B19" s="344">
        <v>1</v>
      </c>
      <c r="D19" s="286" t="s">
        <v>619</v>
      </c>
      <c r="E19" s="286" t="s">
        <v>686</v>
      </c>
      <c r="F19" s="286" t="s">
        <v>627</v>
      </c>
      <c r="H19" s="290">
        <v>1582.6699999999998</v>
      </c>
      <c r="I19" s="290">
        <v>70.8</v>
      </c>
      <c r="K19" s="314">
        <v>7</v>
      </c>
      <c r="L19" s="286" t="s">
        <v>735</v>
      </c>
      <c r="M19" s="286">
        <v>26</v>
      </c>
      <c r="N19" s="290">
        <v>13031.280000000006</v>
      </c>
      <c r="O19" s="290">
        <v>516.03</v>
      </c>
      <c r="P19" s="329"/>
      <c r="R19"/>
      <c r="S19"/>
      <c r="T19"/>
      <c r="U19"/>
      <c r="V19"/>
    </row>
    <row r="20" spans="1:22" ht="15.75">
      <c r="A20" s="286">
        <v>1.2</v>
      </c>
      <c r="B20" s="344">
        <v>1</v>
      </c>
      <c r="D20" s="286" t="s">
        <v>619</v>
      </c>
      <c r="E20" s="286" t="s">
        <v>686</v>
      </c>
      <c r="F20" s="286" t="s">
        <v>628</v>
      </c>
      <c r="H20" s="290">
        <v>198.72</v>
      </c>
      <c r="I20" s="290">
        <v>8</v>
      </c>
      <c r="K20" s="314">
        <v>8</v>
      </c>
      <c r="L20" s="286" t="s">
        <v>736</v>
      </c>
      <c r="M20" s="286">
        <v>26</v>
      </c>
      <c r="N20" s="290">
        <v>55476.73</v>
      </c>
      <c r="O20" s="290">
        <v>2082.0000000000005</v>
      </c>
      <c r="P20" s="329"/>
      <c r="R20"/>
      <c r="S20"/>
      <c r="T20"/>
      <c r="U20"/>
      <c r="V20"/>
    </row>
    <row r="21" spans="1:22" ht="15.75">
      <c r="A21" s="286">
        <v>1.1000000000000001</v>
      </c>
      <c r="B21" s="344">
        <v>1</v>
      </c>
      <c r="D21" s="286" t="s">
        <v>619</v>
      </c>
      <c r="E21" s="286" t="s">
        <v>686</v>
      </c>
      <c r="F21" s="286" t="s">
        <v>608</v>
      </c>
      <c r="H21" s="290">
        <v>230.7</v>
      </c>
      <c r="I21" s="290">
        <v>10</v>
      </c>
      <c r="K21" s="314">
        <v>9</v>
      </c>
      <c r="L21" s="286" t="s">
        <v>737</v>
      </c>
      <c r="M21" s="286">
        <v>26</v>
      </c>
      <c r="N21" s="290">
        <v>9364.8200000000015</v>
      </c>
      <c r="O21" s="290">
        <v>337.99999999999989</v>
      </c>
      <c r="P21" s="329"/>
      <c r="R21"/>
      <c r="S21"/>
      <c r="T21"/>
      <c r="U21"/>
      <c r="V21"/>
    </row>
    <row r="22" spans="1:22" ht="15.75">
      <c r="A22" s="286">
        <v>1.2</v>
      </c>
      <c r="B22" s="344">
        <v>1</v>
      </c>
      <c r="D22" s="286" t="s">
        <v>619</v>
      </c>
      <c r="E22" s="286" t="s">
        <v>686</v>
      </c>
      <c r="F22" s="286" t="s">
        <v>630</v>
      </c>
      <c r="H22" s="290">
        <v>3997.9999999999995</v>
      </c>
      <c r="I22" s="290">
        <v>173.1</v>
      </c>
      <c r="K22" s="314">
        <v>10</v>
      </c>
      <c r="L22" s="286" t="s">
        <v>738</v>
      </c>
      <c r="M22" s="286">
        <v>26</v>
      </c>
      <c r="N22" s="290">
        <v>667.99000000000024</v>
      </c>
      <c r="O22" s="290">
        <v>88.40000000000002</v>
      </c>
      <c r="P22" s="329"/>
      <c r="R22"/>
      <c r="S22"/>
      <c r="T22"/>
      <c r="U22"/>
      <c r="V22"/>
    </row>
    <row r="23" spans="1:22" ht="15.75">
      <c r="A23" s="286">
        <v>1.2</v>
      </c>
      <c r="B23" s="344">
        <v>1</v>
      </c>
      <c r="D23" s="286" t="s">
        <v>619</v>
      </c>
      <c r="E23" s="286" t="s">
        <v>686</v>
      </c>
      <c r="F23" s="286" t="s">
        <v>631</v>
      </c>
      <c r="H23" s="290">
        <v>397.44</v>
      </c>
      <c r="I23" s="290">
        <v>16</v>
      </c>
      <c r="K23" s="314">
        <v>11</v>
      </c>
      <c r="L23" s="286" t="s">
        <v>739</v>
      </c>
      <c r="M23" s="286">
        <v>14</v>
      </c>
      <c r="N23" s="290">
        <v>2388.6900000000005</v>
      </c>
      <c r="O23" s="290">
        <v>108</v>
      </c>
      <c r="P23" s="329"/>
      <c r="R23"/>
      <c r="S23"/>
      <c r="T23"/>
      <c r="U23"/>
      <c r="V23"/>
    </row>
    <row r="24" spans="1:22" ht="15.75">
      <c r="A24" s="286">
        <v>1.2</v>
      </c>
      <c r="B24" s="344">
        <v>1</v>
      </c>
      <c r="D24" s="286" t="s">
        <v>619</v>
      </c>
      <c r="E24" s="286" t="s">
        <v>686</v>
      </c>
      <c r="F24" s="286" t="s">
        <v>633</v>
      </c>
      <c r="H24" s="290">
        <v>2574.6400000000003</v>
      </c>
      <c r="I24" s="290">
        <v>112</v>
      </c>
      <c r="K24" s="314">
        <v>12</v>
      </c>
      <c r="L24" s="286" t="s">
        <v>740</v>
      </c>
      <c r="M24" s="286">
        <v>26</v>
      </c>
      <c r="N24" s="290">
        <v>667.99000000000024</v>
      </c>
      <c r="O24" s="290">
        <v>88.40000000000002</v>
      </c>
      <c r="P24" s="329"/>
      <c r="R24"/>
      <c r="S24"/>
      <c r="T24"/>
      <c r="U24"/>
      <c r="V24"/>
    </row>
    <row r="25" spans="1:22" ht="15.75">
      <c r="A25" s="286">
        <v>1.1000000000000001</v>
      </c>
      <c r="B25" s="344">
        <v>1</v>
      </c>
      <c r="D25" s="286" t="s">
        <v>619</v>
      </c>
      <c r="E25" s="286" t="s">
        <v>686</v>
      </c>
      <c r="F25" s="286" t="s">
        <v>610</v>
      </c>
      <c r="H25" s="290">
        <v>69.210000000000008</v>
      </c>
      <c r="I25" s="290">
        <v>3</v>
      </c>
      <c r="K25" s="314">
        <v>13</v>
      </c>
      <c r="L25" s="286" t="s">
        <v>741</v>
      </c>
      <c r="M25" s="286">
        <v>26</v>
      </c>
      <c r="N25" s="290">
        <v>8689.7199999999993</v>
      </c>
      <c r="O25" s="290">
        <v>514.02</v>
      </c>
      <c r="P25" s="329"/>
      <c r="R25"/>
      <c r="S25"/>
      <c r="T25"/>
      <c r="U25"/>
      <c r="V25"/>
    </row>
    <row r="26" spans="1:22" ht="15.75">
      <c r="A26" s="286">
        <v>1.2</v>
      </c>
      <c r="B26" s="344">
        <v>1</v>
      </c>
      <c r="D26" s="286" t="s">
        <v>619</v>
      </c>
      <c r="E26" s="286" t="s">
        <v>686</v>
      </c>
      <c r="F26" s="286" t="s">
        <v>634</v>
      </c>
      <c r="H26" s="290">
        <v>534.02</v>
      </c>
      <c r="I26" s="290">
        <v>24</v>
      </c>
      <c r="K26" s="314">
        <v>14</v>
      </c>
      <c r="L26" s="286" t="s">
        <v>742</v>
      </c>
      <c r="M26" s="286">
        <v>26</v>
      </c>
      <c r="N26" s="290">
        <v>5552.25</v>
      </c>
      <c r="O26" s="290">
        <v>277.66999999999996</v>
      </c>
      <c r="P26" s="329"/>
      <c r="R26"/>
      <c r="S26"/>
      <c r="T26"/>
      <c r="U26"/>
      <c r="V26"/>
    </row>
    <row r="27" spans="1:22" ht="15.75">
      <c r="A27" s="286">
        <v>1.2</v>
      </c>
      <c r="B27" s="344">
        <v>1</v>
      </c>
      <c r="D27" s="286" t="s">
        <v>619</v>
      </c>
      <c r="E27" s="286" t="s">
        <v>686</v>
      </c>
      <c r="F27" s="286" t="s">
        <v>635</v>
      </c>
      <c r="H27" s="290">
        <v>176.72</v>
      </c>
      <c r="I27" s="290">
        <v>8</v>
      </c>
      <c r="K27" s="314">
        <v>15</v>
      </c>
      <c r="L27" s="286" t="s">
        <v>743</v>
      </c>
      <c r="M27" s="286">
        <v>14</v>
      </c>
      <c r="N27" s="290">
        <v>4560.0599999999995</v>
      </c>
      <c r="O27" s="290">
        <v>163.79999999999998</v>
      </c>
      <c r="P27" s="329"/>
      <c r="R27"/>
      <c r="S27"/>
      <c r="T27"/>
      <c r="U27"/>
      <c r="V27"/>
    </row>
    <row r="28" spans="1:22" ht="15.75">
      <c r="A28" s="286">
        <v>1.2</v>
      </c>
      <c r="B28" s="344">
        <v>1</v>
      </c>
      <c r="D28" s="286" t="s">
        <v>619</v>
      </c>
      <c r="E28" s="286" t="s">
        <v>686</v>
      </c>
      <c r="F28" s="286" t="s">
        <v>612</v>
      </c>
      <c r="H28" s="290"/>
      <c r="I28" s="290"/>
      <c r="K28" s="314">
        <v>16</v>
      </c>
      <c r="L28" s="286" t="s">
        <v>744</v>
      </c>
      <c r="M28" s="286">
        <v>26</v>
      </c>
      <c r="N28" s="290">
        <v>12414.290000000005</v>
      </c>
      <c r="O28" s="290">
        <v>260</v>
      </c>
      <c r="P28" s="329"/>
      <c r="R28"/>
      <c r="S28"/>
      <c r="T28"/>
      <c r="U28"/>
      <c r="V28"/>
    </row>
    <row r="29" spans="1:22" ht="15.75">
      <c r="A29" s="286">
        <v>1.2</v>
      </c>
      <c r="B29" s="344">
        <v>1</v>
      </c>
      <c r="D29" s="286" t="s">
        <v>619</v>
      </c>
      <c r="E29" s="286" t="s">
        <v>686</v>
      </c>
      <c r="F29" s="286" t="s">
        <v>613</v>
      </c>
      <c r="H29" s="290"/>
      <c r="I29" s="290"/>
      <c r="K29" s="314">
        <v>17</v>
      </c>
      <c r="L29" s="286" t="s">
        <v>745</v>
      </c>
      <c r="M29" s="286">
        <v>26</v>
      </c>
      <c r="N29" s="290">
        <v>11619.200000000003</v>
      </c>
      <c r="O29" s="290">
        <v>332.80000000000007</v>
      </c>
      <c r="P29" s="329"/>
      <c r="R29"/>
      <c r="S29"/>
      <c r="T29"/>
      <c r="U29"/>
      <c r="V29"/>
    </row>
    <row r="30" spans="1:22" ht="15.75">
      <c r="A30" s="286">
        <v>1.2</v>
      </c>
      <c r="B30" s="344">
        <v>1</v>
      </c>
      <c r="D30" s="286" t="s">
        <v>619</v>
      </c>
      <c r="E30" s="286" t="s">
        <v>686</v>
      </c>
      <c r="F30" s="286" t="s">
        <v>614</v>
      </c>
      <c r="H30" s="290"/>
      <c r="I30" s="290"/>
      <c r="K30" s="314">
        <v>18</v>
      </c>
      <c r="L30" s="286" t="s">
        <v>746</v>
      </c>
      <c r="M30" s="286">
        <v>26</v>
      </c>
      <c r="N30" s="290">
        <v>13753.199999999999</v>
      </c>
      <c r="O30" s="290">
        <v>338</v>
      </c>
      <c r="P30" s="329"/>
      <c r="R30"/>
      <c r="S30"/>
      <c r="T30"/>
      <c r="U30"/>
      <c r="V30"/>
    </row>
    <row r="31" spans="1:22" ht="15.75">
      <c r="A31" s="286">
        <v>1.2</v>
      </c>
      <c r="B31" s="344">
        <v>1</v>
      </c>
      <c r="D31" s="286" t="s">
        <v>619</v>
      </c>
      <c r="E31" s="286" t="s">
        <v>686</v>
      </c>
      <c r="F31" s="286" t="s">
        <v>623</v>
      </c>
      <c r="H31" s="290"/>
      <c r="I31" s="290"/>
      <c r="K31" s="314">
        <v>19</v>
      </c>
      <c r="L31" s="286" t="s">
        <v>747</v>
      </c>
      <c r="M31" s="286">
        <v>14</v>
      </c>
      <c r="N31" s="290">
        <v>1339.87</v>
      </c>
      <c r="O31" s="290">
        <v>70.889999999999986</v>
      </c>
      <c r="P31" s="329"/>
      <c r="R31"/>
      <c r="S31"/>
      <c r="T31"/>
      <c r="U31"/>
      <c r="V31"/>
    </row>
    <row r="32" spans="1:22" ht="15.75">
      <c r="A32" s="286">
        <v>1.2</v>
      </c>
      <c r="B32" s="344">
        <v>1</v>
      </c>
      <c r="D32" s="286" t="s">
        <v>619</v>
      </c>
      <c r="E32" s="286" t="s">
        <v>686</v>
      </c>
      <c r="F32" s="286" t="s">
        <v>625</v>
      </c>
      <c r="H32" s="290"/>
      <c r="I32" s="290"/>
      <c r="K32" s="314">
        <v>20</v>
      </c>
      <c r="L32" s="286" t="s">
        <v>748</v>
      </c>
      <c r="M32" s="286">
        <v>26</v>
      </c>
      <c r="N32" s="290">
        <v>39281.080000000009</v>
      </c>
      <c r="O32" s="290">
        <v>2079.5300000000002</v>
      </c>
      <c r="P32" s="329"/>
      <c r="R32"/>
      <c r="S32"/>
      <c r="T32"/>
      <c r="U32"/>
      <c r="V32"/>
    </row>
    <row r="33" spans="1:22" ht="15.75">
      <c r="A33" s="286">
        <v>1.2</v>
      </c>
      <c r="B33" s="344">
        <v>1</v>
      </c>
      <c r="D33" s="286" t="s">
        <v>619</v>
      </c>
      <c r="E33" s="286" t="s">
        <v>686</v>
      </c>
      <c r="F33" s="286" t="s">
        <v>616</v>
      </c>
      <c r="H33" s="290"/>
      <c r="I33" s="290"/>
      <c r="K33" s="314">
        <v>21</v>
      </c>
      <c r="L33" s="286" t="s">
        <v>749</v>
      </c>
      <c r="M33" s="286">
        <v>26</v>
      </c>
      <c r="N33" s="290">
        <v>68791.98</v>
      </c>
      <c r="O33" s="290">
        <v>2064</v>
      </c>
      <c r="P33" s="329"/>
      <c r="R33"/>
      <c r="S33"/>
      <c r="T33"/>
      <c r="U33"/>
      <c r="V33"/>
    </row>
    <row r="34" spans="1:22" ht="15.75">
      <c r="A34" s="286">
        <v>1.2</v>
      </c>
      <c r="B34" s="344">
        <v>1</v>
      </c>
      <c r="D34" s="286" t="s">
        <v>619</v>
      </c>
      <c r="E34" s="286" t="s">
        <v>686</v>
      </c>
      <c r="F34" s="286" t="s">
        <v>629</v>
      </c>
      <c r="H34" s="290"/>
      <c r="I34" s="290"/>
      <c r="K34" s="314">
        <v>22</v>
      </c>
      <c r="L34" s="286" t="s">
        <v>750</v>
      </c>
      <c r="M34" s="286">
        <v>26</v>
      </c>
      <c r="N34" s="290">
        <v>8396.99</v>
      </c>
      <c r="O34" s="290">
        <v>258.02999999999997</v>
      </c>
      <c r="P34" s="329"/>
      <c r="R34"/>
      <c r="S34"/>
      <c r="T34"/>
      <c r="U34"/>
      <c r="V34"/>
    </row>
    <row r="35" spans="1:22" ht="15.75">
      <c r="A35" s="286">
        <v>1.2</v>
      </c>
      <c r="B35" s="344">
        <v>1</v>
      </c>
      <c r="D35" s="286" t="s">
        <v>619</v>
      </c>
      <c r="E35" s="286" t="s">
        <v>686</v>
      </c>
      <c r="F35" s="286" t="s">
        <v>618</v>
      </c>
      <c r="H35" s="290"/>
      <c r="I35" s="290"/>
      <c r="K35" s="314">
        <v>23</v>
      </c>
      <c r="L35" s="286" t="s">
        <v>751</v>
      </c>
      <c r="M35" s="286">
        <v>27</v>
      </c>
      <c r="N35" s="290">
        <v>49954.15</v>
      </c>
      <c r="O35" s="290">
        <v>2080</v>
      </c>
      <c r="P35" s="329"/>
      <c r="R35"/>
      <c r="S35"/>
      <c r="T35"/>
      <c r="U35"/>
      <c r="V35"/>
    </row>
    <row r="36" spans="1:22" ht="15.75">
      <c r="A36" s="286">
        <v>1.2</v>
      </c>
      <c r="B36" s="344">
        <v>1</v>
      </c>
      <c r="D36" s="286" t="s">
        <v>619</v>
      </c>
      <c r="E36" s="286" t="s">
        <v>686</v>
      </c>
      <c r="F36" s="286" t="s">
        <v>636</v>
      </c>
      <c r="H36" s="290">
        <v>317.42</v>
      </c>
      <c r="I36" s="290">
        <v>0</v>
      </c>
      <c r="K36" s="314">
        <v>24</v>
      </c>
      <c r="L36" s="286" t="s">
        <v>752</v>
      </c>
      <c r="M36" s="286">
        <v>26</v>
      </c>
      <c r="N36" s="290">
        <v>3395.1099999999988</v>
      </c>
      <c r="O36" s="290">
        <v>201.01000000000005</v>
      </c>
      <c r="P36" s="329"/>
      <c r="R36"/>
      <c r="S36"/>
      <c r="T36"/>
      <c r="U36"/>
      <c r="V36"/>
    </row>
    <row r="37" spans="1:22" ht="15.75">
      <c r="A37" s="286">
        <v>1.2</v>
      </c>
      <c r="B37" s="344">
        <v>1</v>
      </c>
      <c r="D37" s="286" t="s">
        <v>619</v>
      </c>
      <c r="E37" s="286" t="s">
        <v>686</v>
      </c>
      <c r="F37" s="286" t="s">
        <v>632</v>
      </c>
      <c r="H37" s="290"/>
      <c r="I37" s="290"/>
      <c r="K37" s="314">
        <v>25</v>
      </c>
      <c r="L37" s="286" t="s">
        <v>753</v>
      </c>
      <c r="M37" s="286">
        <v>26</v>
      </c>
      <c r="N37" s="290">
        <v>8768.16</v>
      </c>
      <c r="O37" s="290">
        <v>260.06</v>
      </c>
      <c r="P37" s="329"/>
      <c r="R37"/>
      <c r="S37"/>
      <c r="T37"/>
      <c r="U37"/>
      <c r="V37"/>
    </row>
    <row r="38" spans="1:22" ht="15.75">
      <c r="A38" s="286">
        <v>3</v>
      </c>
      <c r="B38" s="344">
        <v>1</v>
      </c>
      <c r="D38" s="286" t="s">
        <v>597</v>
      </c>
      <c r="E38" s="286" t="s">
        <v>637</v>
      </c>
      <c r="F38" s="286" t="s">
        <v>598</v>
      </c>
      <c r="G38" s="286">
        <v>26</v>
      </c>
      <c r="H38" s="290">
        <v>48471.66</v>
      </c>
      <c r="I38" s="290">
        <v>1794.6</v>
      </c>
      <c r="K38" s="314">
        <v>26</v>
      </c>
      <c r="L38" s="286" t="s">
        <v>754</v>
      </c>
      <c r="M38" s="286">
        <v>26</v>
      </c>
      <c r="N38" s="290">
        <v>7876.5299999999979</v>
      </c>
      <c r="O38" s="290">
        <v>520.03</v>
      </c>
      <c r="P38" s="329"/>
      <c r="R38"/>
      <c r="S38"/>
      <c r="T38"/>
      <c r="U38"/>
      <c r="V38"/>
    </row>
    <row r="39" spans="1:22" ht="15.75">
      <c r="A39" s="286">
        <v>3</v>
      </c>
      <c r="B39" s="344">
        <v>1</v>
      </c>
      <c r="D39" s="286" t="s">
        <v>597</v>
      </c>
      <c r="E39" s="286" t="s">
        <v>637</v>
      </c>
      <c r="F39" s="286" t="s">
        <v>599</v>
      </c>
      <c r="H39" s="290"/>
      <c r="I39" s="290"/>
      <c r="K39" s="314">
        <v>27</v>
      </c>
      <c r="L39" s="286" t="s">
        <v>755</v>
      </c>
      <c r="M39" s="286">
        <v>26</v>
      </c>
      <c r="N39" s="290">
        <v>43967.93</v>
      </c>
      <c r="O39" s="290">
        <v>2091.1999999999994</v>
      </c>
      <c r="P39" s="329"/>
      <c r="R39"/>
      <c r="S39"/>
      <c r="T39"/>
      <c r="U39"/>
      <c r="V39"/>
    </row>
    <row r="40" spans="1:22" ht="15.75">
      <c r="A40" s="286">
        <v>3</v>
      </c>
      <c r="B40" s="344">
        <v>1</v>
      </c>
      <c r="D40" s="286" t="s">
        <v>597</v>
      </c>
      <c r="E40" s="286" t="s">
        <v>637</v>
      </c>
      <c r="F40" s="286" t="s">
        <v>601</v>
      </c>
      <c r="H40" s="290"/>
      <c r="I40" s="290"/>
      <c r="K40" s="314">
        <v>28</v>
      </c>
      <c r="L40" s="286" t="s">
        <v>756</v>
      </c>
      <c r="M40" s="286">
        <v>26</v>
      </c>
      <c r="N40" s="290">
        <v>7846.1799999999976</v>
      </c>
      <c r="O40" s="290">
        <v>518</v>
      </c>
      <c r="P40" s="329"/>
      <c r="R40"/>
      <c r="S40"/>
      <c r="T40"/>
      <c r="U40"/>
      <c r="V40"/>
    </row>
    <row r="41" spans="1:22" ht="15.75">
      <c r="A41" s="286">
        <v>3</v>
      </c>
      <c r="B41" s="344">
        <v>1</v>
      </c>
      <c r="D41" s="286" t="s">
        <v>597</v>
      </c>
      <c r="E41" s="286" t="s">
        <v>637</v>
      </c>
      <c r="F41" s="286" t="s">
        <v>605</v>
      </c>
      <c r="H41" s="290">
        <v>5166.7199999999993</v>
      </c>
      <c r="I41" s="290">
        <v>192</v>
      </c>
      <c r="K41" s="314">
        <v>29</v>
      </c>
      <c r="L41" s="286" t="s">
        <v>757</v>
      </c>
      <c r="M41" s="286">
        <v>26</v>
      </c>
      <c r="N41" s="290">
        <v>9403.4600000000028</v>
      </c>
      <c r="O41" s="290">
        <v>337.99999999999994</v>
      </c>
      <c r="P41" s="329"/>
      <c r="R41"/>
      <c r="S41"/>
      <c r="T41"/>
      <c r="U41"/>
      <c r="V41"/>
    </row>
    <row r="42" spans="1:22" ht="15.75">
      <c r="A42" s="286">
        <v>3</v>
      </c>
      <c r="B42" s="344">
        <v>1</v>
      </c>
      <c r="D42" s="286" t="s">
        <v>597</v>
      </c>
      <c r="E42" s="286" t="s">
        <v>637</v>
      </c>
      <c r="F42" s="286" t="s">
        <v>608</v>
      </c>
      <c r="H42" s="290">
        <v>1768.4199999999996</v>
      </c>
      <c r="I42" s="290">
        <v>65.400000000000006</v>
      </c>
      <c r="K42" s="314">
        <v>30</v>
      </c>
      <c r="L42" s="286" t="s">
        <v>758</v>
      </c>
      <c r="M42" s="286">
        <v>26</v>
      </c>
      <c r="N42" s="290">
        <v>667.99000000000024</v>
      </c>
      <c r="O42" s="290">
        <v>88.40000000000002</v>
      </c>
      <c r="P42" s="329"/>
      <c r="R42"/>
      <c r="S42"/>
      <c r="T42"/>
      <c r="U42"/>
      <c r="V42"/>
    </row>
    <row r="43" spans="1:22" ht="15.75">
      <c r="A43" s="286">
        <v>3</v>
      </c>
      <c r="B43" s="344">
        <v>1</v>
      </c>
      <c r="D43" s="286" t="s">
        <v>597</v>
      </c>
      <c r="E43" s="286" t="s">
        <v>637</v>
      </c>
      <c r="F43" s="286" t="s">
        <v>610</v>
      </c>
      <c r="H43" s="290">
        <v>752.96</v>
      </c>
      <c r="I43" s="290">
        <v>28</v>
      </c>
      <c r="K43" s="314">
        <v>31</v>
      </c>
      <c r="L43" s="286" t="s">
        <v>759</v>
      </c>
      <c r="M43" s="286">
        <v>26</v>
      </c>
      <c r="N43" s="290">
        <v>667.99000000000024</v>
      </c>
      <c r="O43" s="290">
        <v>88.40000000000002</v>
      </c>
      <c r="P43" s="329"/>
      <c r="R43"/>
      <c r="S43"/>
      <c r="T43"/>
      <c r="U43"/>
      <c r="V43"/>
    </row>
    <row r="44" spans="1:22" ht="15.75">
      <c r="A44" s="286">
        <v>3</v>
      </c>
      <c r="B44" s="344">
        <v>1</v>
      </c>
      <c r="D44" s="286" t="s">
        <v>597</v>
      </c>
      <c r="E44" s="286" t="s">
        <v>637</v>
      </c>
      <c r="F44" s="286" t="s">
        <v>624</v>
      </c>
      <c r="H44" s="290"/>
      <c r="I44" s="290"/>
      <c r="K44" s="314">
        <v>32</v>
      </c>
      <c r="L44" s="286" t="s">
        <v>760</v>
      </c>
      <c r="M44" s="286">
        <v>26</v>
      </c>
      <c r="N44" s="290">
        <v>4750.4599999999991</v>
      </c>
      <c r="O44" s="290">
        <v>197.03999999999994</v>
      </c>
      <c r="P44" s="329"/>
      <c r="R44"/>
      <c r="S44"/>
      <c r="T44"/>
      <c r="U44"/>
      <c r="V44"/>
    </row>
    <row r="45" spans="1:22" ht="15.75">
      <c r="A45" s="286">
        <v>3</v>
      </c>
      <c r="B45" s="344">
        <v>1</v>
      </c>
      <c r="D45" s="286" t="s">
        <v>597</v>
      </c>
      <c r="E45" s="286" t="s">
        <v>637</v>
      </c>
      <c r="F45" s="286" t="s">
        <v>629</v>
      </c>
      <c r="H45" s="290"/>
      <c r="I45" s="290"/>
      <c r="K45" s="314">
        <v>33</v>
      </c>
      <c r="L45" s="286" t="s">
        <v>761</v>
      </c>
      <c r="M45" s="286">
        <v>26</v>
      </c>
      <c r="N45" s="290">
        <v>13231.990000000002</v>
      </c>
      <c r="O45" s="290">
        <v>520.07000000000005</v>
      </c>
      <c r="P45" s="329"/>
      <c r="R45"/>
      <c r="S45"/>
      <c r="T45"/>
      <c r="U45"/>
      <c r="V45"/>
    </row>
    <row r="46" spans="1:22" ht="15.75">
      <c r="A46" s="286">
        <v>8</v>
      </c>
      <c r="B46" s="344">
        <v>1</v>
      </c>
      <c r="D46" s="286" t="s">
        <v>597</v>
      </c>
      <c r="E46" s="286" t="s">
        <v>762</v>
      </c>
      <c r="F46" s="286" t="s">
        <v>598</v>
      </c>
      <c r="G46" s="286">
        <v>26</v>
      </c>
      <c r="H46" s="290">
        <v>45417.609999999993</v>
      </c>
      <c r="I46" s="290">
        <v>1704.5700000000002</v>
      </c>
      <c r="K46" s="314">
        <v>34</v>
      </c>
      <c r="L46" s="286" t="s">
        <v>763</v>
      </c>
      <c r="M46" s="286">
        <v>26</v>
      </c>
      <c r="N46" s="290">
        <v>4031.9400000000023</v>
      </c>
      <c r="O46" s="290">
        <v>103.2</v>
      </c>
      <c r="P46" s="329"/>
      <c r="R46"/>
      <c r="S46"/>
      <c r="T46"/>
      <c r="U46"/>
      <c r="V46"/>
    </row>
    <row r="47" spans="1:22" ht="15.75">
      <c r="A47" s="286">
        <v>8</v>
      </c>
      <c r="B47" s="344">
        <v>1</v>
      </c>
      <c r="D47" s="286" t="s">
        <v>597</v>
      </c>
      <c r="E47" s="286" t="s">
        <v>762</v>
      </c>
      <c r="F47" s="286" t="s">
        <v>599</v>
      </c>
      <c r="H47" s="290"/>
      <c r="I47" s="290"/>
      <c r="K47" s="314">
        <v>35</v>
      </c>
      <c r="L47" s="286" t="s">
        <v>764</v>
      </c>
      <c r="M47" s="286">
        <v>26</v>
      </c>
      <c r="N47" s="290">
        <v>667.99000000000024</v>
      </c>
      <c r="O47" s="290">
        <v>88.40000000000002</v>
      </c>
      <c r="P47" s="329"/>
      <c r="R47"/>
      <c r="S47"/>
      <c r="T47"/>
      <c r="U47"/>
      <c r="V47"/>
    </row>
    <row r="48" spans="1:22" ht="15.75">
      <c r="A48" s="286">
        <v>8</v>
      </c>
      <c r="B48" s="344">
        <v>1</v>
      </c>
      <c r="D48" s="286" t="s">
        <v>597</v>
      </c>
      <c r="E48" s="286" t="s">
        <v>762</v>
      </c>
      <c r="F48" s="286" t="s">
        <v>605</v>
      </c>
      <c r="H48" s="290">
        <v>6366.19</v>
      </c>
      <c r="I48" s="290">
        <v>238.50000000000003</v>
      </c>
      <c r="K48" s="314">
        <v>36</v>
      </c>
      <c r="L48" s="286" t="s">
        <v>765</v>
      </c>
      <c r="M48" s="286">
        <v>26</v>
      </c>
      <c r="N48" s="290">
        <v>4843.6499999999996</v>
      </c>
      <c r="O48" s="290">
        <v>338</v>
      </c>
      <c r="P48" s="329"/>
      <c r="R48"/>
      <c r="S48"/>
      <c r="T48"/>
      <c r="U48"/>
      <c r="V48"/>
    </row>
    <row r="49" spans="1:22" ht="15.75">
      <c r="A49" s="286">
        <v>8</v>
      </c>
      <c r="B49" s="344">
        <v>1</v>
      </c>
      <c r="D49" s="286" t="s">
        <v>597</v>
      </c>
      <c r="E49" s="286" t="s">
        <v>762</v>
      </c>
      <c r="F49" s="286" t="s">
        <v>627</v>
      </c>
      <c r="H49" s="290">
        <v>40.04</v>
      </c>
      <c r="I49" s="290">
        <v>1.5</v>
      </c>
      <c r="K49" s="314">
        <v>37</v>
      </c>
      <c r="L49" s="286" t="s">
        <v>766</v>
      </c>
      <c r="M49" s="286">
        <v>26</v>
      </c>
      <c r="N49" s="290">
        <v>16102.429999999993</v>
      </c>
      <c r="O49" s="290">
        <v>336.7</v>
      </c>
      <c r="P49" s="329"/>
      <c r="R49"/>
      <c r="S49"/>
      <c r="T49"/>
      <c r="U49"/>
      <c r="V49"/>
    </row>
    <row r="50" spans="1:22" ht="15.75">
      <c r="A50" s="286">
        <v>8</v>
      </c>
      <c r="B50" s="344">
        <v>1</v>
      </c>
      <c r="D50" s="286" t="s">
        <v>597</v>
      </c>
      <c r="E50" s="286" t="s">
        <v>762</v>
      </c>
      <c r="F50" s="286" t="s">
        <v>608</v>
      </c>
      <c r="H50" s="290">
        <v>2998.6600000000003</v>
      </c>
      <c r="I50" s="290">
        <v>112.34</v>
      </c>
      <c r="K50" s="314">
        <v>38</v>
      </c>
      <c r="L50" s="286" t="s">
        <v>767</v>
      </c>
      <c r="M50" s="286">
        <v>26</v>
      </c>
      <c r="N50" s="290">
        <v>8470.7099999999991</v>
      </c>
      <c r="O50" s="290">
        <v>518.11999999999989</v>
      </c>
      <c r="P50" s="329"/>
      <c r="R50"/>
      <c r="S50"/>
      <c r="T50"/>
      <c r="U50"/>
      <c r="V50"/>
    </row>
    <row r="51" spans="1:22" ht="15.75">
      <c r="A51" s="286">
        <v>8</v>
      </c>
      <c r="B51" s="344">
        <v>1</v>
      </c>
      <c r="D51" s="286" t="s">
        <v>597</v>
      </c>
      <c r="E51" s="286" t="s">
        <v>762</v>
      </c>
      <c r="F51" s="286" t="s">
        <v>610</v>
      </c>
      <c r="H51" s="290">
        <v>640.89</v>
      </c>
      <c r="I51" s="290">
        <v>24.009999999999998</v>
      </c>
      <c r="K51" s="314">
        <v>39</v>
      </c>
      <c r="L51" s="286" t="s">
        <v>768</v>
      </c>
      <c r="M51" s="286">
        <v>26</v>
      </c>
      <c r="N51" s="290">
        <v>49198.439999999988</v>
      </c>
      <c r="O51" s="290">
        <v>2075.9999999999995</v>
      </c>
      <c r="P51" s="329"/>
      <c r="R51"/>
      <c r="S51"/>
      <c r="T51"/>
      <c r="U51"/>
      <c r="V51"/>
    </row>
    <row r="52" spans="1:22" ht="15.75">
      <c r="A52" s="286">
        <v>8</v>
      </c>
      <c r="B52" s="344">
        <v>1</v>
      </c>
      <c r="D52" s="286" t="s">
        <v>597</v>
      </c>
      <c r="E52" s="286" t="s">
        <v>762</v>
      </c>
      <c r="F52" s="286" t="s">
        <v>641</v>
      </c>
      <c r="H52" s="290">
        <v>0</v>
      </c>
      <c r="I52" s="290">
        <v>0.57999999999999996</v>
      </c>
      <c r="K52" s="314">
        <v>40</v>
      </c>
      <c r="L52" s="286" t="s">
        <v>769</v>
      </c>
      <c r="M52" s="286">
        <v>27</v>
      </c>
      <c r="N52" s="290">
        <v>60984.700000000004</v>
      </c>
      <c r="O52" s="290">
        <v>2084</v>
      </c>
      <c r="P52" s="329"/>
      <c r="R52"/>
      <c r="S52"/>
      <c r="T52"/>
      <c r="U52"/>
      <c r="V52"/>
    </row>
    <row r="53" spans="1:22" ht="15.75">
      <c r="A53" s="286">
        <v>8</v>
      </c>
      <c r="B53" s="344">
        <v>1</v>
      </c>
      <c r="D53" s="286" t="s">
        <v>597</v>
      </c>
      <c r="E53" s="286" t="s">
        <v>762</v>
      </c>
      <c r="F53" s="286" t="s">
        <v>642</v>
      </c>
      <c r="H53" s="290">
        <v>15.48</v>
      </c>
      <c r="I53" s="290">
        <v>0.57999999999999996</v>
      </c>
      <c r="K53" s="314">
        <v>41</v>
      </c>
      <c r="L53" s="286" t="s">
        <v>770</v>
      </c>
      <c r="M53" s="286">
        <v>26</v>
      </c>
      <c r="N53" s="290">
        <v>59534.21</v>
      </c>
      <c r="O53" s="290">
        <v>2068</v>
      </c>
      <c r="P53" s="329"/>
      <c r="R53"/>
      <c r="S53"/>
      <c r="T53"/>
      <c r="U53"/>
      <c r="V53"/>
    </row>
    <row r="54" spans="1:22" ht="15.75">
      <c r="A54" s="286">
        <v>8</v>
      </c>
      <c r="B54" s="344">
        <v>1</v>
      </c>
      <c r="D54" s="286" t="s">
        <v>597</v>
      </c>
      <c r="E54" s="286" t="s">
        <v>762</v>
      </c>
      <c r="F54" s="286" t="s">
        <v>624</v>
      </c>
      <c r="H54" s="290"/>
      <c r="I54" s="290"/>
      <c r="K54" s="314">
        <v>42</v>
      </c>
      <c r="L54" s="286" t="s">
        <v>771</v>
      </c>
      <c r="M54" s="286">
        <v>26</v>
      </c>
      <c r="N54" s="290">
        <v>3081.1</v>
      </c>
      <c r="O54" s="290">
        <v>128.5</v>
      </c>
      <c r="P54" s="329"/>
      <c r="R54"/>
      <c r="S54"/>
      <c r="T54"/>
      <c r="U54"/>
      <c r="V54"/>
    </row>
    <row r="55" spans="1:22" ht="15.75">
      <c r="A55" s="286">
        <v>8</v>
      </c>
      <c r="B55" s="344">
        <v>1</v>
      </c>
      <c r="D55" s="286" t="s">
        <v>597</v>
      </c>
      <c r="E55" s="286" t="s">
        <v>762</v>
      </c>
      <c r="F55" s="286" t="s">
        <v>643</v>
      </c>
      <c r="H55" s="290">
        <v>-2.14</v>
      </c>
      <c r="I55" s="290">
        <v>-0.08</v>
      </c>
      <c r="K55" s="314">
        <v>43</v>
      </c>
      <c r="L55" s="286" t="s">
        <v>772</v>
      </c>
      <c r="M55" s="286">
        <v>26</v>
      </c>
      <c r="N55" s="290">
        <v>9511.4200000000019</v>
      </c>
      <c r="O55" s="290">
        <v>258</v>
      </c>
      <c r="P55" s="329"/>
      <c r="R55"/>
      <c r="S55"/>
      <c r="T55"/>
      <c r="U55"/>
      <c r="V55"/>
    </row>
    <row r="56" spans="1:22" ht="15.75">
      <c r="A56" s="286">
        <v>20</v>
      </c>
      <c r="B56" s="344">
        <v>1</v>
      </c>
      <c r="D56" s="286" t="s">
        <v>644</v>
      </c>
      <c r="E56" s="286" t="s">
        <v>651</v>
      </c>
      <c r="F56" s="286" t="s">
        <v>598</v>
      </c>
      <c r="G56" s="286">
        <v>26</v>
      </c>
      <c r="H56" s="290">
        <v>31643.42</v>
      </c>
      <c r="I56" s="290">
        <v>1669.05</v>
      </c>
      <c r="K56" s="314">
        <v>44</v>
      </c>
      <c r="L56" s="286" t="s">
        <v>773</v>
      </c>
      <c r="M56" s="286">
        <v>3</v>
      </c>
      <c r="N56" s="290">
        <v>810.03</v>
      </c>
      <c r="O56" s="290">
        <v>54.02</v>
      </c>
      <c r="P56" s="329"/>
      <c r="R56"/>
      <c r="S56"/>
      <c r="T56"/>
      <c r="U56"/>
      <c r="V56"/>
    </row>
    <row r="57" spans="1:22" ht="15.75">
      <c r="A57" s="286">
        <v>20</v>
      </c>
      <c r="B57" s="344">
        <v>1</v>
      </c>
      <c r="D57" s="286" t="s">
        <v>644</v>
      </c>
      <c r="E57" s="286" t="s">
        <v>651</v>
      </c>
      <c r="F57" s="286" t="s">
        <v>599</v>
      </c>
      <c r="H57" s="290"/>
      <c r="I57" s="290"/>
      <c r="K57" s="314">
        <v>45</v>
      </c>
      <c r="L57" s="286" t="s">
        <v>774</v>
      </c>
      <c r="M57" s="286">
        <v>7</v>
      </c>
      <c r="N57" s="290">
        <v>1826.9099999999999</v>
      </c>
      <c r="O57" s="290">
        <v>126.00999999999999</v>
      </c>
      <c r="P57" s="329"/>
      <c r="R57"/>
      <c r="S57"/>
      <c r="T57"/>
      <c r="U57"/>
      <c r="V57"/>
    </row>
    <row r="58" spans="1:22" ht="15.75">
      <c r="A58" s="286">
        <v>20</v>
      </c>
      <c r="B58" s="344">
        <v>1</v>
      </c>
      <c r="D58" s="286" t="s">
        <v>644</v>
      </c>
      <c r="E58" s="286" t="s">
        <v>651</v>
      </c>
      <c r="F58" s="286" t="s">
        <v>605</v>
      </c>
      <c r="H58" s="290">
        <v>4555.7700000000004</v>
      </c>
      <c r="I58" s="290">
        <v>240</v>
      </c>
      <c r="K58" s="314">
        <v>46</v>
      </c>
      <c r="L58" s="286" t="s">
        <v>775</v>
      </c>
      <c r="M58" s="286">
        <v>26</v>
      </c>
      <c r="N58" s="290">
        <v>667.99000000000024</v>
      </c>
      <c r="O58" s="290">
        <v>88.40000000000002</v>
      </c>
      <c r="P58" s="329"/>
      <c r="R58"/>
      <c r="S58"/>
      <c r="T58"/>
      <c r="U58"/>
      <c r="V58"/>
    </row>
    <row r="59" spans="1:22" ht="15.75">
      <c r="A59" s="286">
        <v>20</v>
      </c>
      <c r="B59" s="344">
        <v>1</v>
      </c>
      <c r="D59" s="286" t="s">
        <v>644</v>
      </c>
      <c r="E59" s="286" t="s">
        <v>651</v>
      </c>
      <c r="F59" s="286" t="s">
        <v>608</v>
      </c>
      <c r="H59" s="290">
        <v>2303.5800000000004</v>
      </c>
      <c r="I59" s="290">
        <v>121.4</v>
      </c>
      <c r="K59" s="314">
        <v>47</v>
      </c>
      <c r="L59" s="286" t="s">
        <v>776</v>
      </c>
      <c r="M59" s="286">
        <v>26</v>
      </c>
      <c r="N59" s="290">
        <v>8437.5</v>
      </c>
      <c r="O59" s="290">
        <v>260.02999999999997</v>
      </c>
      <c r="P59" s="329"/>
      <c r="R59"/>
      <c r="S59"/>
      <c r="T59"/>
      <c r="U59"/>
      <c r="V59"/>
    </row>
    <row r="60" spans="1:22" ht="15.75">
      <c r="A60" s="286">
        <v>20</v>
      </c>
      <c r="B60" s="344">
        <v>1</v>
      </c>
      <c r="D60" s="286" t="s">
        <v>644</v>
      </c>
      <c r="E60" s="286" t="s">
        <v>651</v>
      </c>
      <c r="F60" s="286" t="s">
        <v>652</v>
      </c>
      <c r="H60" s="290">
        <v>455.58</v>
      </c>
      <c r="I60" s="290">
        <v>24</v>
      </c>
      <c r="K60" s="314">
        <v>48</v>
      </c>
      <c r="L60" s="286" t="s">
        <v>777</v>
      </c>
      <c r="M60" s="286">
        <v>7</v>
      </c>
      <c r="N60" s="290">
        <v>2569.42</v>
      </c>
      <c r="O60" s="290">
        <v>150</v>
      </c>
      <c r="P60" s="329"/>
      <c r="R60"/>
      <c r="S60"/>
      <c r="T60"/>
      <c r="U60"/>
      <c r="V60"/>
    </row>
    <row r="61" spans="1:22" ht="15.75">
      <c r="A61" s="286">
        <v>20</v>
      </c>
      <c r="B61" s="344">
        <v>1</v>
      </c>
      <c r="D61" s="286" t="s">
        <v>644</v>
      </c>
      <c r="E61" s="286" t="s">
        <v>651</v>
      </c>
      <c r="F61" s="286" t="s">
        <v>610</v>
      </c>
      <c r="H61" s="290">
        <v>455.58000000000004</v>
      </c>
      <c r="I61" s="290">
        <v>24</v>
      </c>
      <c r="K61" s="314">
        <v>49</v>
      </c>
      <c r="L61" s="286" t="s">
        <v>778</v>
      </c>
      <c r="M61" s="286">
        <v>17</v>
      </c>
      <c r="N61" s="290">
        <v>8594.74</v>
      </c>
      <c r="O61" s="290">
        <v>364.59</v>
      </c>
      <c r="P61" s="329"/>
      <c r="R61"/>
      <c r="S61"/>
      <c r="T61"/>
      <c r="U61"/>
      <c r="V61"/>
    </row>
    <row r="62" spans="1:22" ht="15.75">
      <c r="A62" s="286">
        <v>20</v>
      </c>
      <c r="B62" s="344">
        <v>1</v>
      </c>
      <c r="D62" s="286" t="s">
        <v>644</v>
      </c>
      <c r="E62" s="286" t="s">
        <v>651</v>
      </c>
      <c r="F62" s="286" t="s">
        <v>642</v>
      </c>
      <c r="H62" s="290">
        <v>10.44</v>
      </c>
      <c r="I62" s="290">
        <v>0.55000000000000004</v>
      </c>
      <c r="K62" s="314">
        <v>50</v>
      </c>
      <c r="L62" s="286" t="s">
        <v>779</v>
      </c>
      <c r="M62" s="286">
        <v>26</v>
      </c>
      <c r="N62" s="290">
        <v>12712.899999999998</v>
      </c>
      <c r="O62" s="290">
        <v>520.00999999999988</v>
      </c>
      <c r="P62" s="329"/>
      <c r="R62"/>
      <c r="S62"/>
      <c r="T62"/>
      <c r="U62"/>
      <c r="V62"/>
    </row>
    <row r="63" spans="1:22" ht="15.75">
      <c r="A63" s="286">
        <v>20</v>
      </c>
      <c r="B63" s="344">
        <v>1</v>
      </c>
      <c r="D63" s="286" t="s">
        <v>644</v>
      </c>
      <c r="E63" s="286" t="s">
        <v>651</v>
      </c>
      <c r="F63" s="286" t="s">
        <v>614</v>
      </c>
      <c r="H63" s="290"/>
      <c r="I63" s="290"/>
      <c r="K63" s="314">
        <v>51</v>
      </c>
      <c r="L63" s="286" t="s">
        <v>780</v>
      </c>
      <c r="M63" s="286">
        <v>27</v>
      </c>
      <c r="N63" s="290">
        <v>52072.02</v>
      </c>
      <c r="O63" s="290">
        <v>2086.4700000000003</v>
      </c>
      <c r="P63" s="329"/>
      <c r="R63"/>
      <c r="S63"/>
      <c r="T63"/>
      <c r="U63"/>
      <c r="V63"/>
    </row>
    <row r="64" spans="1:22" ht="15.75">
      <c r="A64" s="286">
        <v>20</v>
      </c>
      <c r="B64" s="344">
        <v>1</v>
      </c>
      <c r="D64" s="286" t="s">
        <v>644</v>
      </c>
      <c r="E64" s="286" t="s">
        <v>651</v>
      </c>
      <c r="F64" s="286" t="s">
        <v>616</v>
      </c>
      <c r="H64" s="290"/>
      <c r="I64" s="290"/>
      <c r="K64" s="314">
        <v>52</v>
      </c>
      <c r="L64" s="286" t="s">
        <v>781</v>
      </c>
      <c r="M64" s="286">
        <v>26</v>
      </c>
      <c r="N64" s="290">
        <v>9417.67</v>
      </c>
      <c r="O64" s="290">
        <v>514.01</v>
      </c>
      <c r="P64" s="329"/>
      <c r="R64"/>
      <c r="S64"/>
      <c r="T64"/>
      <c r="U64"/>
      <c r="V64"/>
    </row>
    <row r="65" spans="1:22" ht="15.75">
      <c r="A65" s="286">
        <v>20</v>
      </c>
      <c r="B65" s="344">
        <v>1</v>
      </c>
      <c r="D65" s="286" t="s">
        <v>644</v>
      </c>
      <c r="E65" s="286" t="s">
        <v>651</v>
      </c>
      <c r="F65" s="286" t="s">
        <v>636</v>
      </c>
      <c r="H65" s="290">
        <v>-133.22999999999999</v>
      </c>
      <c r="I65" s="290">
        <v>0</v>
      </c>
      <c r="K65" s="314">
        <v>53</v>
      </c>
      <c r="L65" s="286" t="s">
        <v>782</v>
      </c>
      <c r="M65" s="286">
        <v>26</v>
      </c>
      <c r="N65" s="290">
        <v>8461.899999999996</v>
      </c>
      <c r="O65" s="290">
        <v>260</v>
      </c>
      <c r="P65" s="329"/>
      <c r="R65"/>
      <c r="S65"/>
      <c r="T65"/>
      <c r="U65"/>
      <c r="V65"/>
    </row>
    <row r="66" spans="1:22" ht="15.75">
      <c r="A66" s="286">
        <v>20</v>
      </c>
      <c r="B66" s="344">
        <v>1</v>
      </c>
      <c r="D66" s="286" t="s">
        <v>644</v>
      </c>
      <c r="E66" s="286" t="s">
        <v>651</v>
      </c>
      <c r="F66" s="286" t="s">
        <v>643</v>
      </c>
      <c r="H66" s="290">
        <v>-10.06</v>
      </c>
      <c r="I66" s="290">
        <v>0.53</v>
      </c>
      <c r="K66" s="314">
        <v>54</v>
      </c>
      <c r="L66" s="286" t="s">
        <v>783</v>
      </c>
      <c r="M66" s="286">
        <v>18</v>
      </c>
      <c r="N66" s="290">
        <v>8306.0399999999991</v>
      </c>
      <c r="O66" s="290">
        <v>437.73</v>
      </c>
      <c r="P66" s="329"/>
      <c r="R66"/>
      <c r="S66"/>
      <c r="T66"/>
      <c r="U66"/>
      <c r="V66"/>
    </row>
    <row r="67" spans="1:22" ht="15.75">
      <c r="A67" s="286">
        <v>21</v>
      </c>
      <c r="B67" s="344">
        <v>1</v>
      </c>
      <c r="D67" s="286" t="s">
        <v>597</v>
      </c>
      <c r="E67" s="286" t="s">
        <v>653</v>
      </c>
      <c r="F67" s="286" t="s">
        <v>598</v>
      </c>
      <c r="G67" s="286">
        <v>26</v>
      </c>
      <c r="H67" s="290">
        <v>58222.760000000009</v>
      </c>
      <c r="I67" s="290">
        <v>1809</v>
      </c>
      <c r="K67" s="314">
        <v>55</v>
      </c>
      <c r="L67" s="286" t="s">
        <v>784</v>
      </c>
      <c r="M67" s="286">
        <v>27</v>
      </c>
      <c r="N67" s="290">
        <v>33433.699999999997</v>
      </c>
      <c r="O67" s="290">
        <v>2064</v>
      </c>
      <c r="P67" s="329"/>
      <c r="R67"/>
      <c r="S67"/>
      <c r="T67"/>
      <c r="U67"/>
      <c r="V67"/>
    </row>
    <row r="68" spans="1:22" ht="15.75">
      <c r="A68" s="286">
        <v>21</v>
      </c>
      <c r="B68" s="344">
        <v>1</v>
      </c>
      <c r="D68" s="286" t="s">
        <v>597</v>
      </c>
      <c r="E68" s="286" t="s">
        <v>653</v>
      </c>
      <c r="F68" s="286" t="s">
        <v>599</v>
      </c>
      <c r="H68" s="290"/>
      <c r="I68" s="290"/>
      <c r="K68" s="314">
        <v>56</v>
      </c>
      <c r="L68" s="286" t="s">
        <v>785</v>
      </c>
      <c r="M68" s="286">
        <v>26</v>
      </c>
      <c r="N68" s="290">
        <v>12260.16</v>
      </c>
      <c r="O68" s="290">
        <v>520</v>
      </c>
      <c r="P68" s="329"/>
      <c r="R68"/>
      <c r="S68"/>
      <c r="T68"/>
      <c r="U68"/>
      <c r="V68"/>
    </row>
    <row r="69" spans="1:22" ht="15.75">
      <c r="A69" s="286">
        <v>21</v>
      </c>
      <c r="B69" s="344">
        <v>1</v>
      </c>
      <c r="D69" s="286" t="s">
        <v>597</v>
      </c>
      <c r="E69" s="286" t="s">
        <v>653</v>
      </c>
      <c r="F69" s="286" t="s">
        <v>601</v>
      </c>
      <c r="H69" s="290"/>
      <c r="I69" s="290"/>
      <c r="K69" s="314">
        <v>57</v>
      </c>
      <c r="L69" s="286" t="s">
        <v>786</v>
      </c>
      <c r="M69" s="286">
        <v>26</v>
      </c>
      <c r="N69" s="290">
        <v>13524.729999999998</v>
      </c>
      <c r="O69" s="290">
        <v>514.26999999999987</v>
      </c>
      <c r="P69" s="329"/>
      <c r="R69"/>
      <c r="S69"/>
      <c r="T69"/>
      <c r="U69"/>
      <c r="V69"/>
    </row>
    <row r="70" spans="1:22" ht="15.75">
      <c r="A70" s="286">
        <v>21</v>
      </c>
      <c r="B70" s="344">
        <v>1</v>
      </c>
      <c r="D70" s="286" t="s">
        <v>597</v>
      </c>
      <c r="E70" s="286" t="s">
        <v>653</v>
      </c>
      <c r="F70" s="286" t="s">
        <v>605</v>
      </c>
      <c r="H70" s="290">
        <v>5253.5000000000009</v>
      </c>
      <c r="I70" s="290">
        <v>162.94999999999999</v>
      </c>
      <c r="K70" s="314">
        <v>58</v>
      </c>
      <c r="L70" s="286" t="s">
        <v>787</v>
      </c>
      <c r="M70" s="286">
        <v>26</v>
      </c>
      <c r="N70" s="290">
        <v>4843.6499999999996</v>
      </c>
      <c r="O70" s="290">
        <v>338</v>
      </c>
      <c r="P70" s="329"/>
      <c r="R70"/>
      <c r="S70"/>
      <c r="T70"/>
      <c r="U70"/>
      <c r="V70"/>
    </row>
    <row r="71" spans="1:22" ht="15.75">
      <c r="A71" s="286">
        <v>21</v>
      </c>
      <c r="B71" s="344">
        <v>1</v>
      </c>
      <c r="D71" s="286" t="s">
        <v>597</v>
      </c>
      <c r="E71" s="286" t="s">
        <v>653</v>
      </c>
      <c r="F71" s="286" t="s">
        <v>608</v>
      </c>
      <c r="H71" s="290">
        <v>1287.99</v>
      </c>
      <c r="I71" s="290">
        <v>39.950000000000003</v>
      </c>
      <c r="K71" s="314">
        <v>59</v>
      </c>
      <c r="L71" s="286" t="s">
        <v>788</v>
      </c>
      <c r="M71" s="286">
        <v>18</v>
      </c>
      <c r="N71" s="290">
        <v>5316.2499999999982</v>
      </c>
      <c r="O71" s="290">
        <v>353.9</v>
      </c>
      <c r="P71" s="329"/>
      <c r="R71"/>
      <c r="S71"/>
      <c r="T71"/>
      <c r="U71"/>
      <c r="V71"/>
    </row>
    <row r="72" spans="1:22" ht="15.75">
      <c r="A72" s="286">
        <v>21</v>
      </c>
      <c r="B72" s="344">
        <v>1</v>
      </c>
      <c r="D72" s="286" t="s">
        <v>597</v>
      </c>
      <c r="E72" s="286" t="s">
        <v>653</v>
      </c>
      <c r="F72" s="286" t="s">
        <v>602</v>
      </c>
      <c r="H72" s="290"/>
      <c r="I72" s="290"/>
      <c r="K72" s="314">
        <v>60</v>
      </c>
      <c r="L72" s="286" t="s">
        <v>789</v>
      </c>
      <c r="M72" s="286">
        <v>27</v>
      </c>
      <c r="N72" s="290">
        <v>49877.659999999989</v>
      </c>
      <c r="O72" s="290">
        <v>2076</v>
      </c>
      <c r="P72" s="329"/>
      <c r="R72"/>
      <c r="S72"/>
      <c r="T72"/>
      <c r="U72"/>
      <c r="V72"/>
    </row>
    <row r="73" spans="1:22" ht="15.75">
      <c r="A73" s="286">
        <v>21</v>
      </c>
      <c r="B73" s="344">
        <v>1</v>
      </c>
      <c r="D73" s="286" t="s">
        <v>597</v>
      </c>
      <c r="E73" s="286" t="s">
        <v>653</v>
      </c>
      <c r="F73" s="286" t="s">
        <v>610</v>
      </c>
      <c r="H73" s="290">
        <v>773.76</v>
      </c>
      <c r="I73" s="290">
        <v>24</v>
      </c>
      <c r="K73" s="314">
        <v>61</v>
      </c>
      <c r="L73" s="286" t="s">
        <v>790</v>
      </c>
      <c r="M73" s="286">
        <v>26</v>
      </c>
      <c r="N73" s="290">
        <v>25650.039999999997</v>
      </c>
      <c r="O73" s="290">
        <v>520.04</v>
      </c>
      <c r="P73" s="329"/>
      <c r="R73"/>
      <c r="S73"/>
      <c r="T73"/>
      <c r="U73"/>
      <c r="V73"/>
    </row>
    <row r="74" spans="1:22" ht="15.75">
      <c r="A74" s="286">
        <v>21</v>
      </c>
      <c r="B74" s="344">
        <v>1</v>
      </c>
      <c r="D74" s="286" t="s">
        <v>597</v>
      </c>
      <c r="E74" s="286" t="s">
        <v>653</v>
      </c>
      <c r="F74" s="286" t="s">
        <v>638</v>
      </c>
      <c r="H74" s="290">
        <v>773.76</v>
      </c>
      <c r="I74" s="290">
        <v>24</v>
      </c>
      <c r="K74" s="314">
        <v>62</v>
      </c>
      <c r="L74" s="286" t="s">
        <v>791</v>
      </c>
      <c r="M74" s="286">
        <v>27</v>
      </c>
      <c r="N74" s="290">
        <v>48039.12000000001</v>
      </c>
      <c r="O74" s="290">
        <v>2024</v>
      </c>
      <c r="P74" s="329"/>
      <c r="R74"/>
      <c r="S74"/>
      <c r="T74"/>
      <c r="U74"/>
      <c r="V74"/>
    </row>
    <row r="75" spans="1:22" ht="15.75">
      <c r="A75" s="286">
        <v>21</v>
      </c>
      <c r="B75" s="344">
        <v>1</v>
      </c>
      <c r="D75" s="286" t="s">
        <v>597</v>
      </c>
      <c r="E75" s="286" t="s">
        <v>653</v>
      </c>
      <c r="F75" s="286" t="s">
        <v>642</v>
      </c>
      <c r="H75" s="290">
        <v>132.18</v>
      </c>
      <c r="I75" s="290">
        <v>4.0999999999999996</v>
      </c>
      <c r="K75" s="314">
        <v>63</v>
      </c>
      <c r="L75" s="286" t="s">
        <v>792</v>
      </c>
      <c r="M75" s="286">
        <v>27</v>
      </c>
      <c r="N75" s="290">
        <v>49209.679999999993</v>
      </c>
      <c r="O75" s="290">
        <v>2048</v>
      </c>
      <c r="P75" s="329"/>
      <c r="R75"/>
      <c r="S75"/>
      <c r="T75"/>
      <c r="U75"/>
      <c r="V75"/>
    </row>
    <row r="76" spans="1:22" ht="15.75">
      <c r="A76" s="286">
        <v>21</v>
      </c>
      <c r="B76" s="344">
        <v>1</v>
      </c>
      <c r="D76" s="286" t="s">
        <v>597</v>
      </c>
      <c r="E76" s="286" t="s">
        <v>653</v>
      </c>
      <c r="F76" s="286" t="s">
        <v>607</v>
      </c>
      <c r="H76" s="290"/>
      <c r="I76" s="290"/>
      <c r="K76" s="314">
        <v>64</v>
      </c>
      <c r="L76" s="286" t="s">
        <v>793</v>
      </c>
      <c r="M76" s="286">
        <v>26</v>
      </c>
      <c r="N76" s="290">
        <v>7876.48</v>
      </c>
      <c r="O76" s="290">
        <v>520.01</v>
      </c>
      <c r="P76" s="329"/>
      <c r="R76"/>
      <c r="S76"/>
      <c r="T76"/>
      <c r="U76"/>
      <c r="V76"/>
    </row>
    <row r="77" spans="1:22" ht="15.75">
      <c r="A77" s="286">
        <v>21</v>
      </c>
      <c r="B77" s="344">
        <v>1</v>
      </c>
      <c r="D77" s="286" t="s">
        <v>597</v>
      </c>
      <c r="E77" s="286" t="s">
        <v>653</v>
      </c>
      <c r="F77" s="286" t="s">
        <v>609</v>
      </c>
      <c r="H77" s="290"/>
      <c r="I77" s="290"/>
      <c r="K77" s="314">
        <v>65</v>
      </c>
      <c r="L77" s="286" t="s">
        <v>794</v>
      </c>
      <c r="M77" s="286">
        <v>26</v>
      </c>
      <c r="N77" s="290">
        <v>9022.7000000000025</v>
      </c>
      <c r="O77" s="290">
        <v>258.5</v>
      </c>
      <c r="P77" s="329"/>
      <c r="R77"/>
      <c r="S77"/>
      <c r="T77"/>
      <c r="U77"/>
      <c r="V77"/>
    </row>
    <row r="78" spans="1:22" ht="15.75">
      <c r="A78" s="286">
        <v>21</v>
      </c>
      <c r="B78" s="344">
        <v>1</v>
      </c>
      <c r="D78" s="286" t="s">
        <v>597</v>
      </c>
      <c r="E78" s="286" t="s">
        <v>653</v>
      </c>
      <c r="F78" s="286" t="s">
        <v>611</v>
      </c>
      <c r="H78" s="290"/>
      <c r="I78" s="290"/>
      <c r="K78" s="314">
        <v>66</v>
      </c>
      <c r="L78" s="286" t="s">
        <v>795</v>
      </c>
      <c r="M78" s="286">
        <v>26</v>
      </c>
      <c r="N78" s="290">
        <v>2627.5400000000004</v>
      </c>
      <c r="O78" s="290">
        <v>130</v>
      </c>
      <c r="P78" s="329"/>
      <c r="R78"/>
      <c r="S78"/>
      <c r="T78"/>
      <c r="U78"/>
      <c r="V78"/>
    </row>
    <row r="79" spans="1:22" ht="15.75">
      <c r="A79" s="286">
        <v>21</v>
      </c>
      <c r="B79" s="344">
        <v>1</v>
      </c>
      <c r="D79" s="286" t="s">
        <v>597</v>
      </c>
      <c r="E79" s="286" t="s">
        <v>653</v>
      </c>
      <c r="F79" s="286" t="s">
        <v>624</v>
      </c>
      <c r="H79" s="290"/>
      <c r="I79" s="290"/>
      <c r="K79" s="314">
        <v>67</v>
      </c>
      <c r="L79" s="286" t="s">
        <v>796</v>
      </c>
      <c r="M79" s="286">
        <v>26</v>
      </c>
      <c r="N79" s="290">
        <v>4731.88</v>
      </c>
      <c r="O79" s="290">
        <v>206.40000000000003</v>
      </c>
      <c r="P79" s="329"/>
      <c r="R79"/>
      <c r="S79"/>
      <c r="T79"/>
      <c r="U79"/>
      <c r="V79"/>
    </row>
    <row r="80" spans="1:22" ht="15.75">
      <c r="A80" s="286">
        <v>21</v>
      </c>
      <c r="B80" s="344">
        <v>1</v>
      </c>
      <c r="D80" s="286" t="s">
        <v>597</v>
      </c>
      <c r="E80" s="286" t="s">
        <v>653</v>
      </c>
      <c r="F80" s="286" t="s">
        <v>629</v>
      </c>
      <c r="H80" s="290"/>
      <c r="I80" s="290"/>
      <c r="K80" s="314">
        <v>68</v>
      </c>
      <c r="L80" s="286" t="s">
        <v>797</v>
      </c>
      <c r="M80" s="286">
        <v>27</v>
      </c>
      <c r="N80" s="290">
        <v>50731.199999999997</v>
      </c>
      <c r="O80" s="290">
        <v>2080</v>
      </c>
      <c r="P80" s="329"/>
      <c r="R80"/>
      <c r="S80"/>
      <c r="T80"/>
      <c r="U80"/>
      <c r="V80"/>
    </row>
    <row r="81" spans="1:22" ht="15.75">
      <c r="A81" s="286">
        <v>21</v>
      </c>
      <c r="B81" s="344">
        <v>1</v>
      </c>
      <c r="D81" s="286" t="s">
        <v>597</v>
      </c>
      <c r="E81" s="286" t="s">
        <v>653</v>
      </c>
      <c r="F81" s="286" t="s">
        <v>636</v>
      </c>
      <c r="H81" s="290">
        <v>2348.0300000000002</v>
      </c>
      <c r="I81" s="290">
        <v>0</v>
      </c>
      <c r="K81" s="314">
        <v>69</v>
      </c>
      <c r="L81" s="286" t="s">
        <v>798</v>
      </c>
      <c r="M81" s="286">
        <v>26</v>
      </c>
      <c r="N81" s="290">
        <v>4052.55</v>
      </c>
      <c r="O81" s="290">
        <v>208.00000000000006</v>
      </c>
      <c r="P81" s="329"/>
      <c r="R81"/>
      <c r="S81"/>
      <c r="T81"/>
      <c r="U81"/>
      <c r="V81"/>
    </row>
    <row r="82" spans="1:22" ht="15.75">
      <c r="A82" s="286">
        <v>23</v>
      </c>
      <c r="B82" s="344">
        <v>1</v>
      </c>
      <c r="D82" s="286" t="s">
        <v>619</v>
      </c>
      <c r="E82" s="286" t="s">
        <v>654</v>
      </c>
      <c r="F82" s="286" t="s">
        <v>621</v>
      </c>
      <c r="G82" s="286">
        <v>27</v>
      </c>
      <c r="H82" s="290">
        <v>37623.660000000011</v>
      </c>
      <c r="I82" s="290">
        <v>1568.8</v>
      </c>
      <c r="K82" s="314">
        <v>70</v>
      </c>
      <c r="L82" s="286" t="s">
        <v>799</v>
      </c>
      <c r="M82" s="286">
        <v>26</v>
      </c>
      <c r="N82" s="290">
        <v>2616.9200000000005</v>
      </c>
      <c r="O82" s="290">
        <v>3.3799999999999981</v>
      </c>
      <c r="P82" s="329"/>
      <c r="R82"/>
      <c r="S82"/>
      <c r="T82"/>
      <c r="U82"/>
      <c r="V82"/>
    </row>
    <row r="83" spans="1:22" ht="15.75">
      <c r="A83" s="286">
        <v>23</v>
      </c>
      <c r="B83" s="344">
        <v>1</v>
      </c>
      <c r="D83" s="286" t="s">
        <v>619</v>
      </c>
      <c r="E83" s="286" t="s">
        <v>654</v>
      </c>
      <c r="F83" s="286" t="s">
        <v>599</v>
      </c>
      <c r="H83" s="290"/>
      <c r="I83" s="290"/>
      <c r="K83" s="314">
        <v>71</v>
      </c>
      <c r="L83" s="286" t="s">
        <v>800</v>
      </c>
      <c r="M83" s="286">
        <v>17</v>
      </c>
      <c r="N83" s="290">
        <v>4828.83</v>
      </c>
      <c r="O83" s="290">
        <v>333.65</v>
      </c>
      <c r="P83" s="329"/>
      <c r="R83"/>
      <c r="S83"/>
      <c r="T83"/>
      <c r="U83"/>
      <c r="V83"/>
    </row>
    <row r="84" spans="1:22" ht="15.75">
      <c r="A84" s="286">
        <v>23</v>
      </c>
      <c r="B84" s="344">
        <v>1</v>
      </c>
      <c r="D84" s="286" t="s">
        <v>619</v>
      </c>
      <c r="E84" s="286" t="s">
        <v>654</v>
      </c>
      <c r="F84" s="286" t="s">
        <v>601</v>
      </c>
      <c r="H84" s="290"/>
      <c r="I84" s="290"/>
      <c r="K84" s="314">
        <v>72</v>
      </c>
      <c r="L84" s="286" t="s">
        <v>801</v>
      </c>
      <c r="M84" s="286">
        <v>26</v>
      </c>
      <c r="N84" s="290">
        <v>7928.1900000000005</v>
      </c>
      <c r="O84" s="290">
        <v>252.85000000000008</v>
      </c>
      <c r="P84" s="329"/>
      <c r="R84"/>
      <c r="S84"/>
      <c r="T84"/>
      <c r="U84"/>
      <c r="V84"/>
    </row>
    <row r="85" spans="1:22" ht="15.75">
      <c r="A85" s="286">
        <v>23</v>
      </c>
      <c r="B85" s="344">
        <v>1</v>
      </c>
      <c r="D85" s="286" t="s">
        <v>619</v>
      </c>
      <c r="E85" s="286" t="s">
        <v>654</v>
      </c>
      <c r="F85" s="286" t="s">
        <v>627</v>
      </c>
      <c r="H85" s="290">
        <v>4618.84</v>
      </c>
      <c r="I85" s="290">
        <v>193.3</v>
      </c>
      <c r="K85" s="314">
        <v>73</v>
      </c>
      <c r="L85" s="286" t="s">
        <v>802</v>
      </c>
      <c r="M85" s="286">
        <v>26</v>
      </c>
      <c r="N85" s="290">
        <v>4593.63</v>
      </c>
      <c r="O85" s="290">
        <v>208</v>
      </c>
      <c r="P85" s="329"/>
      <c r="R85"/>
      <c r="S85"/>
      <c r="T85"/>
      <c r="U85"/>
      <c r="V85"/>
    </row>
    <row r="86" spans="1:22" ht="15.75">
      <c r="A86" s="286">
        <v>23</v>
      </c>
      <c r="B86" s="344">
        <v>1</v>
      </c>
      <c r="D86" s="286" t="s">
        <v>619</v>
      </c>
      <c r="E86" s="286" t="s">
        <v>654</v>
      </c>
      <c r="F86" s="286" t="s">
        <v>630</v>
      </c>
      <c r="H86" s="290">
        <v>3780.7699999999995</v>
      </c>
      <c r="I86" s="290">
        <v>155.9</v>
      </c>
      <c r="K86" s="314">
        <v>74</v>
      </c>
      <c r="L86" s="286" t="s">
        <v>803</v>
      </c>
      <c r="M86" s="286">
        <v>26</v>
      </c>
      <c r="N86" s="290">
        <v>9915.2000000000025</v>
      </c>
      <c r="O86" s="290">
        <v>518.51</v>
      </c>
      <c r="P86" s="329"/>
      <c r="R86"/>
      <c r="S86"/>
      <c r="T86"/>
      <c r="U86"/>
      <c r="V86"/>
    </row>
    <row r="87" spans="1:22" ht="15.75">
      <c r="A87" s="286">
        <v>23</v>
      </c>
      <c r="B87" s="344">
        <v>1</v>
      </c>
      <c r="D87" s="286" t="s">
        <v>619</v>
      </c>
      <c r="E87" s="286" t="s">
        <v>654</v>
      </c>
      <c r="F87" s="286" t="s">
        <v>633</v>
      </c>
      <c r="H87" s="290">
        <v>2696.56</v>
      </c>
      <c r="I87" s="290">
        <v>112</v>
      </c>
      <c r="K87" s="314">
        <v>75</v>
      </c>
      <c r="L87" s="286" t="s">
        <v>804</v>
      </c>
      <c r="M87" s="286">
        <v>27</v>
      </c>
      <c r="N87" s="290">
        <v>12949.619999999999</v>
      </c>
      <c r="O87" s="290">
        <v>510</v>
      </c>
      <c r="P87" s="329"/>
      <c r="R87"/>
      <c r="S87"/>
      <c r="T87"/>
      <c r="U87"/>
      <c r="V87"/>
    </row>
    <row r="88" spans="1:22" ht="15.75">
      <c r="A88" s="286">
        <v>23</v>
      </c>
      <c r="B88" s="344">
        <v>1</v>
      </c>
      <c r="D88" s="286" t="s">
        <v>619</v>
      </c>
      <c r="E88" s="286" t="s">
        <v>654</v>
      </c>
      <c r="F88" s="286" t="s">
        <v>634</v>
      </c>
      <c r="H88" s="290">
        <v>952.56</v>
      </c>
      <c r="I88" s="290">
        <v>40</v>
      </c>
      <c r="K88" s="314">
        <v>76</v>
      </c>
      <c r="L88" s="286" t="s">
        <v>805</v>
      </c>
      <c r="M88" s="286">
        <v>4</v>
      </c>
      <c r="N88" s="290">
        <v>1014.94</v>
      </c>
      <c r="O88" s="290">
        <v>70</v>
      </c>
      <c r="P88" s="329"/>
      <c r="R88"/>
      <c r="S88"/>
      <c r="T88"/>
      <c r="U88"/>
      <c r="V88"/>
    </row>
    <row r="89" spans="1:22" ht="15.75">
      <c r="A89" s="286">
        <v>23</v>
      </c>
      <c r="B89" s="344">
        <v>1</v>
      </c>
      <c r="D89" s="286" t="s">
        <v>619</v>
      </c>
      <c r="E89" s="286" t="s">
        <v>654</v>
      </c>
      <c r="F89" s="286" t="s">
        <v>635</v>
      </c>
      <c r="H89" s="290">
        <v>187.84</v>
      </c>
      <c r="I89" s="290">
        <v>8</v>
      </c>
      <c r="K89" s="314">
        <v>77</v>
      </c>
      <c r="L89" s="286" t="s">
        <v>806</v>
      </c>
      <c r="M89" s="286">
        <v>27</v>
      </c>
      <c r="N89" s="290">
        <v>47860.130000000005</v>
      </c>
      <c r="O89" s="290">
        <v>2079.1</v>
      </c>
      <c r="P89" s="329"/>
      <c r="R89"/>
      <c r="S89"/>
      <c r="T89"/>
      <c r="U89"/>
      <c r="V89"/>
    </row>
    <row r="90" spans="1:22" ht="15.75">
      <c r="A90" s="286">
        <v>23</v>
      </c>
      <c r="B90" s="344">
        <v>1</v>
      </c>
      <c r="D90" s="286" t="s">
        <v>619</v>
      </c>
      <c r="E90" s="286" t="s">
        <v>654</v>
      </c>
      <c r="F90" s="286" t="s">
        <v>655</v>
      </c>
      <c r="H90" s="290">
        <v>93.92</v>
      </c>
      <c r="I90" s="290">
        <v>2</v>
      </c>
      <c r="K90" s="314">
        <v>78</v>
      </c>
      <c r="L90" s="286" t="s">
        <v>807</v>
      </c>
      <c r="M90" s="286">
        <v>27</v>
      </c>
      <c r="N90" s="290">
        <v>49361.039999999994</v>
      </c>
      <c r="O90" s="290">
        <v>2053.1999999999998</v>
      </c>
      <c r="P90" s="329"/>
      <c r="R90"/>
      <c r="S90"/>
      <c r="T90"/>
      <c r="U90"/>
      <c r="V90"/>
    </row>
    <row r="91" spans="1:22" ht="15.75">
      <c r="A91" s="286">
        <v>23</v>
      </c>
      <c r="B91" s="344">
        <v>1</v>
      </c>
      <c r="D91" s="286" t="s">
        <v>619</v>
      </c>
      <c r="E91" s="286" t="s">
        <v>654</v>
      </c>
      <c r="F91" s="286" t="s">
        <v>623</v>
      </c>
      <c r="H91" s="290"/>
      <c r="I91" s="290"/>
      <c r="K91" s="314">
        <v>79</v>
      </c>
      <c r="L91" s="286" t="s">
        <v>808</v>
      </c>
      <c r="M91" s="286">
        <v>26</v>
      </c>
      <c r="N91" s="290">
        <v>8203.9300000000021</v>
      </c>
      <c r="O91" s="290">
        <v>520.01</v>
      </c>
      <c r="P91" s="329"/>
      <c r="R91"/>
      <c r="S91"/>
      <c r="T91"/>
      <c r="U91"/>
      <c r="V91"/>
    </row>
    <row r="92" spans="1:22" ht="15.75">
      <c r="A92" s="286">
        <v>23</v>
      </c>
      <c r="B92" s="344">
        <v>1</v>
      </c>
      <c r="D92" s="286" t="s">
        <v>619</v>
      </c>
      <c r="E92" s="286" t="s">
        <v>654</v>
      </c>
      <c r="F92" s="286" t="s">
        <v>625</v>
      </c>
      <c r="H92" s="290"/>
      <c r="I92" s="290"/>
      <c r="K92" s="314">
        <v>80</v>
      </c>
      <c r="L92" s="286" t="s">
        <v>809</v>
      </c>
      <c r="M92" s="286">
        <v>27</v>
      </c>
      <c r="N92" s="290">
        <v>49304.249999999993</v>
      </c>
      <c r="O92" s="290">
        <v>2080</v>
      </c>
      <c r="P92" s="329"/>
      <c r="R92"/>
      <c r="S92"/>
      <c r="T92"/>
      <c r="U92"/>
      <c r="V92"/>
    </row>
    <row r="93" spans="1:22" ht="15.75">
      <c r="A93" s="286">
        <v>23</v>
      </c>
      <c r="B93" s="344">
        <v>1</v>
      </c>
      <c r="D93" s="286" t="s">
        <v>619</v>
      </c>
      <c r="E93" s="286" t="s">
        <v>654</v>
      </c>
      <c r="F93" s="286" t="s">
        <v>629</v>
      </c>
      <c r="H93" s="290"/>
      <c r="I93" s="290"/>
      <c r="K93" s="314">
        <v>81</v>
      </c>
      <c r="L93" s="286" t="s">
        <v>810</v>
      </c>
      <c r="M93" s="286">
        <v>26</v>
      </c>
      <c r="N93" s="290">
        <v>10876.139999999998</v>
      </c>
      <c r="O93" s="290">
        <v>520.03</v>
      </c>
      <c r="P93" s="329"/>
      <c r="R93"/>
      <c r="S93"/>
      <c r="T93"/>
      <c r="U93"/>
      <c r="V93"/>
    </row>
    <row r="94" spans="1:22" ht="15.75">
      <c r="A94" s="286">
        <v>23</v>
      </c>
      <c r="B94" s="344">
        <v>1</v>
      </c>
      <c r="D94" s="286" t="s">
        <v>619</v>
      </c>
      <c r="E94" s="286" t="s">
        <v>654</v>
      </c>
      <c r="F94" s="286" t="s">
        <v>632</v>
      </c>
      <c r="H94" s="290"/>
      <c r="I94" s="290"/>
      <c r="K94" s="314">
        <v>82</v>
      </c>
      <c r="L94" s="286" t="s">
        <v>811</v>
      </c>
      <c r="M94" s="286">
        <v>27</v>
      </c>
      <c r="N94" s="290">
        <v>47836.569999999992</v>
      </c>
      <c r="O94" s="290">
        <v>2079.9</v>
      </c>
      <c r="P94" s="329"/>
      <c r="R94"/>
      <c r="S94"/>
      <c r="T94"/>
      <c r="U94"/>
      <c r="V94"/>
    </row>
    <row r="95" spans="1:22" ht="15.75">
      <c r="A95" s="286">
        <v>27</v>
      </c>
      <c r="B95" s="344">
        <v>1</v>
      </c>
      <c r="D95" s="286" t="s">
        <v>597</v>
      </c>
      <c r="E95" s="286" t="s">
        <v>657</v>
      </c>
      <c r="F95" s="286" t="s">
        <v>598</v>
      </c>
      <c r="G95" s="286">
        <v>26</v>
      </c>
      <c r="H95" s="290">
        <v>38089.07</v>
      </c>
      <c r="I95" s="290">
        <v>1800.5999999999997</v>
      </c>
      <c r="K95" s="314">
        <v>83</v>
      </c>
      <c r="L95" s="286" t="s">
        <v>812</v>
      </c>
      <c r="M95" s="286">
        <v>26</v>
      </c>
      <c r="N95" s="290">
        <v>131999.92000000001</v>
      </c>
      <c r="O95" s="290">
        <v>2080</v>
      </c>
      <c r="P95" s="329"/>
      <c r="R95"/>
      <c r="S95"/>
      <c r="T95"/>
      <c r="U95"/>
      <c r="V95"/>
    </row>
    <row r="96" spans="1:22" ht="15.75">
      <c r="A96" s="286">
        <v>27</v>
      </c>
      <c r="B96" s="344">
        <v>1</v>
      </c>
      <c r="D96" s="286" t="s">
        <v>597</v>
      </c>
      <c r="E96" s="286" t="s">
        <v>657</v>
      </c>
      <c r="F96" s="286" t="s">
        <v>599</v>
      </c>
      <c r="H96" s="290"/>
      <c r="I96" s="290"/>
      <c r="K96" s="314">
        <v>84</v>
      </c>
      <c r="L96" s="286" t="s">
        <v>813</v>
      </c>
      <c r="M96" s="286">
        <v>26</v>
      </c>
      <c r="N96" s="290">
        <v>7230.3</v>
      </c>
      <c r="O96" s="290">
        <v>260</v>
      </c>
      <c r="P96" s="329"/>
      <c r="R96"/>
      <c r="S96"/>
      <c r="T96"/>
      <c r="U96"/>
      <c r="V96"/>
    </row>
    <row r="97" spans="1:22" ht="15.75">
      <c r="A97" s="286">
        <v>27</v>
      </c>
      <c r="B97" s="344">
        <v>1</v>
      </c>
      <c r="D97" s="286" t="s">
        <v>597</v>
      </c>
      <c r="E97" s="286" t="s">
        <v>657</v>
      </c>
      <c r="F97" s="286" t="s">
        <v>605</v>
      </c>
      <c r="H97" s="290">
        <v>2446.81</v>
      </c>
      <c r="I97" s="290">
        <v>116.75</v>
      </c>
      <c r="K97" s="314">
        <v>85</v>
      </c>
      <c r="L97" s="286" t="s">
        <v>814</v>
      </c>
      <c r="M97" s="286">
        <v>7</v>
      </c>
      <c r="N97" s="290">
        <v>60.550000000000004</v>
      </c>
      <c r="O97" s="290">
        <v>6.0500000000000007</v>
      </c>
      <c r="P97" s="329"/>
      <c r="R97"/>
      <c r="S97"/>
      <c r="T97"/>
      <c r="U97"/>
      <c r="V97"/>
    </row>
    <row r="98" spans="1:22" ht="15.75">
      <c r="A98" s="286">
        <v>27</v>
      </c>
      <c r="B98" s="344">
        <v>1</v>
      </c>
      <c r="D98" s="286" t="s">
        <v>597</v>
      </c>
      <c r="E98" s="286" t="s">
        <v>657</v>
      </c>
      <c r="F98" s="286" t="s">
        <v>608</v>
      </c>
      <c r="H98" s="290">
        <v>2311.4699999999993</v>
      </c>
      <c r="I98" s="290">
        <v>108.95</v>
      </c>
      <c r="K98" s="314">
        <v>86</v>
      </c>
      <c r="L98" s="286" t="s">
        <v>815</v>
      </c>
      <c r="M98" s="286">
        <v>15</v>
      </c>
      <c r="N98" s="290">
        <v>11502.400000000001</v>
      </c>
      <c r="O98" s="290">
        <v>884.80000000000007</v>
      </c>
      <c r="P98" s="329"/>
      <c r="R98"/>
      <c r="S98"/>
      <c r="T98"/>
      <c r="U98"/>
      <c r="V98"/>
    </row>
    <row r="99" spans="1:22" ht="15.75">
      <c r="A99" s="286">
        <v>27</v>
      </c>
      <c r="B99" s="344">
        <v>1</v>
      </c>
      <c r="D99" s="286" t="s">
        <v>597</v>
      </c>
      <c r="E99" s="286" t="s">
        <v>657</v>
      </c>
      <c r="F99" s="286" t="s">
        <v>610</v>
      </c>
      <c r="H99" s="290">
        <v>498.11</v>
      </c>
      <c r="I99" s="290">
        <v>23.869999999999997</v>
      </c>
      <c r="K99" s="314">
        <v>87</v>
      </c>
      <c r="L99" s="286" t="s">
        <v>816</v>
      </c>
      <c r="M99" s="286">
        <v>26</v>
      </c>
      <c r="N99" s="290">
        <v>8132.8600000000015</v>
      </c>
      <c r="O99" s="290">
        <v>520.04</v>
      </c>
      <c r="P99" s="329"/>
      <c r="R99"/>
      <c r="S99"/>
      <c r="T99"/>
      <c r="U99"/>
      <c r="V99"/>
    </row>
    <row r="100" spans="1:22" ht="15.75">
      <c r="A100" s="286">
        <v>27</v>
      </c>
      <c r="B100" s="344">
        <v>1</v>
      </c>
      <c r="D100" s="286" t="s">
        <v>597</v>
      </c>
      <c r="E100" s="286" t="s">
        <v>657</v>
      </c>
      <c r="F100" s="286" t="s">
        <v>638</v>
      </c>
      <c r="H100" s="290">
        <v>333.87</v>
      </c>
      <c r="I100" s="290">
        <v>16</v>
      </c>
      <c r="K100" s="314">
        <v>88</v>
      </c>
      <c r="L100" s="286" t="s">
        <v>817</v>
      </c>
      <c r="M100" s="286">
        <v>27</v>
      </c>
      <c r="N100" s="290">
        <v>50691.01</v>
      </c>
      <c r="O100" s="290">
        <v>2081.1999999999998</v>
      </c>
      <c r="P100" s="329"/>
      <c r="R100"/>
      <c r="S100"/>
      <c r="T100"/>
      <c r="U100"/>
      <c r="V100"/>
    </row>
    <row r="101" spans="1:22" ht="15.75">
      <c r="A101" s="286">
        <v>27</v>
      </c>
      <c r="B101" s="344">
        <v>1</v>
      </c>
      <c r="D101" s="286" t="s">
        <v>597</v>
      </c>
      <c r="E101" s="286" t="s">
        <v>657</v>
      </c>
      <c r="F101" s="286" t="s">
        <v>641</v>
      </c>
      <c r="H101" s="290">
        <v>0</v>
      </c>
      <c r="I101" s="290">
        <v>11.2</v>
      </c>
      <c r="K101" s="314">
        <v>89</v>
      </c>
      <c r="L101" s="286" t="s">
        <v>818</v>
      </c>
      <c r="M101" s="286">
        <v>26</v>
      </c>
      <c r="N101" s="290">
        <v>667.99000000000024</v>
      </c>
      <c r="O101" s="290">
        <v>88.40000000000002</v>
      </c>
      <c r="P101" s="329"/>
      <c r="R101"/>
      <c r="S101"/>
      <c r="T101"/>
      <c r="U101"/>
      <c r="V101"/>
    </row>
    <row r="102" spans="1:22" ht="15.75">
      <c r="A102" s="286">
        <v>27</v>
      </c>
      <c r="B102" s="344">
        <v>1</v>
      </c>
      <c r="D102" s="286" t="s">
        <v>597</v>
      </c>
      <c r="E102" s="286" t="s">
        <v>657</v>
      </c>
      <c r="F102" s="286" t="s">
        <v>642</v>
      </c>
      <c r="H102" s="290">
        <v>288.60000000000002</v>
      </c>
      <c r="I102" s="290">
        <v>13.83</v>
      </c>
      <c r="K102" s="314">
        <v>90</v>
      </c>
      <c r="L102" s="286" t="s">
        <v>819</v>
      </c>
      <c r="M102" s="286">
        <v>4</v>
      </c>
      <c r="N102" s="290">
        <v>1061.4899999999998</v>
      </c>
      <c r="O102" s="290">
        <v>70</v>
      </c>
      <c r="P102" s="329"/>
      <c r="R102"/>
      <c r="S102"/>
      <c r="T102"/>
      <c r="U102"/>
      <c r="V102"/>
    </row>
    <row r="103" spans="1:22" ht="15.75">
      <c r="A103" s="286">
        <v>27</v>
      </c>
      <c r="B103" s="344">
        <v>1</v>
      </c>
      <c r="D103" s="286" t="s">
        <v>597</v>
      </c>
      <c r="E103" s="286" t="s">
        <v>657</v>
      </c>
      <c r="F103" s="286" t="s">
        <v>624</v>
      </c>
      <c r="H103" s="290"/>
      <c r="I103" s="290"/>
      <c r="K103" s="314">
        <v>91</v>
      </c>
      <c r="L103" s="286" t="s">
        <v>820</v>
      </c>
      <c r="M103" s="286">
        <v>26</v>
      </c>
      <c r="N103" s="290">
        <v>667.99000000000024</v>
      </c>
      <c r="O103" s="290">
        <v>88.40000000000002</v>
      </c>
      <c r="P103" s="329"/>
      <c r="R103"/>
      <c r="S103"/>
      <c r="T103"/>
      <c r="U103"/>
      <c r="V103"/>
    </row>
    <row r="104" spans="1:22" ht="15.75">
      <c r="A104" s="286">
        <v>27</v>
      </c>
      <c r="B104" s="344">
        <v>1</v>
      </c>
      <c r="D104" s="286" t="s">
        <v>597</v>
      </c>
      <c r="E104" s="286" t="s">
        <v>657</v>
      </c>
      <c r="F104" s="286" t="s">
        <v>632</v>
      </c>
      <c r="H104" s="290"/>
      <c r="I104" s="290"/>
      <c r="K104" s="314">
        <v>92</v>
      </c>
      <c r="L104" s="286" t="s">
        <v>821</v>
      </c>
      <c r="M104" s="286">
        <v>26</v>
      </c>
      <c r="N104" s="290">
        <v>7613.0399999999991</v>
      </c>
      <c r="O104" s="290">
        <v>502.67999999999995</v>
      </c>
      <c r="P104" s="329"/>
      <c r="R104"/>
      <c r="S104"/>
      <c r="T104"/>
      <c r="U104"/>
      <c r="V104"/>
    </row>
    <row r="105" spans="1:22" ht="15.75">
      <c r="A105" s="286">
        <v>39</v>
      </c>
      <c r="B105" s="344">
        <v>1</v>
      </c>
      <c r="D105" s="286" t="s">
        <v>619</v>
      </c>
      <c r="E105" s="286" t="s">
        <v>620</v>
      </c>
      <c r="F105" s="286" t="s">
        <v>621</v>
      </c>
      <c r="G105" s="286">
        <v>26</v>
      </c>
      <c r="H105" s="290">
        <v>39695.69999999999</v>
      </c>
      <c r="I105" s="290">
        <v>1673.8</v>
      </c>
      <c r="K105" s="314">
        <v>93</v>
      </c>
      <c r="L105" s="286" t="s">
        <v>822</v>
      </c>
      <c r="M105" s="286">
        <v>21</v>
      </c>
      <c r="N105" s="290">
        <v>7520.2</v>
      </c>
      <c r="O105" s="290">
        <v>376.01000000000005</v>
      </c>
      <c r="P105" s="329"/>
      <c r="R105"/>
      <c r="S105"/>
      <c r="T105"/>
      <c r="U105"/>
      <c r="V105"/>
    </row>
    <row r="106" spans="1:22" ht="15.75">
      <c r="A106" s="286">
        <v>39</v>
      </c>
      <c r="B106" s="344">
        <v>1</v>
      </c>
      <c r="D106" s="286" t="s">
        <v>619</v>
      </c>
      <c r="E106" s="286" t="s">
        <v>620</v>
      </c>
      <c r="F106" s="286" t="s">
        <v>599</v>
      </c>
      <c r="H106" s="290"/>
      <c r="I106" s="290"/>
      <c r="K106" s="314">
        <v>94</v>
      </c>
      <c r="L106" s="286" t="s">
        <v>823</v>
      </c>
      <c r="M106" s="286">
        <v>27</v>
      </c>
      <c r="N106" s="290">
        <v>13202.029999999995</v>
      </c>
      <c r="O106" s="290">
        <v>519.90000000000009</v>
      </c>
      <c r="P106" s="329"/>
      <c r="R106"/>
      <c r="S106"/>
      <c r="T106"/>
      <c r="U106"/>
      <c r="V106"/>
    </row>
    <row r="107" spans="1:22" ht="15.75">
      <c r="A107" s="286">
        <v>39</v>
      </c>
      <c r="B107" s="344">
        <v>1</v>
      </c>
      <c r="D107" s="286" t="s">
        <v>619</v>
      </c>
      <c r="E107" s="286" t="s">
        <v>620</v>
      </c>
      <c r="F107" s="286" t="s">
        <v>601</v>
      </c>
      <c r="H107" s="290"/>
      <c r="I107" s="290"/>
      <c r="K107" s="314">
        <v>95</v>
      </c>
      <c r="L107" s="286" t="s">
        <v>824</v>
      </c>
      <c r="M107" s="286">
        <v>27</v>
      </c>
      <c r="N107" s="290">
        <v>61406.100000000013</v>
      </c>
      <c r="O107" s="290">
        <v>2080</v>
      </c>
      <c r="P107" s="329"/>
      <c r="R107"/>
      <c r="S107"/>
      <c r="T107"/>
      <c r="U107"/>
      <c r="V107"/>
    </row>
    <row r="108" spans="1:22" ht="15.75">
      <c r="A108" s="286">
        <v>39</v>
      </c>
      <c r="B108" s="344">
        <v>1</v>
      </c>
      <c r="D108" s="286" t="s">
        <v>619</v>
      </c>
      <c r="E108" s="286" t="s">
        <v>620</v>
      </c>
      <c r="F108" s="286" t="s">
        <v>603</v>
      </c>
      <c r="H108" s="290"/>
      <c r="I108" s="290"/>
      <c r="K108" s="314">
        <v>96</v>
      </c>
      <c r="L108" s="286" t="s">
        <v>825</v>
      </c>
      <c r="M108" s="286">
        <v>26</v>
      </c>
      <c r="N108" s="290">
        <v>7876.4799999999987</v>
      </c>
      <c r="O108" s="290">
        <v>520.02</v>
      </c>
      <c r="P108" s="329"/>
      <c r="R108"/>
      <c r="S108"/>
      <c r="T108"/>
      <c r="U108"/>
      <c r="V108"/>
    </row>
    <row r="109" spans="1:22" ht="15.75">
      <c r="A109" s="286">
        <v>39</v>
      </c>
      <c r="B109" s="344">
        <v>1</v>
      </c>
      <c r="D109" s="286" t="s">
        <v>619</v>
      </c>
      <c r="E109" s="286" t="s">
        <v>620</v>
      </c>
      <c r="F109" s="286" t="s">
        <v>627</v>
      </c>
      <c r="H109" s="290">
        <v>1855.2</v>
      </c>
      <c r="I109" s="290">
        <v>80</v>
      </c>
      <c r="K109" s="314">
        <v>97</v>
      </c>
      <c r="L109" s="286" t="s">
        <v>826</v>
      </c>
      <c r="M109" s="286">
        <v>4</v>
      </c>
      <c r="N109" s="290">
        <v>1166.49</v>
      </c>
      <c r="O109" s="290">
        <v>76.94</v>
      </c>
      <c r="P109" s="329"/>
      <c r="R109"/>
      <c r="S109"/>
      <c r="T109"/>
      <c r="U109"/>
      <c r="V109"/>
    </row>
    <row r="110" spans="1:22" ht="15.75">
      <c r="A110" s="286">
        <v>39</v>
      </c>
      <c r="B110" s="344">
        <v>1</v>
      </c>
      <c r="D110" s="286" t="s">
        <v>619</v>
      </c>
      <c r="E110" s="286" t="s">
        <v>620</v>
      </c>
      <c r="F110" s="286" t="s">
        <v>630</v>
      </c>
      <c r="H110" s="290">
        <v>4412.3</v>
      </c>
      <c r="I110" s="290">
        <v>185.6</v>
      </c>
      <c r="K110" s="314">
        <v>98</v>
      </c>
      <c r="L110" s="286" t="s">
        <v>827</v>
      </c>
      <c r="M110" s="286">
        <v>27</v>
      </c>
      <c r="N110" s="290">
        <v>67789.440000000017</v>
      </c>
      <c r="O110" s="290">
        <v>2128</v>
      </c>
      <c r="P110" s="329"/>
      <c r="R110"/>
      <c r="S110"/>
      <c r="T110"/>
      <c r="U110"/>
      <c r="V110"/>
    </row>
    <row r="111" spans="1:22" ht="15.75">
      <c r="A111" s="286">
        <v>39</v>
      </c>
      <c r="B111" s="344">
        <v>1</v>
      </c>
      <c r="D111" s="286" t="s">
        <v>619</v>
      </c>
      <c r="E111" s="286" t="s">
        <v>620</v>
      </c>
      <c r="F111" s="286" t="s">
        <v>633</v>
      </c>
      <c r="H111" s="290">
        <v>2663.28</v>
      </c>
      <c r="I111" s="290">
        <v>112</v>
      </c>
      <c r="K111" s="314">
        <v>99</v>
      </c>
      <c r="L111" s="286" t="s">
        <v>828</v>
      </c>
      <c r="M111" s="286">
        <v>26</v>
      </c>
      <c r="N111" s="290">
        <v>14941.239999999994</v>
      </c>
      <c r="O111" s="290">
        <v>516.01</v>
      </c>
      <c r="P111" s="329"/>
      <c r="R111"/>
      <c r="S111"/>
      <c r="T111"/>
      <c r="U111"/>
      <c r="V111"/>
    </row>
    <row r="112" spans="1:22" ht="15.75">
      <c r="A112" s="286">
        <v>39</v>
      </c>
      <c r="B112" s="344">
        <v>1</v>
      </c>
      <c r="D112" s="286" t="s">
        <v>619</v>
      </c>
      <c r="E112" s="286" t="s">
        <v>620</v>
      </c>
      <c r="F112" s="286" t="s">
        <v>634</v>
      </c>
      <c r="H112" s="290">
        <v>571.95999999999992</v>
      </c>
      <c r="I112" s="290">
        <v>24.599999999999998</v>
      </c>
      <c r="K112" s="314">
        <v>100</v>
      </c>
      <c r="L112" s="286" t="s">
        <v>829</v>
      </c>
      <c r="M112" s="286">
        <v>26</v>
      </c>
      <c r="N112" s="290">
        <v>59862.320000000014</v>
      </c>
      <c r="O112" s="290">
        <v>2086</v>
      </c>
      <c r="P112" s="329"/>
      <c r="R112"/>
      <c r="S112"/>
      <c r="T112"/>
      <c r="U112"/>
      <c r="V112"/>
    </row>
    <row r="113" spans="1:22" ht="15.75">
      <c r="A113" s="286">
        <v>39</v>
      </c>
      <c r="B113" s="344">
        <v>1</v>
      </c>
      <c r="D113" s="286" t="s">
        <v>619</v>
      </c>
      <c r="E113" s="286" t="s">
        <v>620</v>
      </c>
      <c r="F113" s="286" t="s">
        <v>623</v>
      </c>
      <c r="H113" s="290"/>
      <c r="I113" s="290"/>
      <c r="K113" s="314">
        <v>101</v>
      </c>
      <c r="L113" s="286" t="s">
        <v>830</v>
      </c>
      <c r="M113" s="286">
        <v>23</v>
      </c>
      <c r="N113" s="290">
        <v>7893.22</v>
      </c>
      <c r="O113" s="290">
        <v>467.04999999999995</v>
      </c>
      <c r="P113" s="329"/>
      <c r="R113"/>
      <c r="S113"/>
      <c r="T113"/>
      <c r="U113"/>
      <c r="V113"/>
    </row>
    <row r="114" spans="1:22" ht="15.75">
      <c r="A114" s="286">
        <v>39</v>
      </c>
      <c r="B114" s="344">
        <v>1</v>
      </c>
      <c r="D114" s="286" t="s">
        <v>619</v>
      </c>
      <c r="E114" s="286" t="s">
        <v>620</v>
      </c>
      <c r="F114" s="286" t="s">
        <v>625</v>
      </c>
      <c r="H114" s="290"/>
      <c r="I114" s="290"/>
      <c r="K114" s="314">
        <v>102</v>
      </c>
      <c r="L114" s="286" t="s">
        <v>831</v>
      </c>
      <c r="M114" s="286">
        <v>27</v>
      </c>
      <c r="N114" s="290">
        <v>49324.24</v>
      </c>
      <c r="O114" s="290">
        <v>2079.9</v>
      </c>
      <c r="P114" s="329"/>
      <c r="R114"/>
      <c r="S114"/>
      <c r="T114"/>
      <c r="U114"/>
      <c r="V114"/>
    </row>
    <row r="115" spans="1:22" ht="15.75">
      <c r="A115" s="286">
        <v>39</v>
      </c>
      <c r="B115" s="344">
        <v>1</v>
      </c>
      <c r="D115" s="286" t="s">
        <v>619</v>
      </c>
      <c r="E115" s="286" t="s">
        <v>620</v>
      </c>
      <c r="F115" s="286" t="s">
        <v>629</v>
      </c>
      <c r="H115" s="290"/>
      <c r="I115" s="290"/>
      <c r="K115" s="314">
        <v>103</v>
      </c>
      <c r="L115" s="286" t="s">
        <v>832</v>
      </c>
      <c r="M115" s="286">
        <v>26</v>
      </c>
      <c r="N115" s="290">
        <v>9005.24</v>
      </c>
      <c r="O115" s="290">
        <v>258.06</v>
      </c>
      <c r="P115" s="329"/>
      <c r="R115"/>
      <c r="S115"/>
      <c r="T115"/>
      <c r="U115"/>
      <c r="V115"/>
    </row>
    <row r="116" spans="1:22" ht="15.75">
      <c r="A116" s="286">
        <v>39</v>
      </c>
      <c r="B116" s="344">
        <v>1</v>
      </c>
      <c r="D116" s="286" t="s">
        <v>619</v>
      </c>
      <c r="E116" s="286" t="s">
        <v>620</v>
      </c>
      <c r="F116" s="286" t="s">
        <v>632</v>
      </c>
      <c r="H116" s="290"/>
      <c r="I116" s="290"/>
      <c r="K116" s="314">
        <v>104</v>
      </c>
      <c r="L116" s="286" t="s">
        <v>833</v>
      </c>
      <c r="M116" s="286">
        <v>26</v>
      </c>
      <c r="N116" s="290">
        <v>17725.5</v>
      </c>
      <c r="O116" s="290">
        <v>338</v>
      </c>
      <c r="P116" s="329"/>
      <c r="R116"/>
      <c r="S116"/>
      <c r="T116"/>
      <c r="U116"/>
      <c r="V116"/>
    </row>
    <row r="117" spans="1:22" ht="15.75">
      <c r="A117" s="286">
        <v>40</v>
      </c>
      <c r="B117" s="344">
        <v>1</v>
      </c>
      <c r="D117" s="286" t="s">
        <v>619</v>
      </c>
      <c r="E117" s="286" t="s">
        <v>686</v>
      </c>
      <c r="F117" s="286" t="s">
        <v>621</v>
      </c>
      <c r="G117" s="286">
        <v>27</v>
      </c>
      <c r="H117" s="290">
        <v>49956.58</v>
      </c>
      <c r="I117" s="290">
        <v>1724.8</v>
      </c>
      <c r="K117" s="314">
        <v>105</v>
      </c>
      <c r="L117" s="286" t="s">
        <v>834</v>
      </c>
      <c r="M117" s="286">
        <v>26</v>
      </c>
      <c r="N117" s="290">
        <v>8947.2400000000016</v>
      </c>
      <c r="O117" s="290">
        <v>520</v>
      </c>
      <c r="P117" s="329"/>
      <c r="R117"/>
      <c r="S117"/>
      <c r="T117"/>
      <c r="U117"/>
      <c r="V117"/>
    </row>
    <row r="118" spans="1:22" ht="15.75">
      <c r="A118" s="286">
        <v>40</v>
      </c>
      <c r="B118" s="344">
        <v>1</v>
      </c>
      <c r="D118" s="286" t="s">
        <v>619</v>
      </c>
      <c r="E118" s="286" t="s">
        <v>686</v>
      </c>
      <c r="F118" s="286" t="s">
        <v>599</v>
      </c>
      <c r="H118" s="290"/>
      <c r="I118" s="290"/>
      <c r="K118" s="314">
        <v>106</v>
      </c>
      <c r="L118" s="286" t="s">
        <v>835</v>
      </c>
      <c r="M118" s="286">
        <v>26</v>
      </c>
      <c r="N118" s="290">
        <v>5295.75</v>
      </c>
      <c r="O118" s="290">
        <v>357.25</v>
      </c>
      <c r="P118" s="329"/>
      <c r="R118"/>
      <c r="S118"/>
      <c r="T118"/>
      <c r="U118"/>
      <c r="V118"/>
    </row>
    <row r="119" spans="1:22" ht="15.75">
      <c r="A119" s="286">
        <v>40</v>
      </c>
      <c r="B119" s="344">
        <v>1</v>
      </c>
      <c r="D119" s="286" t="s">
        <v>619</v>
      </c>
      <c r="E119" s="286" t="s">
        <v>686</v>
      </c>
      <c r="F119" s="286" t="s">
        <v>601</v>
      </c>
      <c r="H119" s="290"/>
      <c r="I119" s="290"/>
      <c r="K119" s="314">
        <v>107</v>
      </c>
      <c r="L119" s="286" t="s">
        <v>836</v>
      </c>
      <c r="M119" s="286">
        <v>26</v>
      </c>
      <c r="N119" s="290">
        <v>3944.6000000000008</v>
      </c>
      <c r="O119" s="290">
        <v>130</v>
      </c>
      <c r="P119" s="329"/>
      <c r="R119"/>
      <c r="S119"/>
      <c r="T119"/>
      <c r="U119"/>
      <c r="V119"/>
    </row>
    <row r="120" spans="1:22" ht="15.75">
      <c r="A120" s="286">
        <v>40</v>
      </c>
      <c r="B120" s="344">
        <v>1</v>
      </c>
      <c r="D120" s="286" t="s">
        <v>619</v>
      </c>
      <c r="E120" s="286" t="s">
        <v>686</v>
      </c>
      <c r="F120" s="286" t="s">
        <v>603</v>
      </c>
      <c r="H120" s="290"/>
      <c r="I120" s="290"/>
      <c r="K120" s="314">
        <v>108</v>
      </c>
      <c r="L120" s="286" t="s">
        <v>837</v>
      </c>
      <c r="M120" s="286">
        <v>27</v>
      </c>
      <c r="N120" s="290">
        <v>52619.959999999992</v>
      </c>
      <c r="O120" s="290">
        <v>2072.6799999999998</v>
      </c>
      <c r="P120" s="329"/>
      <c r="R120"/>
      <c r="S120"/>
      <c r="T120"/>
      <c r="U120"/>
      <c r="V120"/>
    </row>
    <row r="121" spans="1:22" ht="15.75">
      <c r="A121" s="286">
        <v>40</v>
      </c>
      <c r="B121" s="344">
        <v>1</v>
      </c>
      <c r="D121" s="286" t="s">
        <v>619</v>
      </c>
      <c r="E121" s="286" t="s">
        <v>686</v>
      </c>
      <c r="F121" s="286" t="s">
        <v>627</v>
      </c>
      <c r="H121" s="290">
        <v>3151.44</v>
      </c>
      <c r="I121" s="290">
        <v>108</v>
      </c>
      <c r="K121" s="314">
        <v>109</v>
      </c>
      <c r="L121" s="286" t="s">
        <v>838</v>
      </c>
      <c r="M121" s="286">
        <v>27</v>
      </c>
      <c r="N121" s="290">
        <v>49159.689999999995</v>
      </c>
      <c r="O121" s="290">
        <v>2056</v>
      </c>
      <c r="P121" s="329"/>
      <c r="R121"/>
      <c r="S121"/>
      <c r="T121"/>
      <c r="U121"/>
      <c r="V121"/>
    </row>
    <row r="122" spans="1:22" ht="15.75">
      <c r="A122" s="286">
        <v>40</v>
      </c>
      <c r="B122" s="344">
        <v>1</v>
      </c>
      <c r="D122" s="286" t="s">
        <v>619</v>
      </c>
      <c r="E122" s="286" t="s">
        <v>686</v>
      </c>
      <c r="F122" s="286" t="s">
        <v>606</v>
      </c>
      <c r="H122" s="290"/>
      <c r="I122" s="290"/>
      <c r="K122" s="314">
        <v>110</v>
      </c>
      <c r="L122" s="286" t="s">
        <v>839</v>
      </c>
      <c r="M122" s="286">
        <v>26</v>
      </c>
      <c r="N122" s="290">
        <v>8691.909999999998</v>
      </c>
      <c r="O122" s="290">
        <v>265.3</v>
      </c>
      <c r="P122" s="329"/>
      <c r="R122"/>
      <c r="S122"/>
      <c r="T122"/>
      <c r="U122"/>
      <c r="V122"/>
    </row>
    <row r="123" spans="1:22" ht="15.75">
      <c r="A123" s="286">
        <v>40</v>
      </c>
      <c r="B123" s="344">
        <v>1</v>
      </c>
      <c r="D123" s="286" t="s">
        <v>619</v>
      </c>
      <c r="E123" s="286" t="s">
        <v>686</v>
      </c>
      <c r="F123" s="286" t="s">
        <v>630</v>
      </c>
      <c r="H123" s="290">
        <v>2929.06</v>
      </c>
      <c r="I123" s="290">
        <v>91.2</v>
      </c>
      <c r="K123" s="314">
        <v>111</v>
      </c>
      <c r="L123" s="286" t="s">
        <v>840</v>
      </c>
      <c r="M123" s="286">
        <v>26</v>
      </c>
      <c r="N123" s="290">
        <v>14040</v>
      </c>
      <c r="O123" s="290">
        <v>520</v>
      </c>
      <c r="P123" s="329"/>
      <c r="R123"/>
      <c r="S123"/>
      <c r="T123"/>
      <c r="U123"/>
      <c r="V123"/>
    </row>
    <row r="124" spans="1:22" ht="15.75">
      <c r="A124" s="286">
        <v>40</v>
      </c>
      <c r="B124" s="344">
        <v>1</v>
      </c>
      <c r="D124" s="286" t="s">
        <v>619</v>
      </c>
      <c r="E124" s="286" t="s">
        <v>686</v>
      </c>
      <c r="F124" s="286" t="s">
        <v>633</v>
      </c>
      <c r="H124" s="290">
        <v>3296.64</v>
      </c>
      <c r="I124" s="290">
        <v>112</v>
      </c>
      <c r="K124" s="314">
        <v>112</v>
      </c>
      <c r="L124" s="286" t="s">
        <v>841</v>
      </c>
      <c r="M124" s="286">
        <v>27</v>
      </c>
      <c r="N124" s="290">
        <v>66754.87999999999</v>
      </c>
      <c r="O124" s="290">
        <v>2152</v>
      </c>
      <c r="P124" s="329"/>
      <c r="R124"/>
      <c r="S124"/>
      <c r="T124"/>
      <c r="U124"/>
      <c r="V124"/>
    </row>
    <row r="125" spans="1:22" ht="15.75">
      <c r="A125" s="286">
        <v>40</v>
      </c>
      <c r="B125" s="344">
        <v>1</v>
      </c>
      <c r="D125" s="286" t="s">
        <v>619</v>
      </c>
      <c r="E125" s="286" t="s">
        <v>686</v>
      </c>
      <c r="F125" s="286" t="s">
        <v>634</v>
      </c>
      <c r="H125" s="290">
        <v>667.68000000000006</v>
      </c>
      <c r="I125" s="290">
        <v>24</v>
      </c>
      <c r="K125" s="314">
        <v>113</v>
      </c>
      <c r="L125" s="286" t="s">
        <v>842</v>
      </c>
      <c r="M125" s="286">
        <v>26</v>
      </c>
      <c r="N125" s="290">
        <v>38974.01</v>
      </c>
      <c r="O125" s="290">
        <v>2061.1299999999997</v>
      </c>
      <c r="P125" s="329"/>
      <c r="R125"/>
      <c r="S125"/>
      <c r="T125"/>
      <c r="U125"/>
      <c r="V125"/>
    </row>
    <row r="126" spans="1:22" ht="15.75">
      <c r="A126" s="286">
        <v>40</v>
      </c>
      <c r="B126" s="344">
        <v>1</v>
      </c>
      <c r="D126" s="286" t="s">
        <v>619</v>
      </c>
      <c r="E126" s="286" t="s">
        <v>686</v>
      </c>
      <c r="F126" s="286" t="s">
        <v>623</v>
      </c>
      <c r="H126" s="290"/>
      <c r="I126" s="290"/>
      <c r="K126" s="314">
        <v>114</v>
      </c>
      <c r="L126" s="286" t="s">
        <v>843</v>
      </c>
      <c r="M126" s="286">
        <v>11</v>
      </c>
      <c r="N126" s="290">
        <v>2173.9200000000005</v>
      </c>
      <c r="O126" s="290">
        <v>110</v>
      </c>
      <c r="P126" s="329"/>
      <c r="R126"/>
      <c r="S126"/>
      <c r="T126"/>
      <c r="U126"/>
      <c r="V126"/>
    </row>
    <row r="127" spans="1:22" ht="15.75">
      <c r="A127" s="286">
        <v>40</v>
      </c>
      <c r="B127" s="344">
        <v>1</v>
      </c>
      <c r="D127" s="286" t="s">
        <v>619</v>
      </c>
      <c r="E127" s="286" t="s">
        <v>686</v>
      </c>
      <c r="F127" s="286" t="s">
        <v>625</v>
      </c>
      <c r="H127" s="290"/>
      <c r="I127" s="290"/>
      <c r="K127" s="314">
        <v>115</v>
      </c>
      <c r="L127" s="286" t="s">
        <v>844</v>
      </c>
      <c r="M127" s="286">
        <v>26</v>
      </c>
      <c r="N127" s="290">
        <v>7876.4799999999968</v>
      </c>
      <c r="O127" s="290">
        <v>520</v>
      </c>
      <c r="P127" s="329"/>
      <c r="R127"/>
      <c r="S127"/>
      <c r="T127"/>
      <c r="U127"/>
      <c r="V127"/>
    </row>
    <row r="128" spans="1:22" ht="15.75">
      <c r="A128" s="286">
        <v>40</v>
      </c>
      <c r="B128" s="344">
        <v>1</v>
      </c>
      <c r="D128" s="286" t="s">
        <v>619</v>
      </c>
      <c r="E128" s="286" t="s">
        <v>686</v>
      </c>
      <c r="F128" s="286" t="s">
        <v>660</v>
      </c>
      <c r="H128" s="290">
        <v>520.48</v>
      </c>
      <c r="I128" s="290">
        <v>16</v>
      </c>
      <c r="K128" s="314">
        <v>116</v>
      </c>
      <c r="L128" s="286" t="s">
        <v>845</v>
      </c>
      <c r="M128" s="286">
        <v>26</v>
      </c>
      <c r="N128" s="290">
        <v>5584.26</v>
      </c>
      <c r="O128" s="290">
        <v>260.05</v>
      </c>
      <c r="P128" s="329"/>
      <c r="R128"/>
      <c r="S128"/>
      <c r="T128"/>
      <c r="U128"/>
      <c r="V128"/>
    </row>
    <row r="129" spans="1:22" ht="15.75">
      <c r="A129" s="286">
        <v>40</v>
      </c>
      <c r="B129" s="344">
        <v>1</v>
      </c>
      <c r="D129" s="286" t="s">
        <v>619</v>
      </c>
      <c r="E129" s="286" t="s">
        <v>686</v>
      </c>
      <c r="F129" s="286" t="s">
        <v>661</v>
      </c>
      <c r="H129" s="290">
        <v>260.24</v>
      </c>
      <c r="I129" s="290">
        <v>8</v>
      </c>
      <c r="K129" s="314">
        <v>117</v>
      </c>
      <c r="L129" s="286" t="s">
        <v>846</v>
      </c>
      <c r="M129" s="286">
        <v>26</v>
      </c>
      <c r="N129" s="290">
        <v>37577.760000000002</v>
      </c>
      <c r="O129" s="290">
        <v>2060.3000000000002</v>
      </c>
      <c r="P129" s="329"/>
      <c r="R129"/>
      <c r="S129"/>
      <c r="T129"/>
      <c r="U129"/>
      <c r="V129"/>
    </row>
    <row r="130" spans="1:22" ht="15.75">
      <c r="A130" s="286">
        <v>40</v>
      </c>
      <c r="B130" s="344">
        <v>1</v>
      </c>
      <c r="D130" s="286" t="s">
        <v>619</v>
      </c>
      <c r="E130" s="286" t="s">
        <v>686</v>
      </c>
      <c r="F130" s="286" t="s">
        <v>629</v>
      </c>
      <c r="H130" s="290"/>
      <c r="I130" s="290"/>
      <c r="K130" s="314">
        <v>118</v>
      </c>
      <c r="L130" s="286" t="s">
        <v>847</v>
      </c>
      <c r="M130" s="286">
        <v>27</v>
      </c>
      <c r="N130" s="290">
        <v>66679.199999999997</v>
      </c>
      <c r="O130" s="290">
        <v>2104</v>
      </c>
      <c r="P130" s="329"/>
      <c r="R130"/>
      <c r="S130"/>
      <c r="T130"/>
      <c r="U130"/>
      <c r="V130"/>
    </row>
    <row r="131" spans="1:22" ht="15.75">
      <c r="A131" s="286">
        <v>40</v>
      </c>
      <c r="B131" s="344">
        <v>1</v>
      </c>
      <c r="D131" s="286" t="s">
        <v>619</v>
      </c>
      <c r="E131" s="286" t="s">
        <v>686</v>
      </c>
      <c r="F131" s="286" t="s">
        <v>636</v>
      </c>
      <c r="H131" s="290">
        <v>202.57999999999998</v>
      </c>
      <c r="I131" s="290">
        <v>0</v>
      </c>
      <c r="K131" s="314">
        <v>119</v>
      </c>
      <c r="L131" s="286" t="s">
        <v>848</v>
      </c>
      <c r="M131" s="286">
        <v>19</v>
      </c>
      <c r="N131" s="290">
        <v>2848.9699999999993</v>
      </c>
      <c r="O131" s="290">
        <v>188.57999999999998</v>
      </c>
      <c r="P131" s="329"/>
      <c r="R131"/>
      <c r="S131"/>
      <c r="T131"/>
      <c r="U131"/>
      <c r="V131"/>
    </row>
    <row r="132" spans="1:22" ht="15.75">
      <c r="A132" s="286">
        <v>40</v>
      </c>
      <c r="B132" s="344">
        <v>1</v>
      </c>
      <c r="D132" s="286" t="s">
        <v>619</v>
      </c>
      <c r="E132" s="286" t="s">
        <v>686</v>
      </c>
      <c r="F132" s="286" t="s">
        <v>632</v>
      </c>
      <c r="H132" s="290"/>
      <c r="I132" s="290"/>
      <c r="K132" s="314">
        <v>120</v>
      </c>
      <c r="L132" s="286" t="s">
        <v>849</v>
      </c>
      <c r="M132" s="286">
        <v>23</v>
      </c>
      <c r="N132" s="290">
        <v>49796.36</v>
      </c>
      <c r="O132" s="290">
        <v>2079.8500000000004</v>
      </c>
      <c r="P132" s="329"/>
      <c r="R132"/>
      <c r="S132"/>
      <c r="T132"/>
      <c r="U132"/>
      <c r="V132"/>
    </row>
    <row r="133" spans="1:22" ht="15.75">
      <c r="A133" s="286">
        <v>41</v>
      </c>
      <c r="B133" s="344">
        <v>1</v>
      </c>
      <c r="D133" s="286" t="s">
        <v>597</v>
      </c>
      <c r="E133" s="286" t="s">
        <v>686</v>
      </c>
      <c r="F133" s="286" t="s">
        <v>598</v>
      </c>
      <c r="G133" s="286">
        <v>26</v>
      </c>
      <c r="H133" s="290">
        <v>51241.63</v>
      </c>
      <c r="I133" s="290">
        <v>1778.75</v>
      </c>
      <c r="K133" s="314">
        <v>121</v>
      </c>
      <c r="L133" s="286" t="s">
        <v>850</v>
      </c>
      <c r="M133" s="286">
        <v>26</v>
      </c>
      <c r="N133" s="290">
        <v>8724.9699999999993</v>
      </c>
      <c r="O133" s="290">
        <v>258.77999999999997</v>
      </c>
      <c r="P133" s="329"/>
      <c r="R133"/>
      <c r="S133"/>
      <c r="T133"/>
      <c r="U133"/>
      <c r="V133"/>
    </row>
    <row r="134" spans="1:22" ht="15.75">
      <c r="A134" s="286">
        <v>41</v>
      </c>
      <c r="B134" s="344">
        <v>1</v>
      </c>
      <c r="D134" s="286" t="s">
        <v>597</v>
      </c>
      <c r="E134" s="286" t="s">
        <v>686</v>
      </c>
      <c r="F134" s="286" t="s">
        <v>599</v>
      </c>
      <c r="H134" s="290"/>
      <c r="I134" s="290"/>
      <c r="K134" s="314">
        <v>122</v>
      </c>
      <c r="L134" s="286" t="s">
        <v>851</v>
      </c>
      <c r="M134" s="286">
        <v>4</v>
      </c>
      <c r="N134" s="290">
        <v>1820</v>
      </c>
      <c r="O134" s="290">
        <v>140</v>
      </c>
      <c r="P134" s="329"/>
      <c r="R134"/>
      <c r="S134"/>
      <c r="T134"/>
      <c r="U134"/>
      <c r="V134"/>
    </row>
    <row r="135" spans="1:22" ht="15.75">
      <c r="A135" s="286">
        <v>41</v>
      </c>
      <c r="B135" s="344">
        <v>1</v>
      </c>
      <c r="D135" s="286" t="s">
        <v>597</v>
      </c>
      <c r="E135" s="286" t="s">
        <v>686</v>
      </c>
      <c r="F135" s="286" t="s">
        <v>601</v>
      </c>
      <c r="H135" s="290"/>
      <c r="I135" s="290"/>
      <c r="K135" s="314">
        <v>123</v>
      </c>
      <c r="L135" s="286" t="s">
        <v>852</v>
      </c>
      <c r="M135" s="286">
        <v>26</v>
      </c>
      <c r="N135" s="290">
        <v>667.99000000000024</v>
      </c>
      <c r="O135" s="290">
        <v>88.40000000000002</v>
      </c>
      <c r="P135" s="329"/>
      <c r="R135"/>
      <c r="S135"/>
      <c r="T135"/>
      <c r="U135"/>
      <c r="V135"/>
    </row>
    <row r="136" spans="1:22" ht="15.75">
      <c r="A136" s="286">
        <v>41</v>
      </c>
      <c r="B136" s="344">
        <v>1</v>
      </c>
      <c r="D136" s="286" t="s">
        <v>597</v>
      </c>
      <c r="E136" s="286" t="s">
        <v>686</v>
      </c>
      <c r="F136" s="286" t="s">
        <v>605</v>
      </c>
      <c r="H136" s="290">
        <v>5995.6399999999994</v>
      </c>
      <c r="I136" s="290">
        <v>209.25</v>
      </c>
      <c r="K136" s="314">
        <v>124</v>
      </c>
      <c r="L136" s="286" t="s">
        <v>853</v>
      </c>
      <c r="M136" s="286">
        <v>27</v>
      </c>
      <c r="N136" s="290">
        <v>49410.879999999997</v>
      </c>
      <c r="O136" s="290">
        <v>2056</v>
      </c>
      <c r="P136" s="329"/>
      <c r="R136"/>
      <c r="S136"/>
      <c r="T136"/>
      <c r="U136"/>
      <c r="V136"/>
    </row>
    <row r="137" spans="1:22" ht="15.75">
      <c r="A137" s="286">
        <v>41</v>
      </c>
      <c r="B137" s="344">
        <v>1</v>
      </c>
      <c r="D137" s="286" t="s">
        <v>597</v>
      </c>
      <c r="E137" s="286" t="s">
        <v>686</v>
      </c>
      <c r="F137" s="286" t="s">
        <v>627</v>
      </c>
      <c r="H137" s="290">
        <v>115.29</v>
      </c>
      <c r="I137" s="290">
        <v>4</v>
      </c>
      <c r="K137" s="314">
        <v>125</v>
      </c>
      <c r="L137" s="286" t="s">
        <v>854</v>
      </c>
      <c r="M137" s="286">
        <v>26</v>
      </c>
      <c r="N137" s="290">
        <v>8457.39</v>
      </c>
      <c r="O137" s="290">
        <v>260.13999999999993</v>
      </c>
      <c r="P137" s="329"/>
      <c r="R137"/>
      <c r="S137"/>
      <c r="T137"/>
      <c r="U137"/>
      <c r="V137"/>
    </row>
    <row r="138" spans="1:22" ht="15.75">
      <c r="A138" s="286">
        <v>41</v>
      </c>
      <c r="B138" s="344">
        <v>1</v>
      </c>
      <c r="D138" s="286" t="s">
        <v>597</v>
      </c>
      <c r="E138" s="286" t="s">
        <v>686</v>
      </c>
      <c r="F138" s="286" t="s">
        <v>608</v>
      </c>
      <c r="H138" s="290">
        <v>1951.07</v>
      </c>
      <c r="I138" s="290">
        <v>68</v>
      </c>
      <c r="K138" s="314">
        <v>126</v>
      </c>
      <c r="L138" s="286" t="s">
        <v>855</v>
      </c>
      <c r="M138" s="286">
        <v>26</v>
      </c>
      <c r="N138" s="290">
        <v>5961.0300000000007</v>
      </c>
      <c r="O138" s="290">
        <v>260.02999999999997</v>
      </c>
      <c r="P138" s="329"/>
      <c r="R138"/>
      <c r="S138"/>
      <c r="T138"/>
      <c r="U138"/>
      <c r="V138"/>
    </row>
    <row r="139" spans="1:22" ht="15.75">
      <c r="A139" s="286">
        <v>41</v>
      </c>
      <c r="B139" s="344">
        <v>1</v>
      </c>
      <c r="D139" s="286" t="s">
        <v>597</v>
      </c>
      <c r="E139" s="286" t="s">
        <v>686</v>
      </c>
      <c r="F139" s="286" t="s">
        <v>602</v>
      </c>
      <c r="H139" s="290"/>
      <c r="I139" s="290"/>
      <c r="K139" s="314">
        <v>127</v>
      </c>
      <c r="L139" s="286" t="s">
        <v>856</v>
      </c>
      <c r="M139" s="286">
        <v>26</v>
      </c>
      <c r="N139" s="290">
        <v>11327.890000000001</v>
      </c>
      <c r="O139" s="290">
        <v>514.05999999999995</v>
      </c>
      <c r="P139" s="329"/>
      <c r="R139"/>
      <c r="S139"/>
      <c r="T139"/>
      <c r="U139"/>
      <c r="V139"/>
    </row>
    <row r="140" spans="1:22" ht="15.75">
      <c r="A140" s="286">
        <v>41</v>
      </c>
      <c r="B140" s="344">
        <v>1</v>
      </c>
      <c r="D140" s="286" t="s">
        <v>597</v>
      </c>
      <c r="E140" s="286" t="s">
        <v>686</v>
      </c>
      <c r="F140" s="286" t="s">
        <v>610</v>
      </c>
      <c r="H140" s="290">
        <v>230.58</v>
      </c>
      <c r="I140" s="290">
        <v>8</v>
      </c>
      <c r="K140" s="314">
        <v>128</v>
      </c>
      <c r="L140" s="286" t="s">
        <v>857</v>
      </c>
      <c r="M140" s="286">
        <v>27</v>
      </c>
      <c r="N140" s="290">
        <v>49153.739999999991</v>
      </c>
      <c r="O140" s="290">
        <v>2074.3000000000002</v>
      </c>
      <c r="P140" s="329"/>
      <c r="R140"/>
      <c r="S140"/>
      <c r="T140"/>
      <c r="U140"/>
      <c r="V140"/>
    </row>
    <row r="141" spans="1:22" ht="15.75">
      <c r="A141" s="286">
        <v>41</v>
      </c>
      <c r="B141" s="344">
        <v>1</v>
      </c>
      <c r="D141" s="286" t="s">
        <v>597</v>
      </c>
      <c r="E141" s="286" t="s">
        <v>686</v>
      </c>
      <c r="F141" s="286" t="s">
        <v>607</v>
      </c>
      <c r="H141" s="290"/>
      <c r="I141" s="290"/>
      <c r="K141" s="314">
        <v>129</v>
      </c>
      <c r="L141" s="286" t="s">
        <v>858</v>
      </c>
      <c r="M141" s="286">
        <v>52</v>
      </c>
      <c r="N141" s="290">
        <v>5679.52</v>
      </c>
      <c r="O141" s="290">
        <v>156.50999999999996</v>
      </c>
      <c r="P141" s="329"/>
      <c r="R141"/>
      <c r="S141"/>
      <c r="T141"/>
      <c r="U141"/>
      <c r="V141"/>
    </row>
    <row r="142" spans="1:22" ht="15.75">
      <c r="A142" s="286">
        <v>41</v>
      </c>
      <c r="B142" s="344">
        <v>1</v>
      </c>
      <c r="D142" s="286" t="s">
        <v>597</v>
      </c>
      <c r="E142" s="286" t="s">
        <v>686</v>
      </c>
      <c r="F142" s="286" t="s">
        <v>611</v>
      </c>
      <c r="H142" s="290"/>
      <c r="I142" s="290"/>
      <c r="K142" s="314">
        <v>130</v>
      </c>
      <c r="L142" s="286" t="s">
        <v>859</v>
      </c>
      <c r="M142" s="286">
        <v>9</v>
      </c>
      <c r="N142" s="290">
        <v>7543.9000000000005</v>
      </c>
      <c r="O142" s="290">
        <v>580.29999999999995</v>
      </c>
      <c r="P142" s="329"/>
      <c r="R142"/>
      <c r="S142"/>
      <c r="T142"/>
      <c r="U142"/>
      <c r="V142"/>
    </row>
    <row r="143" spans="1:22" ht="15.75">
      <c r="A143" s="286">
        <v>41</v>
      </c>
      <c r="B143" s="344">
        <v>1</v>
      </c>
      <c r="D143" s="286" t="s">
        <v>597</v>
      </c>
      <c r="E143" s="286" t="s">
        <v>686</v>
      </c>
      <c r="F143" s="286" t="s">
        <v>624</v>
      </c>
      <c r="H143" s="290"/>
      <c r="I143" s="290"/>
      <c r="K143" s="314">
        <v>131</v>
      </c>
      <c r="L143" s="286" t="s">
        <v>860</v>
      </c>
      <c r="M143" s="286">
        <v>26</v>
      </c>
      <c r="N143" s="290">
        <v>8287.59</v>
      </c>
      <c r="O143" s="290">
        <v>514.03</v>
      </c>
      <c r="P143" s="329"/>
      <c r="R143"/>
      <c r="S143"/>
      <c r="T143"/>
      <c r="U143"/>
      <c r="V143"/>
    </row>
    <row r="144" spans="1:22" ht="15.75">
      <c r="A144" s="286">
        <v>41</v>
      </c>
      <c r="B144" s="344">
        <v>1</v>
      </c>
      <c r="D144" s="286" t="s">
        <v>597</v>
      </c>
      <c r="E144" s="286" t="s">
        <v>686</v>
      </c>
      <c r="F144" s="286" t="s">
        <v>629</v>
      </c>
      <c r="H144" s="290"/>
      <c r="I144" s="290"/>
      <c r="K144" s="314">
        <v>132</v>
      </c>
      <c r="L144" s="286" t="s">
        <v>861</v>
      </c>
      <c r="M144" s="286">
        <v>25</v>
      </c>
      <c r="N144" s="290">
        <v>56655.360000000001</v>
      </c>
      <c r="O144" s="290">
        <v>1856</v>
      </c>
      <c r="P144" s="329"/>
      <c r="R144"/>
      <c r="S144"/>
      <c r="T144"/>
      <c r="U144"/>
      <c r="V144"/>
    </row>
    <row r="145" spans="1:22" ht="15.75">
      <c r="A145" s="286">
        <v>51</v>
      </c>
      <c r="B145" s="344">
        <v>1</v>
      </c>
      <c r="D145" s="286" t="s">
        <v>619</v>
      </c>
      <c r="E145" s="286" t="s">
        <v>654</v>
      </c>
      <c r="F145" s="286" t="s">
        <v>621</v>
      </c>
      <c r="G145" s="286">
        <v>27</v>
      </c>
      <c r="H145" s="290">
        <v>41704.909999999996</v>
      </c>
      <c r="I145" s="290">
        <v>1678.47</v>
      </c>
      <c r="K145" s="314">
        <v>133</v>
      </c>
      <c r="L145" s="286" t="s">
        <v>862</v>
      </c>
      <c r="M145" s="286">
        <v>22</v>
      </c>
      <c r="N145" s="290">
        <v>6011.7699999999995</v>
      </c>
      <c r="O145" s="290">
        <v>434</v>
      </c>
      <c r="P145" s="329"/>
      <c r="R145"/>
      <c r="S145"/>
      <c r="T145"/>
      <c r="U145"/>
      <c r="V145"/>
    </row>
    <row r="146" spans="1:22" ht="15.75">
      <c r="A146" s="286">
        <v>51</v>
      </c>
      <c r="B146" s="344">
        <v>1</v>
      </c>
      <c r="D146" s="286" t="s">
        <v>619</v>
      </c>
      <c r="E146" s="286" t="s">
        <v>654</v>
      </c>
      <c r="F146" s="286" t="s">
        <v>599</v>
      </c>
      <c r="H146" s="290"/>
      <c r="I146" s="290"/>
      <c r="K146" s="314">
        <v>134</v>
      </c>
      <c r="L146" s="286" t="s">
        <v>863</v>
      </c>
      <c r="M146" s="286">
        <v>26</v>
      </c>
      <c r="N146" s="290">
        <v>7876.4899999999989</v>
      </c>
      <c r="O146" s="290">
        <v>520.04999999999995</v>
      </c>
      <c r="P146" s="329"/>
      <c r="R146"/>
      <c r="S146"/>
      <c r="T146"/>
      <c r="U146"/>
      <c r="V146"/>
    </row>
    <row r="147" spans="1:22" ht="15.75">
      <c r="A147" s="286">
        <v>51</v>
      </c>
      <c r="B147" s="344">
        <v>1</v>
      </c>
      <c r="D147" s="286" t="s">
        <v>619</v>
      </c>
      <c r="E147" s="286" t="s">
        <v>654</v>
      </c>
      <c r="F147" s="286" t="s">
        <v>601</v>
      </c>
      <c r="H147" s="290"/>
      <c r="I147" s="290"/>
      <c r="K147" s="314">
        <v>135</v>
      </c>
      <c r="L147" s="286" t="s">
        <v>864</v>
      </c>
      <c r="M147" s="286">
        <v>26</v>
      </c>
      <c r="N147" s="290">
        <v>7876.4599999999973</v>
      </c>
      <c r="O147" s="290">
        <v>520.02</v>
      </c>
      <c r="P147" s="329"/>
      <c r="R147"/>
      <c r="S147"/>
      <c r="T147"/>
      <c r="U147"/>
      <c r="V147"/>
    </row>
    <row r="148" spans="1:22" ht="15.75">
      <c r="A148" s="286">
        <v>51</v>
      </c>
      <c r="B148" s="344">
        <v>1</v>
      </c>
      <c r="D148" s="286" t="s">
        <v>619</v>
      </c>
      <c r="E148" s="286" t="s">
        <v>654</v>
      </c>
      <c r="F148" s="286" t="s">
        <v>627</v>
      </c>
      <c r="H148" s="290">
        <v>3210.4</v>
      </c>
      <c r="I148" s="290">
        <v>128</v>
      </c>
      <c r="K148" s="314">
        <v>136</v>
      </c>
      <c r="L148" s="286" t="s">
        <v>865</v>
      </c>
      <c r="M148" s="286">
        <v>26</v>
      </c>
      <c r="N148" s="290">
        <v>7876.4699999999993</v>
      </c>
      <c r="O148" s="290">
        <v>520.01</v>
      </c>
      <c r="P148" s="329"/>
      <c r="R148"/>
      <c r="S148"/>
      <c r="T148"/>
      <c r="U148"/>
      <c r="V148"/>
    </row>
    <row r="149" spans="1:22" ht="15.75">
      <c r="A149" s="286">
        <v>51</v>
      </c>
      <c r="B149" s="344">
        <v>1</v>
      </c>
      <c r="D149" s="286" t="s">
        <v>619</v>
      </c>
      <c r="E149" s="286" t="s">
        <v>654</v>
      </c>
      <c r="F149" s="286" t="s">
        <v>630</v>
      </c>
      <c r="H149" s="290">
        <v>4040.6400000000012</v>
      </c>
      <c r="I149" s="290">
        <v>160</v>
      </c>
      <c r="K149" s="314">
        <v>137</v>
      </c>
      <c r="L149" s="286" t="s">
        <v>866</v>
      </c>
      <c r="M149" s="286">
        <v>26</v>
      </c>
      <c r="N149" s="290">
        <v>8843.8800000000047</v>
      </c>
      <c r="O149" s="290">
        <v>514</v>
      </c>
      <c r="P149" s="329"/>
      <c r="R149"/>
      <c r="S149"/>
      <c r="T149"/>
      <c r="U149"/>
      <c r="V149"/>
    </row>
    <row r="150" spans="1:22" ht="15.75">
      <c r="A150" s="286">
        <v>51</v>
      </c>
      <c r="B150" s="344">
        <v>1</v>
      </c>
      <c r="D150" s="286" t="s">
        <v>619</v>
      </c>
      <c r="E150" s="286" t="s">
        <v>654</v>
      </c>
      <c r="F150" s="286" t="s">
        <v>633</v>
      </c>
      <c r="H150" s="290">
        <v>2598.7200000000007</v>
      </c>
      <c r="I150" s="290">
        <v>104</v>
      </c>
      <c r="K150" s="314">
        <v>138</v>
      </c>
      <c r="L150" s="286" t="s">
        <v>867</v>
      </c>
      <c r="M150" s="286">
        <v>26</v>
      </c>
      <c r="N150" s="290">
        <v>13136.059999999998</v>
      </c>
      <c r="O150" s="290">
        <v>258</v>
      </c>
      <c r="P150" s="329"/>
      <c r="R150"/>
      <c r="S150"/>
      <c r="T150"/>
      <c r="U150"/>
      <c r="V150"/>
    </row>
    <row r="151" spans="1:22" ht="16.5" thickBot="1">
      <c r="A151" s="286">
        <v>51</v>
      </c>
      <c r="B151" s="344">
        <v>1</v>
      </c>
      <c r="D151" s="286" t="s">
        <v>619</v>
      </c>
      <c r="E151" s="286" t="s">
        <v>654</v>
      </c>
      <c r="F151" s="286" t="s">
        <v>634</v>
      </c>
      <c r="H151" s="290">
        <v>383.68</v>
      </c>
      <c r="I151" s="290">
        <v>16</v>
      </c>
      <c r="K151" s="347">
        <v>139</v>
      </c>
      <c r="L151" s="320" t="s">
        <v>868</v>
      </c>
      <c r="M151" s="320">
        <v>27</v>
      </c>
      <c r="N151" s="349">
        <v>47701.19999999999</v>
      </c>
      <c r="O151" s="349">
        <v>2080</v>
      </c>
      <c r="P151" s="321"/>
      <c r="R151"/>
      <c r="S151"/>
      <c r="T151"/>
      <c r="U151"/>
      <c r="V151"/>
    </row>
    <row r="152" spans="1:22" ht="15.75">
      <c r="A152" s="286">
        <v>51</v>
      </c>
      <c r="B152" s="344">
        <v>1</v>
      </c>
      <c r="D152" s="286" t="s">
        <v>619</v>
      </c>
      <c r="E152" s="286" t="s">
        <v>654</v>
      </c>
      <c r="F152" s="286" t="s">
        <v>611</v>
      </c>
      <c r="H152" s="290"/>
      <c r="I152" s="290"/>
      <c r="K152" s="286" t="s">
        <v>869</v>
      </c>
      <c r="N152" s="288">
        <f>SUM(N12:N151)</f>
        <v>2736688.5600000005</v>
      </c>
      <c r="O152" s="288">
        <f>SUM(O12:O151)</f>
        <v>109442.59999999999</v>
      </c>
      <c r="R152"/>
      <c r="S152"/>
      <c r="T152"/>
      <c r="U152"/>
      <c r="V152"/>
    </row>
    <row r="153" spans="1:22">
      <c r="A153" s="286">
        <v>51</v>
      </c>
      <c r="B153" s="344">
        <v>1</v>
      </c>
      <c r="D153" s="286" t="s">
        <v>619</v>
      </c>
      <c r="E153" s="286" t="s">
        <v>654</v>
      </c>
      <c r="F153" s="286" t="s">
        <v>623</v>
      </c>
      <c r="H153" s="290"/>
      <c r="I153" s="290"/>
    </row>
    <row r="154" spans="1:22">
      <c r="A154" s="286">
        <v>51</v>
      </c>
      <c r="B154" s="344">
        <v>1</v>
      </c>
      <c r="D154" s="286" t="s">
        <v>619</v>
      </c>
      <c r="E154" s="286" t="s">
        <v>654</v>
      </c>
      <c r="F154" s="286" t="s">
        <v>625</v>
      </c>
      <c r="H154" s="290"/>
      <c r="I154" s="290"/>
    </row>
    <row r="155" spans="1:22">
      <c r="A155" s="286">
        <v>51</v>
      </c>
      <c r="B155" s="344">
        <v>1</v>
      </c>
      <c r="D155" s="286" t="s">
        <v>619</v>
      </c>
      <c r="E155" s="286" t="s">
        <v>654</v>
      </c>
      <c r="F155" s="286" t="s">
        <v>629</v>
      </c>
      <c r="H155" s="290"/>
      <c r="I155" s="290"/>
    </row>
    <row r="156" spans="1:22">
      <c r="A156" s="286">
        <v>51</v>
      </c>
      <c r="B156" s="344">
        <v>1</v>
      </c>
      <c r="D156" s="286" t="s">
        <v>619</v>
      </c>
      <c r="E156" s="286" t="s">
        <v>654</v>
      </c>
      <c r="F156" s="286" t="s">
        <v>636</v>
      </c>
      <c r="H156" s="290">
        <v>133.66999999999999</v>
      </c>
      <c r="I156" s="290">
        <v>0</v>
      </c>
    </row>
    <row r="157" spans="1:22">
      <c r="A157" s="286">
        <v>51</v>
      </c>
      <c r="B157" s="344">
        <v>1</v>
      </c>
      <c r="D157" s="286" t="s">
        <v>619</v>
      </c>
      <c r="E157" s="286" t="s">
        <v>654</v>
      </c>
      <c r="F157" s="286" t="s">
        <v>632</v>
      </c>
      <c r="H157" s="290"/>
      <c r="I157" s="290"/>
    </row>
    <row r="158" spans="1:22">
      <c r="A158" s="286">
        <v>55</v>
      </c>
      <c r="B158" s="344">
        <v>1</v>
      </c>
      <c r="D158" s="286" t="s">
        <v>619</v>
      </c>
      <c r="E158" s="286" t="s">
        <v>659</v>
      </c>
      <c r="F158" s="286" t="s">
        <v>621</v>
      </c>
      <c r="G158" s="286">
        <v>27</v>
      </c>
      <c r="H158" s="290">
        <v>25733.710000000003</v>
      </c>
      <c r="I158" s="290">
        <v>1594.6000000000001</v>
      </c>
    </row>
    <row r="159" spans="1:22">
      <c r="A159" s="286">
        <v>55</v>
      </c>
      <c r="B159" s="344">
        <v>1</v>
      </c>
      <c r="D159" s="286" t="s">
        <v>619</v>
      </c>
      <c r="E159" s="286" t="s">
        <v>659</v>
      </c>
      <c r="F159" s="286" t="s">
        <v>605</v>
      </c>
      <c r="H159" s="290">
        <v>126.32</v>
      </c>
      <c r="I159" s="290">
        <v>8</v>
      </c>
    </row>
    <row r="160" spans="1:22">
      <c r="A160" s="286">
        <v>55</v>
      </c>
      <c r="B160" s="344">
        <v>1</v>
      </c>
      <c r="D160" s="286" t="s">
        <v>619</v>
      </c>
      <c r="E160" s="286" t="s">
        <v>659</v>
      </c>
      <c r="F160" s="286" t="s">
        <v>627</v>
      </c>
      <c r="H160" s="290">
        <v>1777.4399999999998</v>
      </c>
      <c r="I160" s="290">
        <v>112</v>
      </c>
    </row>
    <row r="161" spans="1:9">
      <c r="A161" s="286">
        <v>55</v>
      </c>
      <c r="B161" s="344">
        <v>1</v>
      </c>
      <c r="D161" s="286" t="s">
        <v>619</v>
      </c>
      <c r="E161" s="286" t="s">
        <v>659</v>
      </c>
      <c r="F161" s="286" t="s">
        <v>630</v>
      </c>
      <c r="H161" s="290">
        <v>3475.89</v>
      </c>
      <c r="I161" s="290">
        <v>213.5</v>
      </c>
    </row>
    <row r="162" spans="1:9">
      <c r="A162" s="286">
        <v>55</v>
      </c>
      <c r="B162" s="344">
        <v>1</v>
      </c>
      <c r="D162" s="286" t="s">
        <v>619</v>
      </c>
      <c r="E162" s="286" t="s">
        <v>659</v>
      </c>
      <c r="F162" s="286" t="s">
        <v>633</v>
      </c>
      <c r="H162" s="290">
        <v>1813.2799999999995</v>
      </c>
      <c r="I162" s="290">
        <v>112</v>
      </c>
    </row>
    <row r="163" spans="1:9">
      <c r="A163" s="286">
        <v>55</v>
      </c>
      <c r="B163" s="344">
        <v>1</v>
      </c>
      <c r="D163" s="286" t="s">
        <v>619</v>
      </c>
      <c r="E163" s="286" t="s">
        <v>659</v>
      </c>
      <c r="F163" s="286" t="s">
        <v>634</v>
      </c>
      <c r="H163" s="290">
        <v>380.74</v>
      </c>
      <c r="I163" s="290">
        <v>23.9</v>
      </c>
    </row>
    <row r="164" spans="1:9">
      <c r="A164" s="286">
        <v>55</v>
      </c>
      <c r="B164" s="344">
        <v>1</v>
      </c>
      <c r="D164" s="286" t="s">
        <v>619</v>
      </c>
      <c r="E164" s="286" t="s">
        <v>659</v>
      </c>
      <c r="F164" s="286" t="s">
        <v>623</v>
      </c>
      <c r="H164" s="290"/>
      <c r="I164" s="290"/>
    </row>
    <row r="165" spans="1:9">
      <c r="A165" s="286">
        <v>55</v>
      </c>
      <c r="B165" s="344">
        <v>1</v>
      </c>
      <c r="D165" s="286" t="s">
        <v>619</v>
      </c>
      <c r="E165" s="286" t="s">
        <v>659</v>
      </c>
      <c r="F165" s="286" t="s">
        <v>625</v>
      </c>
      <c r="H165" s="290"/>
      <c r="I165" s="290"/>
    </row>
    <row r="166" spans="1:9">
      <c r="A166" s="286">
        <v>55</v>
      </c>
      <c r="B166" s="344">
        <v>1</v>
      </c>
      <c r="D166" s="286" t="s">
        <v>619</v>
      </c>
      <c r="E166" s="286" t="s">
        <v>659</v>
      </c>
      <c r="F166" s="286" t="s">
        <v>636</v>
      </c>
      <c r="H166" s="290">
        <v>126.32</v>
      </c>
      <c r="I166" s="290">
        <v>0</v>
      </c>
    </row>
    <row r="167" spans="1:9">
      <c r="A167" s="286">
        <v>55</v>
      </c>
      <c r="B167" s="344">
        <v>1</v>
      </c>
      <c r="D167" s="286" t="s">
        <v>619</v>
      </c>
      <c r="E167" s="286" t="s">
        <v>659</v>
      </c>
      <c r="F167" s="286" t="s">
        <v>632</v>
      </c>
      <c r="H167" s="290"/>
      <c r="I167" s="290"/>
    </row>
    <row r="168" spans="1:9">
      <c r="A168" s="286">
        <v>60</v>
      </c>
      <c r="B168" s="344">
        <v>1</v>
      </c>
      <c r="D168" s="286" t="s">
        <v>597</v>
      </c>
      <c r="E168" s="286" t="s">
        <v>667</v>
      </c>
      <c r="F168" s="286" t="s">
        <v>621</v>
      </c>
      <c r="G168" s="286">
        <v>27</v>
      </c>
      <c r="H168" s="290">
        <v>40211.159999999989</v>
      </c>
      <c r="I168" s="290">
        <v>1673.3000000000002</v>
      </c>
    </row>
    <row r="169" spans="1:9">
      <c r="A169" s="286">
        <v>60</v>
      </c>
      <c r="B169" s="344">
        <v>1</v>
      </c>
      <c r="D169" s="286" t="s">
        <v>597</v>
      </c>
      <c r="E169" s="286" t="s">
        <v>667</v>
      </c>
      <c r="F169" s="286" t="s">
        <v>622</v>
      </c>
      <c r="H169" s="290">
        <v>470.8</v>
      </c>
      <c r="I169" s="290">
        <v>20</v>
      </c>
    </row>
    <row r="170" spans="1:9">
      <c r="A170" s="286">
        <v>60</v>
      </c>
      <c r="B170" s="344">
        <v>1</v>
      </c>
      <c r="D170" s="286" t="s">
        <v>597</v>
      </c>
      <c r="E170" s="286" t="s">
        <v>667</v>
      </c>
      <c r="F170" s="286" t="s">
        <v>599</v>
      </c>
      <c r="H170" s="290"/>
      <c r="I170" s="290"/>
    </row>
    <row r="171" spans="1:9">
      <c r="A171" s="286">
        <v>60</v>
      </c>
      <c r="B171" s="344">
        <v>1</v>
      </c>
      <c r="D171" s="286" t="s">
        <v>597</v>
      </c>
      <c r="E171" s="286" t="s">
        <v>667</v>
      </c>
      <c r="F171" s="286" t="s">
        <v>601</v>
      </c>
      <c r="H171" s="290"/>
      <c r="I171" s="290"/>
    </row>
    <row r="172" spans="1:9">
      <c r="A172" s="286">
        <v>60</v>
      </c>
      <c r="B172" s="344">
        <v>1</v>
      </c>
      <c r="D172" s="286" t="s">
        <v>597</v>
      </c>
      <c r="E172" s="286" t="s">
        <v>667</v>
      </c>
      <c r="F172" s="286" t="s">
        <v>627</v>
      </c>
      <c r="H172" s="290">
        <v>3384.1599999999994</v>
      </c>
      <c r="I172" s="290">
        <v>140.30000000000001</v>
      </c>
    </row>
    <row r="173" spans="1:9">
      <c r="A173" s="286">
        <v>60</v>
      </c>
      <c r="B173" s="344">
        <v>1</v>
      </c>
      <c r="D173" s="286" t="s">
        <v>597</v>
      </c>
      <c r="E173" s="286" t="s">
        <v>667</v>
      </c>
      <c r="F173" s="286" t="s">
        <v>630</v>
      </c>
      <c r="H173" s="290">
        <v>2325.9499999999998</v>
      </c>
      <c r="I173" s="290">
        <v>97.100000000000009</v>
      </c>
    </row>
    <row r="174" spans="1:9">
      <c r="A174" s="286">
        <v>60</v>
      </c>
      <c r="B174" s="344">
        <v>1</v>
      </c>
      <c r="D174" s="286" t="s">
        <v>597</v>
      </c>
      <c r="E174" s="286" t="s">
        <v>667</v>
      </c>
      <c r="F174" s="286" t="s">
        <v>631</v>
      </c>
      <c r="H174" s="290">
        <v>94.16</v>
      </c>
      <c r="I174" s="290">
        <v>4</v>
      </c>
    </row>
    <row r="175" spans="1:9">
      <c r="A175" s="286">
        <v>60</v>
      </c>
      <c r="B175" s="344">
        <v>1</v>
      </c>
      <c r="D175" s="286" t="s">
        <v>597</v>
      </c>
      <c r="E175" s="286" t="s">
        <v>667</v>
      </c>
      <c r="F175" s="286" t="s">
        <v>633</v>
      </c>
      <c r="H175" s="290">
        <v>2694.88</v>
      </c>
      <c r="I175" s="290">
        <v>112</v>
      </c>
    </row>
    <row r="176" spans="1:9">
      <c r="A176" s="286">
        <v>60</v>
      </c>
      <c r="B176" s="344">
        <v>1</v>
      </c>
      <c r="D176" s="286" t="s">
        <v>597</v>
      </c>
      <c r="E176" s="286" t="s">
        <v>667</v>
      </c>
      <c r="F176" s="286" t="s">
        <v>634</v>
      </c>
      <c r="H176" s="290">
        <v>696.55000000000007</v>
      </c>
      <c r="I176" s="290">
        <v>29.299999999999997</v>
      </c>
    </row>
    <row r="177" spans="1:9">
      <c r="A177" s="286">
        <v>60</v>
      </c>
      <c r="B177" s="344">
        <v>1</v>
      </c>
      <c r="D177" s="286" t="s">
        <v>597</v>
      </c>
      <c r="E177" s="286" t="s">
        <v>667</v>
      </c>
      <c r="F177" s="286" t="s">
        <v>623</v>
      </c>
      <c r="H177" s="290"/>
      <c r="I177" s="290"/>
    </row>
    <row r="178" spans="1:9">
      <c r="A178" s="286">
        <v>60</v>
      </c>
      <c r="B178" s="344">
        <v>1</v>
      </c>
      <c r="D178" s="286" t="s">
        <v>597</v>
      </c>
      <c r="E178" s="286" t="s">
        <v>667</v>
      </c>
      <c r="F178" s="286" t="s">
        <v>625</v>
      </c>
      <c r="H178" s="290"/>
      <c r="I178" s="290"/>
    </row>
    <row r="179" spans="1:9">
      <c r="A179" s="286">
        <v>60</v>
      </c>
      <c r="B179" s="344">
        <v>1</v>
      </c>
      <c r="D179" s="286" t="s">
        <v>597</v>
      </c>
      <c r="E179" s="286" t="s">
        <v>667</v>
      </c>
      <c r="F179" s="286" t="s">
        <v>629</v>
      </c>
      <c r="H179" s="290"/>
      <c r="I179" s="290"/>
    </row>
    <row r="180" spans="1:9">
      <c r="A180" s="286">
        <v>60</v>
      </c>
      <c r="B180" s="344">
        <v>1</v>
      </c>
      <c r="D180" s="286" t="s">
        <v>597</v>
      </c>
      <c r="E180" s="286" t="s">
        <v>667</v>
      </c>
      <c r="F180" s="286" t="s">
        <v>632</v>
      </c>
      <c r="H180" s="290"/>
      <c r="I180" s="290"/>
    </row>
    <row r="181" spans="1:9">
      <c r="A181" s="286">
        <v>62</v>
      </c>
      <c r="B181" s="344">
        <v>1</v>
      </c>
      <c r="D181" s="286" t="s">
        <v>619</v>
      </c>
      <c r="E181" s="286" t="s">
        <v>668</v>
      </c>
      <c r="F181" s="286" t="s">
        <v>621</v>
      </c>
      <c r="G181" s="286">
        <v>27</v>
      </c>
      <c r="H181" s="290">
        <v>37455.390000000007</v>
      </c>
      <c r="I181" s="290">
        <v>1581</v>
      </c>
    </row>
    <row r="182" spans="1:9">
      <c r="A182" s="286">
        <v>62</v>
      </c>
      <c r="B182" s="344">
        <v>1</v>
      </c>
      <c r="D182" s="286" t="s">
        <v>619</v>
      </c>
      <c r="E182" s="286" t="s">
        <v>668</v>
      </c>
      <c r="F182" s="286" t="s">
        <v>599</v>
      </c>
      <c r="H182" s="290"/>
      <c r="I182" s="290"/>
    </row>
    <row r="183" spans="1:9">
      <c r="A183" s="286">
        <v>62</v>
      </c>
      <c r="B183" s="344">
        <v>1</v>
      </c>
      <c r="D183" s="286" t="s">
        <v>619</v>
      </c>
      <c r="E183" s="286" t="s">
        <v>668</v>
      </c>
      <c r="F183" s="286" t="s">
        <v>601</v>
      </c>
      <c r="H183" s="290"/>
      <c r="I183" s="290"/>
    </row>
    <row r="184" spans="1:9">
      <c r="A184" s="286">
        <v>62</v>
      </c>
      <c r="B184" s="344">
        <v>1</v>
      </c>
      <c r="D184" s="286" t="s">
        <v>619</v>
      </c>
      <c r="E184" s="286" t="s">
        <v>668</v>
      </c>
      <c r="F184" s="286" t="s">
        <v>627</v>
      </c>
      <c r="H184" s="290">
        <v>4183.12</v>
      </c>
      <c r="I184" s="290">
        <v>176.4</v>
      </c>
    </row>
    <row r="185" spans="1:9">
      <c r="A185" s="286">
        <v>62</v>
      </c>
      <c r="B185" s="344">
        <v>1</v>
      </c>
      <c r="D185" s="286" t="s">
        <v>619</v>
      </c>
      <c r="E185" s="286" t="s">
        <v>668</v>
      </c>
      <c r="F185" s="286" t="s">
        <v>630</v>
      </c>
      <c r="H185" s="290">
        <v>2680.5800000000004</v>
      </c>
      <c r="I185" s="290">
        <v>113.6</v>
      </c>
    </row>
    <row r="186" spans="1:9">
      <c r="A186" s="286">
        <v>62</v>
      </c>
      <c r="B186" s="344">
        <v>1</v>
      </c>
      <c r="D186" s="286" t="s">
        <v>619</v>
      </c>
      <c r="E186" s="286" t="s">
        <v>668</v>
      </c>
      <c r="F186" s="286" t="s">
        <v>633</v>
      </c>
      <c r="H186" s="290">
        <v>2663.2799999999997</v>
      </c>
      <c r="I186" s="290">
        <v>112</v>
      </c>
    </row>
    <row r="187" spans="1:9">
      <c r="A187" s="286">
        <v>62</v>
      </c>
      <c r="B187" s="344">
        <v>1</v>
      </c>
      <c r="D187" s="286" t="s">
        <v>619</v>
      </c>
      <c r="E187" s="286" t="s">
        <v>668</v>
      </c>
      <c r="F187" s="286" t="s">
        <v>604</v>
      </c>
      <c r="H187" s="290"/>
      <c r="I187" s="290"/>
    </row>
    <row r="188" spans="1:9">
      <c r="A188" s="286">
        <v>62</v>
      </c>
      <c r="B188" s="344">
        <v>1</v>
      </c>
      <c r="D188" s="286" t="s">
        <v>619</v>
      </c>
      <c r="E188" s="286" t="s">
        <v>668</v>
      </c>
      <c r="F188" s="286" t="s">
        <v>634</v>
      </c>
      <c r="H188" s="290">
        <v>871.23</v>
      </c>
      <c r="I188" s="290">
        <v>37</v>
      </c>
    </row>
    <row r="189" spans="1:9">
      <c r="A189" s="286">
        <v>62</v>
      </c>
      <c r="B189" s="344">
        <v>1</v>
      </c>
      <c r="D189" s="286" t="s">
        <v>619</v>
      </c>
      <c r="E189" s="286" t="s">
        <v>668</v>
      </c>
      <c r="F189" s="286" t="s">
        <v>655</v>
      </c>
      <c r="H189" s="290">
        <v>185.52</v>
      </c>
      <c r="I189" s="290">
        <v>4</v>
      </c>
    </row>
    <row r="190" spans="1:9">
      <c r="A190" s="286">
        <v>62</v>
      </c>
      <c r="B190" s="344">
        <v>1</v>
      </c>
      <c r="D190" s="286" t="s">
        <v>619</v>
      </c>
      <c r="E190" s="286" t="s">
        <v>668</v>
      </c>
      <c r="F190" s="286" t="s">
        <v>623</v>
      </c>
      <c r="H190" s="290"/>
      <c r="I190" s="290"/>
    </row>
    <row r="191" spans="1:9">
      <c r="A191" s="286">
        <v>62</v>
      </c>
      <c r="B191" s="344">
        <v>1</v>
      </c>
      <c r="D191" s="286" t="s">
        <v>619</v>
      </c>
      <c r="E191" s="286" t="s">
        <v>668</v>
      </c>
      <c r="F191" s="286" t="s">
        <v>625</v>
      </c>
      <c r="H191" s="290"/>
      <c r="I191" s="290"/>
    </row>
    <row r="192" spans="1:9">
      <c r="A192" s="286">
        <v>62</v>
      </c>
      <c r="B192" s="344">
        <v>1</v>
      </c>
      <c r="D192" s="286" t="s">
        <v>619</v>
      </c>
      <c r="E192" s="286" t="s">
        <v>668</v>
      </c>
      <c r="F192" s="286" t="s">
        <v>629</v>
      </c>
      <c r="H192" s="290"/>
      <c r="I192" s="290"/>
    </row>
    <row r="193" spans="1:9">
      <c r="A193" s="286">
        <v>62</v>
      </c>
      <c r="B193" s="344">
        <v>1</v>
      </c>
      <c r="D193" s="286" t="s">
        <v>619</v>
      </c>
      <c r="E193" s="286" t="s">
        <v>668</v>
      </c>
      <c r="F193" s="286" t="s">
        <v>632</v>
      </c>
      <c r="H193" s="290"/>
      <c r="I193" s="290"/>
    </row>
    <row r="194" spans="1:9">
      <c r="A194" s="286">
        <v>63</v>
      </c>
      <c r="B194" s="344">
        <v>1</v>
      </c>
      <c r="D194" s="286" t="s">
        <v>619</v>
      </c>
      <c r="E194" s="286" t="s">
        <v>654</v>
      </c>
      <c r="F194" s="286" t="s">
        <v>621</v>
      </c>
      <c r="G194" s="286">
        <v>27</v>
      </c>
      <c r="H194" s="290">
        <v>38188.11</v>
      </c>
      <c r="I194" s="290">
        <v>1595.4</v>
      </c>
    </row>
    <row r="195" spans="1:9">
      <c r="A195" s="286">
        <v>63</v>
      </c>
      <c r="B195" s="344">
        <v>1</v>
      </c>
      <c r="D195" s="286" t="s">
        <v>619</v>
      </c>
      <c r="E195" s="286" t="s">
        <v>654</v>
      </c>
      <c r="F195" s="286" t="s">
        <v>599</v>
      </c>
      <c r="H195" s="290"/>
      <c r="I195" s="290"/>
    </row>
    <row r="196" spans="1:9">
      <c r="A196" s="286">
        <v>63</v>
      </c>
      <c r="B196" s="344">
        <v>1</v>
      </c>
      <c r="D196" s="286" t="s">
        <v>619</v>
      </c>
      <c r="E196" s="286" t="s">
        <v>654</v>
      </c>
      <c r="F196" s="286" t="s">
        <v>601</v>
      </c>
      <c r="H196" s="290"/>
      <c r="I196" s="290"/>
    </row>
    <row r="197" spans="1:9">
      <c r="A197" s="286">
        <v>63</v>
      </c>
      <c r="B197" s="344">
        <v>1</v>
      </c>
      <c r="D197" s="286" t="s">
        <v>619</v>
      </c>
      <c r="E197" s="286" t="s">
        <v>654</v>
      </c>
      <c r="F197" s="286" t="s">
        <v>627</v>
      </c>
      <c r="H197" s="290">
        <v>5070.8799999999992</v>
      </c>
      <c r="I197" s="290">
        <v>208</v>
      </c>
    </row>
    <row r="198" spans="1:9">
      <c r="A198" s="286">
        <v>63</v>
      </c>
      <c r="B198" s="344">
        <v>1</v>
      </c>
      <c r="D198" s="286" t="s">
        <v>619</v>
      </c>
      <c r="E198" s="286" t="s">
        <v>654</v>
      </c>
      <c r="F198" s="286" t="s">
        <v>630</v>
      </c>
      <c r="H198" s="290">
        <v>2677.25</v>
      </c>
      <c r="I198" s="290">
        <v>112.6</v>
      </c>
    </row>
    <row r="199" spans="1:9">
      <c r="A199" s="286">
        <v>63</v>
      </c>
      <c r="B199" s="344">
        <v>1</v>
      </c>
      <c r="D199" s="286" t="s">
        <v>619</v>
      </c>
      <c r="E199" s="286" t="s">
        <v>654</v>
      </c>
      <c r="F199" s="286" t="s">
        <v>633</v>
      </c>
      <c r="H199" s="290">
        <v>2696.56</v>
      </c>
      <c r="I199" s="290">
        <v>112</v>
      </c>
    </row>
    <row r="200" spans="1:9">
      <c r="A200" s="286">
        <v>63</v>
      </c>
      <c r="B200" s="344">
        <v>1</v>
      </c>
      <c r="D200" s="286" t="s">
        <v>619</v>
      </c>
      <c r="E200" s="286" t="s">
        <v>654</v>
      </c>
      <c r="F200" s="286" t="s">
        <v>604</v>
      </c>
      <c r="H200" s="290"/>
      <c r="I200" s="290"/>
    </row>
    <row r="201" spans="1:9">
      <c r="A201" s="286">
        <v>63</v>
      </c>
      <c r="B201" s="344">
        <v>1</v>
      </c>
      <c r="D201" s="286" t="s">
        <v>619</v>
      </c>
      <c r="E201" s="286" t="s">
        <v>654</v>
      </c>
      <c r="F201" s="286" t="s">
        <v>634</v>
      </c>
      <c r="H201" s="290">
        <v>389.03999999999996</v>
      </c>
      <c r="I201" s="290">
        <v>16</v>
      </c>
    </row>
    <row r="202" spans="1:9">
      <c r="A202" s="286">
        <v>63</v>
      </c>
      <c r="B202" s="344">
        <v>1</v>
      </c>
      <c r="D202" s="286" t="s">
        <v>619</v>
      </c>
      <c r="E202" s="286" t="s">
        <v>654</v>
      </c>
      <c r="F202" s="286" t="s">
        <v>655</v>
      </c>
      <c r="H202" s="290">
        <v>187.84</v>
      </c>
      <c r="I202" s="290">
        <v>4</v>
      </c>
    </row>
    <row r="203" spans="1:9">
      <c r="A203" s="286">
        <v>63</v>
      </c>
      <c r="B203" s="344">
        <v>1</v>
      </c>
      <c r="D203" s="286" t="s">
        <v>619</v>
      </c>
      <c r="E203" s="286" t="s">
        <v>654</v>
      </c>
      <c r="F203" s="286" t="s">
        <v>623</v>
      </c>
      <c r="H203" s="290"/>
      <c r="I203" s="290"/>
    </row>
    <row r="204" spans="1:9">
      <c r="A204" s="286">
        <v>63</v>
      </c>
      <c r="B204" s="344">
        <v>1</v>
      </c>
      <c r="D204" s="286" t="s">
        <v>619</v>
      </c>
      <c r="E204" s="286" t="s">
        <v>654</v>
      </c>
      <c r="F204" s="286" t="s">
        <v>625</v>
      </c>
      <c r="H204" s="290"/>
      <c r="I204" s="290"/>
    </row>
    <row r="205" spans="1:9">
      <c r="A205" s="286">
        <v>63</v>
      </c>
      <c r="B205" s="344">
        <v>1</v>
      </c>
      <c r="D205" s="286" t="s">
        <v>619</v>
      </c>
      <c r="E205" s="286" t="s">
        <v>654</v>
      </c>
      <c r="F205" s="286" t="s">
        <v>629</v>
      </c>
      <c r="H205" s="290"/>
      <c r="I205" s="290"/>
    </row>
    <row r="206" spans="1:9">
      <c r="A206" s="286">
        <v>63</v>
      </c>
      <c r="B206" s="344">
        <v>1</v>
      </c>
      <c r="D206" s="286" t="s">
        <v>619</v>
      </c>
      <c r="E206" s="286" t="s">
        <v>654</v>
      </c>
      <c r="F206" s="286" t="s">
        <v>632</v>
      </c>
      <c r="H206" s="290"/>
      <c r="I206" s="290"/>
    </row>
    <row r="207" spans="1:9">
      <c r="A207" s="286">
        <v>68</v>
      </c>
      <c r="B207" s="344">
        <v>1</v>
      </c>
      <c r="D207" s="286" t="s">
        <v>619</v>
      </c>
      <c r="E207" s="286" t="s">
        <v>670</v>
      </c>
      <c r="F207" s="286" t="s">
        <v>621</v>
      </c>
      <c r="G207" s="286">
        <v>27</v>
      </c>
      <c r="H207" s="290">
        <v>40442.519999999997</v>
      </c>
      <c r="I207" s="290">
        <v>1659.04</v>
      </c>
    </row>
    <row r="208" spans="1:9">
      <c r="A208" s="286">
        <v>68</v>
      </c>
      <c r="B208" s="344">
        <v>1</v>
      </c>
      <c r="D208" s="286" t="s">
        <v>619</v>
      </c>
      <c r="E208" s="286" t="s">
        <v>670</v>
      </c>
      <c r="F208" s="286" t="s">
        <v>599</v>
      </c>
      <c r="H208" s="290"/>
      <c r="I208" s="290"/>
    </row>
    <row r="209" spans="1:9">
      <c r="A209" s="286">
        <v>68</v>
      </c>
      <c r="B209" s="344">
        <v>1</v>
      </c>
      <c r="D209" s="286" t="s">
        <v>619</v>
      </c>
      <c r="E209" s="286" t="s">
        <v>670</v>
      </c>
      <c r="F209" s="286" t="s">
        <v>601</v>
      </c>
      <c r="H209" s="290"/>
      <c r="I209" s="290"/>
    </row>
    <row r="210" spans="1:9">
      <c r="A210" s="286">
        <v>68</v>
      </c>
      <c r="B210" s="344">
        <v>1</v>
      </c>
      <c r="D210" s="286" t="s">
        <v>619</v>
      </c>
      <c r="E210" s="286" t="s">
        <v>670</v>
      </c>
      <c r="F210" s="286" t="s">
        <v>627</v>
      </c>
      <c r="H210" s="290">
        <v>5039.32</v>
      </c>
      <c r="I210" s="290">
        <v>208</v>
      </c>
    </row>
    <row r="211" spans="1:9">
      <c r="A211" s="286">
        <v>68</v>
      </c>
      <c r="B211" s="344">
        <v>1</v>
      </c>
      <c r="D211" s="286" t="s">
        <v>619</v>
      </c>
      <c r="E211" s="286" t="s">
        <v>670</v>
      </c>
      <c r="F211" s="286" t="s">
        <v>630</v>
      </c>
      <c r="H211" s="290">
        <v>1707.26</v>
      </c>
      <c r="I211" s="290">
        <v>68.13</v>
      </c>
    </row>
    <row r="212" spans="1:9">
      <c r="A212" s="286">
        <v>68</v>
      </c>
      <c r="B212" s="344">
        <v>1</v>
      </c>
      <c r="D212" s="286" t="s">
        <v>619</v>
      </c>
      <c r="E212" s="286" t="s">
        <v>670</v>
      </c>
      <c r="F212" s="286" t="s">
        <v>633</v>
      </c>
      <c r="H212" s="290">
        <v>2741.04</v>
      </c>
      <c r="I212" s="290">
        <v>112</v>
      </c>
    </row>
    <row r="213" spans="1:9">
      <c r="A213" s="286">
        <v>68</v>
      </c>
      <c r="B213" s="344">
        <v>1</v>
      </c>
      <c r="D213" s="286" t="s">
        <v>619</v>
      </c>
      <c r="E213" s="286" t="s">
        <v>670</v>
      </c>
      <c r="F213" s="286" t="s">
        <v>634</v>
      </c>
      <c r="H213" s="290">
        <v>610.1</v>
      </c>
      <c r="I213" s="290">
        <v>24.83</v>
      </c>
    </row>
    <row r="214" spans="1:9">
      <c r="A214" s="286">
        <v>68</v>
      </c>
      <c r="B214" s="344">
        <v>1</v>
      </c>
      <c r="D214" s="286" t="s">
        <v>619</v>
      </c>
      <c r="E214" s="286" t="s">
        <v>670</v>
      </c>
      <c r="F214" s="286" t="s">
        <v>623</v>
      </c>
      <c r="H214" s="290"/>
      <c r="I214" s="290"/>
    </row>
    <row r="215" spans="1:9">
      <c r="A215" s="286">
        <v>68</v>
      </c>
      <c r="B215" s="344">
        <v>1</v>
      </c>
      <c r="D215" s="286" t="s">
        <v>619</v>
      </c>
      <c r="E215" s="286" t="s">
        <v>670</v>
      </c>
      <c r="F215" s="286" t="s">
        <v>625</v>
      </c>
      <c r="H215" s="290"/>
      <c r="I215" s="290"/>
    </row>
    <row r="216" spans="1:9">
      <c r="A216" s="286">
        <v>68</v>
      </c>
      <c r="B216" s="344">
        <v>1</v>
      </c>
      <c r="D216" s="286" t="s">
        <v>619</v>
      </c>
      <c r="E216" s="286" t="s">
        <v>670</v>
      </c>
      <c r="F216" s="286" t="s">
        <v>661</v>
      </c>
      <c r="H216" s="290">
        <v>190.96</v>
      </c>
      <c r="I216" s="290">
        <v>8</v>
      </c>
    </row>
    <row r="217" spans="1:9">
      <c r="A217" s="286">
        <v>68</v>
      </c>
      <c r="B217" s="344">
        <v>1</v>
      </c>
      <c r="D217" s="286" t="s">
        <v>619</v>
      </c>
      <c r="E217" s="286" t="s">
        <v>670</v>
      </c>
      <c r="F217" s="286" t="s">
        <v>632</v>
      </c>
      <c r="H217" s="290"/>
      <c r="I217" s="290"/>
    </row>
    <row r="218" spans="1:9">
      <c r="A218" s="286">
        <v>77</v>
      </c>
      <c r="B218" s="344">
        <v>1</v>
      </c>
      <c r="D218" s="286" t="s">
        <v>619</v>
      </c>
      <c r="E218" s="286" t="s">
        <v>620</v>
      </c>
      <c r="F218" s="286" t="s">
        <v>621</v>
      </c>
      <c r="G218" s="286">
        <v>27</v>
      </c>
      <c r="H218" s="290">
        <v>36870.44</v>
      </c>
      <c r="I218" s="290">
        <v>1619.1</v>
      </c>
    </row>
    <row r="219" spans="1:9">
      <c r="A219" s="286">
        <v>77</v>
      </c>
      <c r="B219" s="344">
        <v>1</v>
      </c>
      <c r="D219" s="286" t="s">
        <v>619</v>
      </c>
      <c r="E219" s="286" t="s">
        <v>620</v>
      </c>
      <c r="F219" s="286" t="s">
        <v>622</v>
      </c>
      <c r="H219" s="290">
        <v>2848.7200000000003</v>
      </c>
      <c r="I219" s="290">
        <v>116</v>
      </c>
    </row>
    <row r="220" spans="1:9">
      <c r="A220" s="286">
        <v>77</v>
      </c>
      <c r="B220" s="344">
        <v>1</v>
      </c>
      <c r="D220" s="286" t="s">
        <v>619</v>
      </c>
      <c r="E220" s="286" t="s">
        <v>620</v>
      </c>
      <c r="F220" s="286" t="s">
        <v>599</v>
      </c>
      <c r="H220" s="290"/>
      <c r="I220" s="290"/>
    </row>
    <row r="221" spans="1:9">
      <c r="A221" s="286">
        <v>77</v>
      </c>
      <c r="B221" s="344">
        <v>1</v>
      </c>
      <c r="D221" s="286" t="s">
        <v>619</v>
      </c>
      <c r="E221" s="286" t="s">
        <v>620</v>
      </c>
      <c r="F221" s="286" t="s">
        <v>601</v>
      </c>
      <c r="H221" s="290"/>
      <c r="I221" s="290"/>
    </row>
    <row r="222" spans="1:9">
      <c r="A222" s="286">
        <v>77</v>
      </c>
      <c r="B222" s="344">
        <v>1</v>
      </c>
      <c r="D222" s="286" t="s">
        <v>619</v>
      </c>
      <c r="E222" s="286" t="s">
        <v>620</v>
      </c>
      <c r="F222" s="286" t="s">
        <v>603</v>
      </c>
      <c r="H222" s="290"/>
      <c r="I222" s="290"/>
    </row>
    <row r="223" spans="1:9">
      <c r="A223" s="286">
        <v>77</v>
      </c>
      <c r="B223" s="344">
        <v>1</v>
      </c>
      <c r="D223" s="286" t="s">
        <v>619</v>
      </c>
      <c r="E223" s="286" t="s">
        <v>620</v>
      </c>
      <c r="F223" s="286" t="s">
        <v>627</v>
      </c>
      <c r="H223" s="290">
        <v>2155.1999999999998</v>
      </c>
      <c r="I223" s="290">
        <v>96</v>
      </c>
    </row>
    <row r="224" spans="1:9">
      <c r="A224" s="286">
        <v>77</v>
      </c>
      <c r="B224" s="344">
        <v>1</v>
      </c>
      <c r="D224" s="286" t="s">
        <v>619</v>
      </c>
      <c r="E224" s="286" t="s">
        <v>620</v>
      </c>
      <c r="F224" s="286" t="s">
        <v>630</v>
      </c>
      <c r="H224" s="290">
        <v>2751.3599999999997</v>
      </c>
      <c r="I224" s="290">
        <v>120</v>
      </c>
    </row>
    <row r="225" spans="1:9">
      <c r="A225" s="286">
        <v>77</v>
      </c>
      <c r="B225" s="344">
        <v>1</v>
      </c>
      <c r="D225" s="286" t="s">
        <v>619</v>
      </c>
      <c r="E225" s="286" t="s">
        <v>620</v>
      </c>
      <c r="F225" s="286" t="s">
        <v>633</v>
      </c>
      <c r="H225" s="290">
        <v>2574.6400000000003</v>
      </c>
      <c r="I225" s="290">
        <v>112</v>
      </c>
    </row>
    <row r="226" spans="1:9">
      <c r="A226" s="286">
        <v>77</v>
      </c>
      <c r="B226" s="344">
        <v>1</v>
      </c>
      <c r="D226" s="286" t="s">
        <v>619</v>
      </c>
      <c r="E226" s="286" t="s">
        <v>620</v>
      </c>
      <c r="F226" s="286" t="s">
        <v>634</v>
      </c>
      <c r="H226" s="290">
        <v>353.44</v>
      </c>
      <c r="I226" s="290">
        <v>16</v>
      </c>
    </row>
    <row r="227" spans="1:9">
      <c r="A227" s="286">
        <v>77</v>
      </c>
      <c r="B227" s="344">
        <v>1</v>
      </c>
      <c r="D227" s="286" t="s">
        <v>619</v>
      </c>
      <c r="E227" s="286" t="s">
        <v>620</v>
      </c>
      <c r="F227" s="286" t="s">
        <v>623</v>
      </c>
      <c r="H227" s="290"/>
      <c r="I227" s="290"/>
    </row>
    <row r="228" spans="1:9">
      <c r="A228" s="286">
        <v>77</v>
      </c>
      <c r="B228" s="344">
        <v>1</v>
      </c>
      <c r="D228" s="286" t="s">
        <v>619</v>
      </c>
      <c r="E228" s="286" t="s">
        <v>620</v>
      </c>
      <c r="F228" s="286" t="s">
        <v>625</v>
      </c>
      <c r="H228" s="290"/>
      <c r="I228" s="290"/>
    </row>
    <row r="229" spans="1:9">
      <c r="A229" s="286">
        <v>77</v>
      </c>
      <c r="B229" s="344">
        <v>1</v>
      </c>
      <c r="D229" s="286" t="s">
        <v>619</v>
      </c>
      <c r="E229" s="286" t="s">
        <v>620</v>
      </c>
      <c r="F229" s="286" t="s">
        <v>629</v>
      </c>
      <c r="H229" s="290"/>
      <c r="I229" s="290"/>
    </row>
    <row r="230" spans="1:9">
      <c r="A230" s="286">
        <v>77</v>
      </c>
      <c r="B230" s="344">
        <v>1</v>
      </c>
      <c r="D230" s="286" t="s">
        <v>619</v>
      </c>
      <c r="E230" s="286" t="s">
        <v>620</v>
      </c>
      <c r="F230" s="286" t="s">
        <v>636</v>
      </c>
      <c r="H230" s="290">
        <v>306.33</v>
      </c>
      <c r="I230" s="290">
        <v>0</v>
      </c>
    </row>
    <row r="231" spans="1:9">
      <c r="A231" s="286">
        <v>77</v>
      </c>
      <c r="B231" s="344">
        <v>1</v>
      </c>
      <c r="D231" s="286" t="s">
        <v>619</v>
      </c>
      <c r="E231" s="286" t="s">
        <v>620</v>
      </c>
      <c r="F231" s="286" t="s">
        <v>632</v>
      </c>
      <c r="H231" s="290"/>
      <c r="I231" s="290"/>
    </row>
    <row r="232" spans="1:9">
      <c r="A232" s="286">
        <v>78</v>
      </c>
      <c r="B232" s="344">
        <v>1</v>
      </c>
      <c r="D232" s="286" t="s">
        <v>619</v>
      </c>
      <c r="E232" s="286" t="s">
        <v>659</v>
      </c>
      <c r="F232" s="286" t="s">
        <v>621</v>
      </c>
      <c r="G232" s="286">
        <v>27</v>
      </c>
      <c r="H232" s="290">
        <v>40021.239999999991</v>
      </c>
      <c r="I232" s="290">
        <v>1670.2</v>
      </c>
    </row>
    <row r="233" spans="1:9">
      <c r="A233" s="286">
        <v>78</v>
      </c>
      <c r="B233" s="344">
        <v>1</v>
      </c>
      <c r="D233" s="286" t="s">
        <v>619</v>
      </c>
      <c r="E233" s="286" t="s">
        <v>659</v>
      </c>
      <c r="F233" s="286" t="s">
        <v>599</v>
      </c>
      <c r="H233" s="290"/>
      <c r="I233" s="290"/>
    </row>
    <row r="234" spans="1:9">
      <c r="A234" s="286">
        <v>78</v>
      </c>
      <c r="B234" s="344">
        <v>1</v>
      </c>
      <c r="D234" s="286" t="s">
        <v>619</v>
      </c>
      <c r="E234" s="286" t="s">
        <v>659</v>
      </c>
      <c r="F234" s="286" t="s">
        <v>601</v>
      </c>
      <c r="H234" s="290"/>
      <c r="I234" s="290"/>
    </row>
    <row r="235" spans="1:9">
      <c r="A235" s="286">
        <v>78</v>
      </c>
      <c r="B235" s="344">
        <v>1</v>
      </c>
      <c r="D235" s="286" t="s">
        <v>619</v>
      </c>
      <c r="E235" s="286" t="s">
        <v>659</v>
      </c>
      <c r="F235" s="286" t="s">
        <v>627</v>
      </c>
      <c r="H235" s="290">
        <v>3940.08</v>
      </c>
      <c r="I235" s="290">
        <v>160</v>
      </c>
    </row>
    <row r="236" spans="1:9">
      <c r="A236" s="286">
        <v>78</v>
      </c>
      <c r="B236" s="344">
        <v>1</v>
      </c>
      <c r="D236" s="286" t="s">
        <v>619</v>
      </c>
      <c r="E236" s="286" t="s">
        <v>659</v>
      </c>
      <c r="F236" s="286" t="s">
        <v>630</v>
      </c>
      <c r="H236" s="290">
        <v>2114.7799999999997</v>
      </c>
      <c r="I236" s="290">
        <v>87</v>
      </c>
    </row>
    <row r="237" spans="1:9">
      <c r="A237" s="286">
        <v>78</v>
      </c>
      <c r="B237" s="344">
        <v>1</v>
      </c>
      <c r="D237" s="286" t="s">
        <v>619</v>
      </c>
      <c r="E237" s="286" t="s">
        <v>659</v>
      </c>
      <c r="F237" s="286" t="s">
        <v>633</v>
      </c>
      <c r="H237" s="290">
        <v>2703.2799999999997</v>
      </c>
      <c r="I237" s="290">
        <v>112</v>
      </c>
    </row>
    <row r="238" spans="1:9">
      <c r="A238" s="286">
        <v>78</v>
      </c>
      <c r="B238" s="344">
        <v>1</v>
      </c>
      <c r="D238" s="286" t="s">
        <v>619</v>
      </c>
      <c r="E238" s="286" t="s">
        <v>659</v>
      </c>
      <c r="F238" s="286" t="s">
        <v>604</v>
      </c>
      <c r="H238" s="290"/>
      <c r="I238" s="290"/>
    </row>
    <row r="239" spans="1:9">
      <c r="A239" s="286">
        <v>78</v>
      </c>
      <c r="B239" s="344">
        <v>1</v>
      </c>
      <c r="D239" s="286" t="s">
        <v>619</v>
      </c>
      <c r="E239" s="286" t="s">
        <v>659</v>
      </c>
      <c r="F239" s="286" t="s">
        <v>634</v>
      </c>
      <c r="H239" s="290">
        <v>581.66</v>
      </c>
      <c r="I239" s="290">
        <v>24</v>
      </c>
    </row>
    <row r="240" spans="1:9">
      <c r="A240" s="286">
        <v>78</v>
      </c>
      <c r="B240" s="344">
        <v>1</v>
      </c>
      <c r="D240" s="286" t="s">
        <v>619</v>
      </c>
      <c r="E240" s="286" t="s">
        <v>659</v>
      </c>
      <c r="F240" s="286" t="s">
        <v>623</v>
      </c>
      <c r="H240" s="290"/>
      <c r="I240" s="290"/>
    </row>
    <row r="241" spans="1:9">
      <c r="A241" s="286">
        <v>78</v>
      </c>
      <c r="B241" s="344">
        <v>1</v>
      </c>
      <c r="D241" s="286" t="s">
        <v>619</v>
      </c>
      <c r="E241" s="286" t="s">
        <v>659</v>
      </c>
      <c r="F241" s="286" t="s">
        <v>625</v>
      </c>
      <c r="H241" s="290"/>
      <c r="I241" s="290"/>
    </row>
    <row r="242" spans="1:9">
      <c r="A242" s="286">
        <v>78</v>
      </c>
      <c r="B242" s="344">
        <v>1</v>
      </c>
      <c r="D242" s="286" t="s">
        <v>619</v>
      </c>
      <c r="E242" s="286" t="s">
        <v>659</v>
      </c>
      <c r="F242" s="286" t="s">
        <v>629</v>
      </c>
      <c r="H242" s="290"/>
      <c r="I242" s="290"/>
    </row>
    <row r="243" spans="1:9">
      <c r="A243" s="286">
        <v>78</v>
      </c>
      <c r="B243" s="344">
        <v>1</v>
      </c>
      <c r="D243" s="286" t="s">
        <v>619</v>
      </c>
      <c r="E243" s="286" t="s">
        <v>659</v>
      </c>
      <c r="F243" s="286" t="s">
        <v>632</v>
      </c>
      <c r="H243" s="290"/>
      <c r="I243" s="290"/>
    </row>
    <row r="244" spans="1:9">
      <c r="A244" s="286">
        <v>80</v>
      </c>
      <c r="B244" s="344">
        <v>1</v>
      </c>
      <c r="D244" s="286" t="s">
        <v>619</v>
      </c>
      <c r="E244" s="286" t="s">
        <v>870</v>
      </c>
      <c r="F244" s="286" t="s">
        <v>621</v>
      </c>
      <c r="G244" s="286">
        <v>27</v>
      </c>
      <c r="H244" s="290">
        <v>37396.910000000003</v>
      </c>
      <c r="I244" s="290">
        <v>1578.3</v>
      </c>
    </row>
    <row r="245" spans="1:9">
      <c r="A245" s="286">
        <v>80</v>
      </c>
      <c r="B245" s="344">
        <v>1</v>
      </c>
      <c r="D245" s="286" t="s">
        <v>619</v>
      </c>
      <c r="E245" s="286" t="s">
        <v>870</v>
      </c>
      <c r="F245" s="286" t="s">
        <v>622</v>
      </c>
      <c r="H245" s="290">
        <v>198.56</v>
      </c>
      <c r="I245" s="290">
        <v>8</v>
      </c>
    </row>
    <row r="246" spans="1:9">
      <c r="A246" s="286">
        <v>80</v>
      </c>
      <c r="B246" s="344">
        <v>1</v>
      </c>
      <c r="D246" s="286" t="s">
        <v>619</v>
      </c>
      <c r="E246" s="286" t="s">
        <v>870</v>
      </c>
      <c r="F246" s="286" t="s">
        <v>599</v>
      </c>
      <c r="H246" s="290"/>
      <c r="I246" s="290"/>
    </row>
    <row r="247" spans="1:9">
      <c r="A247" s="286">
        <v>80</v>
      </c>
      <c r="B247" s="344">
        <v>1</v>
      </c>
      <c r="D247" s="286" t="s">
        <v>619</v>
      </c>
      <c r="E247" s="286" t="s">
        <v>870</v>
      </c>
      <c r="F247" s="286" t="s">
        <v>601</v>
      </c>
      <c r="H247" s="290"/>
      <c r="I247" s="290"/>
    </row>
    <row r="248" spans="1:9">
      <c r="A248" s="286">
        <v>80</v>
      </c>
      <c r="B248" s="344">
        <v>1</v>
      </c>
      <c r="D248" s="286" t="s">
        <v>619</v>
      </c>
      <c r="E248" s="286" t="s">
        <v>870</v>
      </c>
      <c r="F248" s="286" t="s">
        <v>627</v>
      </c>
      <c r="H248" s="290">
        <v>2835.6</v>
      </c>
      <c r="I248" s="290">
        <v>120</v>
      </c>
    </row>
    <row r="249" spans="1:9">
      <c r="A249" s="286">
        <v>80</v>
      </c>
      <c r="B249" s="344">
        <v>1</v>
      </c>
      <c r="D249" s="286" t="s">
        <v>619</v>
      </c>
      <c r="E249" s="286" t="s">
        <v>870</v>
      </c>
      <c r="F249" s="286" t="s">
        <v>630</v>
      </c>
      <c r="H249" s="290">
        <v>5092.1400000000003</v>
      </c>
      <c r="I249" s="290">
        <v>213.5</v>
      </c>
    </row>
    <row r="250" spans="1:9">
      <c r="A250" s="286">
        <v>80</v>
      </c>
      <c r="B250" s="344">
        <v>1</v>
      </c>
      <c r="D250" s="286" t="s">
        <v>619</v>
      </c>
      <c r="E250" s="286" t="s">
        <v>870</v>
      </c>
      <c r="F250" s="286" t="s">
        <v>633</v>
      </c>
      <c r="H250" s="290">
        <v>2663.28</v>
      </c>
      <c r="I250" s="290">
        <v>112</v>
      </c>
    </row>
    <row r="251" spans="1:9">
      <c r="A251" s="286">
        <v>80</v>
      </c>
      <c r="B251" s="344">
        <v>1</v>
      </c>
      <c r="D251" s="286" t="s">
        <v>619</v>
      </c>
      <c r="E251" s="286" t="s">
        <v>870</v>
      </c>
      <c r="F251" s="286" t="s">
        <v>634</v>
      </c>
      <c r="H251" s="290">
        <v>561.20000000000005</v>
      </c>
      <c r="I251" s="290">
        <v>24.2</v>
      </c>
    </row>
    <row r="252" spans="1:9">
      <c r="A252" s="286">
        <v>80</v>
      </c>
      <c r="B252" s="344">
        <v>1</v>
      </c>
      <c r="D252" s="286" t="s">
        <v>619</v>
      </c>
      <c r="E252" s="286" t="s">
        <v>870</v>
      </c>
      <c r="F252" s="286" t="s">
        <v>635</v>
      </c>
      <c r="H252" s="290">
        <v>556.55999999999995</v>
      </c>
      <c r="I252" s="290">
        <v>24</v>
      </c>
    </row>
    <row r="253" spans="1:9">
      <c r="A253" s="286">
        <v>80</v>
      </c>
      <c r="B253" s="344">
        <v>1</v>
      </c>
      <c r="D253" s="286" t="s">
        <v>619</v>
      </c>
      <c r="E253" s="286" t="s">
        <v>870</v>
      </c>
      <c r="F253" s="286" t="s">
        <v>612</v>
      </c>
      <c r="H253" s="290"/>
      <c r="I253" s="290"/>
    </row>
    <row r="254" spans="1:9">
      <c r="A254" s="286">
        <v>80</v>
      </c>
      <c r="B254" s="344">
        <v>1</v>
      </c>
      <c r="D254" s="286" t="s">
        <v>619</v>
      </c>
      <c r="E254" s="286" t="s">
        <v>870</v>
      </c>
      <c r="F254" s="286" t="s">
        <v>623</v>
      </c>
      <c r="H254" s="290"/>
      <c r="I254" s="290"/>
    </row>
    <row r="255" spans="1:9">
      <c r="A255" s="286">
        <v>80</v>
      </c>
      <c r="B255" s="344">
        <v>1</v>
      </c>
      <c r="D255" s="286" t="s">
        <v>619</v>
      </c>
      <c r="E255" s="286" t="s">
        <v>870</v>
      </c>
      <c r="F255" s="286" t="s">
        <v>625</v>
      </c>
      <c r="H255" s="290"/>
      <c r="I255" s="290"/>
    </row>
    <row r="256" spans="1:9">
      <c r="A256" s="286">
        <v>80</v>
      </c>
      <c r="B256" s="344">
        <v>1</v>
      </c>
      <c r="D256" s="286" t="s">
        <v>619</v>
      </c>
      <c r="E256" s="286" t="s">
        <v>870</v>
      </c>
      <c r="F256" s="286" t="s">
        <v>629</v>
      </c>
      <c r="H256" s="290"/>
      <c r="I256" s="290"/>
    </row>
    <row r="257" spans="1:9">
      <c r="A257" s="286">
        <v>80</v>
      </c>
      <c r="B257" s="344">
        <v>1</v>
      </c>
      <c r="D257" s="286" t="s">
        <v>619</v>
      </c>
      <c r="E257" s="286" t="s">
        <v>870</v>
      </c>
      <c r="F257" s="286" t="s">
        <v>632</v>
      </c>
      <c r="H257" s="290"/>
      <c r="I257" s="290"/>
    </row>
    <row r="258" spans="1:9">
      <c r="A258" s="286">
        <v>82</v>
      </c>
      <c r="B258" s="344">
        <v>1</v>
      </c>
      <c r="D258" s="286" t="s">
        <v>619</v>
      </c>
      <c r="E258" s="286" t="s">
        <v>620</v>
      </c>
      <c r="F258" s="286" t="s">
        <v>621</v>
      </c>
      <c r="G258" s="286">
        <v>27</v>
      </c>
      <c r="H258" s="290">
        <v>37287.619999999988</v>
      </c>
      <c r="I258" s="290">
        <v>1638.5</v>
      </c>
    </row>
    <row r="259" spans="1:9">
      <c r="A259" s="286">
        <v>82</v>
      </c>
      <c r="B259" s="344">
        <v>1</v>
      </c>
      <c r="D259" s="286" t="s">
        <v>619</v>
      </c>
      <c r="E259" s="286" t="s">
        <v>620</v>
      </c>
      <c r="F259" s="286" t="s">
        <v>622</v>
      </c>
      <c r="H259" s="290">
        <v>1688.96</v>
      </c>
      <c r="I259" s="290">
        <v>68</v>
      </c>
    </row>
    <row r="260" spans="1:9">
      <c r="A260" s="286">
        <v>82</v>
      </c>
      <c r="B260" s="344">
        <v>1</v>
      </c>
      <c r="D260" s="286" t="s">
        <v>619</v>
      </c>
      <c r="E260" s="286" t="s">
        <v>620</v>
      </c>
      <c r="F260" s="286" t="s">
        <v>599</v>
      </c>
      <c r="H260" s="290"/>
      <c r="I260" s="290"/>
    </row>
    <row r="261" spans="1:9">
      <c r="A261" s="286">
        <v>82</v>
      </c>
      <c r="B261" s="344">
        <v>1</v>
      </c>
      <c r="D261" s="286" t="s">
        <v>619</v>
      </c>
      <c r="E261" s="286" t="s">
        <v>620</v>
      </c>
      <c r="F261" s="286" t="s">
        <v>601</v>
      </c>
      <c r="H261" s="290"/>
      <c r="I261" s="290"/>
    </row>
    <row r="262" spans="1:9">
      <c r="A262" s="286">
        <v>82</v>
      </c>
      <c r="B262" s="344">
        <v>1</v>
      </c>
      <c r="D262" s="286" t="s">
        <v>619</v>
      </c>
      <c r="E262" s="286" t="s">
        <v>620</v>
      </c>
      <c r="F262" s="286" t="s">
        <v>603</v>
      </c>
      <c r="H262" s="290"/>
      <c r="I262" s="290"/>
    </row>
    <row r="263" spans="1:9">
      <c r="A263" s="286">
        <v>82</v>
      </c>
      <c r="B263" s="344">
        <v>1</v>
      </c>
      <c r="D263" s="286" t="s">
        <v>619</v>
      </c>
      <c r="E263" s="286" t="s">
        <v>620</v>
      </c>
      <c r="F263" s="286" t="s">
        <v>627</v>
      </c>
      <c r="H263" s="290">
        <v>1796.26</v>
      </c>
      <c r="I263" s="290">
        <v>80</v>
      </c>
    </row>
    <row r="264" spans="1:9">
      <c r="A264" s="286">
        <v>82</v>
      </c>
      <c r="B264" s="344">
        <v>1</v>
      </c>
      <c r="D264" s="286" t="s">
        <v>619</v>
      </c>
      <c r="E264" s="286" t="s">
        <v>620</v>
      </c>
      <c r="F264" s="286" t="s">
        <v>630</v>
      </c>
      <c r="H264" s="290">
        <v>3417.6699999999992</v>
      </c>
      <c r="I264" s="290">
        <v>149.4</v>
      </c>
    </row>
    <row r="265" spans="1:9">
      <c r="A265" s="286">
        <v>82</v>
      </c>
      <c r="B265" s="344">
        <v>1</v>
      </c>
      <c r="D265" s="286" t="s">
        <v>619</v>
      </c>
      <c r="E265" s="286" t="s">
        <v>620</v>
      </c>
      <c r="F265" s="286" t="s">
        <v>631</v>
      </c>
      <c r="H265" s="290">
        <v>198.72</v>
      </c>
      <c r="I265" s="290">
        <v>8</v>
      </c>
    </row>
    <row r="266" spans="1:9">
      <c r="A266" s="286">
        <v>82</v>
      </c>
      <c r="B266" s="344">
        <v>1</v>
      </c>
      <c r="D266" s="286" t="s">
        <v>619</v>
      </c>
      <c r="E266" s="286" t="s">
        <v>620</v>
      </c>
      <c r="F266" s="286" t="s">
        <v>633</v>
      </c>
      <c r="H266" s="290">
        <v>2574.6400000000003</v>
      </c>
      <c r="I266" s="290">
        <v>112</v>
      </c>
    </row>
    <row r="267" spans="1:9">
      <c r="A267" s="286">
        <v>82</v>
      </c>
      <c r="B267" s="344">
        <v>1</v>
      </c>
      <c r="D267" s="286" t="s">
        <v>619</v>
      </c>
      <c r="E267" s="286" t="s">
        <v>620</v>
      </c>
      <c r="F267" s="286" t="s">
        <v>634</v>
      </c>
      <c r="H267" s="290">
        <v>574.16</v>
      </c>
      <c r="I267" s="290">
        <v>24</v>
      </c>
    </row>
    <row r="268" spans="1:9">
      <c r="A268" s="286">
        <v>82</v>
      </c>
      <c r="B268" s="344">
        <v>1</v>
      </c>
      <c r="D268" s="286" t="s">
        <v>619</v>
      </c>
      <c r="E268" s="286" t="s">
        <v>620</v>
      </c>
      <c r="F268" s="286" t="s">
        <v>623</v>
      </c>
      <c r="H268" s="290"/>
      <c r="I268" s="290"/>
    </row>
    <row r="269" spans="1:9">
      <c r="A269" s="286">
        <v>82</v>
      </c>
      <c r="B269" s="344">
        <v>1</v>
      </c>
      <c r="D269" s="286" t="s">
        <v>619</v>
      </c>
      <c r="E269" s="286" t="s">
        <v>620</v>
      </c>
      <c r="F269" s="286" t="s">
        <v>625</v>
      </c>
      <c r="H269" s="290"/>
      <c r="I269" s="290"/>
    </row>
    <row r="270" spans="1:9">
      <c r="A270" s="286">
        <v>82</v>
      </c>
      <c r="B270" s="344">
        <v>1</v>
      </c>
      <c r="D270" s="286" t="s">
        <v>619</v>
      </c>
      <c r="E270" s="286" t="s">
        <v>620</v>
      </c>
      <c r="F270" s="286" t="s">
        <v>629</v>
      </c>
      <c r="H270" s="290"/>
      <c r="I270" s="290"/>
    </row>
    <row r="271" spans="1:9">
      <c r="A271" s="286">
        <v>82</v>
      </c>
      <c r="B271" s="344">
        <v>1</v>
      </c>
      <c r="D271" s="286" t="s">
        <v>619</v>
      </c>
      <c r="E271" s="286" t="s">
        <v>620</v>
      </c>
      <c r="F271" s="286" t="s">
        <v>636</v>
      </c>
      <c r="H271" s="290">
        <v>298.54000000000002</v>
      </c>
      <c r="I271" s="290">
        <v>0</v>
      </c>
    </row>
    <row r="272" spans="1:9">
      <c r="A272" s="286">
        <v>82</v>
      </c>
      <c r="B272" s="344">
        <v>1</v>
      </c>
      <c r="D272" s="286" t="s">
        <v>619</v>
      </c>
      <c r="E272" s="286" t="s">
        <v>620</v>
      </c>
      <c r="F272" s="286" t="s">
        <v>632</v>
      </c>
      <c r="H272" s="290"/>
      <c r="I272" s="290"/>
    </row>
    <row r="273" spans="1:9">
      <c r="A273" s="286">
        <v>83</v>
      </c>
      <c r="B273" s="344">
        <v>1</v>
      </c>
      <c r="D273" s="286" t="s">
        <v>650</v>
      </c>
      <c r="E273" s="286" t="s">
        <v>674</v>
      </c>
      <c r="F273" s="286" t="s">
        <v>598</v>
      </c>
      <c r="G273" s="286">
        <v>26</v>
      </c>
      <c r="H273" s="290">
        <v>113577.07999999999</v>
      </c>
      <c r="I273" s="290">
        <v>1789.7</v>
      </c>
    </row>
    <row r="274" spans="1:9">
      <c r="A274" s="286">
        <v>83</v>
      </c>
      <c r="B274" s="344">
        <v>1</v>
      </c>
      <c r="D274" s="286" t="s">
        <v>650</v>
      </c>
      <c r="E274" s="286" t="s">
        <v>674</v>
      </c>
      <c r="F274" s="286" t="s">
        <v>675</v>
      </c>
      <c r="H274" s="290">
        <v>507.69</v>
      </c>
      <c r="I274" s="290">
        <v>8</v>
      </c>
    </row>
    <row r="275" spans="1:9">
      <c r="A275" s="286">
        <v>83</v>
      </c>
      <c r="B275" s="344">
        <v>1</v>
      </c>
      <c r="D275" s="286" t="s">
        <v>650</v>
      </c>
      <c r="E275" s="286" t="s">
        <v>674</v>
      </c>
      <c r="F275" s="286" t="s">
        <v>605</v>
      </c>
      <c r="H275" s="290">
        <v>10788.44</v>
      </c>
      <c r="I275" s="290">
        <v>170</v>
      </c>
    </row>
    <row r="276" spans="1:9">
      <c r="A276" s="286">
        <v>83</v>
      </c>
      <c r="B276" s="344">
        <v>1</v>
      </c>
      <c r="D276" s="286" t="s">
        <v>650</v>
      </c>
      <c r="E276" s="286" t="s">
        <v>674</v>
      </c>
      <c r="F276" s="286" t="s">
        <v>608</v>
      </c>
      <c r="H276" s="290">
        <v>2773.2599999999998</v>
      </c>
      <c r="I276" s="290">
        <v>43.7</v>
      </c>
    </row>
    <row r="277" spans="1:9">
      <c r="A277" s="286">
        <v>83</v>
      </c>
      <c r="B277" s="344">
        <v>1</v>
      </c>
      <c r="D277" s="286" t="s">
        <v>650</v>
      </c>
      <c r="E277" s="286" t="s">
        <v>674</v>
      </c>
      <c r="F277" s="286" t="s">
        <v>610</v>
      </c>
      <c r="H277" s="290">
        <v>1523.07</v>
      </c>
      <c r="I277" s="290">
        <v>24</v>
      </c>
    </row>
    <row r="278" spans="1:9">
      <c r="A278" s="286">
        <v>83</v>
      </c>
      <c r="B278" s="344">
        <v>1</v>
      </c>
      <c r="D278" s="286" t="s">
        <v>650</v>
      </c>
      <c r="E278" s="286" t="s">
        <v>674</v>
      </c>
      <c r="F278" s="286" t="s">
        <v>638</v>
      </c>
      <c r="H278" s="290">
        <v>2538.46</v>
      </c>
      <c r="I278" s="290">
        <v>40</v>
      </c>
    </row>
    <row r="279" spans="1:9">
      <c r="A279" s="286">
        <v>83</v>
      </c>
      <c r="B279" s="344">
        <v>1</v>
      </c>
      <c r="D279" s="286" t="s">
        <v>650</v>
      </c>
      <c r="E279" s="286" t="s">
        <v>674</v>
      </c>
      <c r="F279" s="286" t="s">
        <v>642</v>
      </c>
      <c r="H279" s="290">
        <v>291.92</v>
      </c>
      <c r="I279" s="290">
        <v>4.5999999999999996</v>
      </c>
    </row>
    <row r="280" spans="1:9">
      <c r="A280" s="286">
        <v>83</v>
      </c>
      <c r="B280" s="344">
        <v>1</v>
      </c>
      <c r="D280" s="286" t="s">
        <v>650</v>
      </c>
      <c r="E280" s="286" t="s">
        <v>674</v>
      </c>
      <c r="F280" s="286" t="s">
        <v>624</v>
      </c>
      <c r="H280" s="290"/>
      <c r="I280" s="290"/>
    </row>
    <row r="281" spans="1:9">
      <c r="A281" s="286">
        <v>88</v>
      </c>
      <c r="B281" s="344">
        <v>1</v>
      </c>
      <c r="D281" s="286" t="s">
        <v>619</v>
      </c>
      <c r="E281" s="286" t="s">
        <v>659</v>
      </c>
      <c r="F281" s="286" t="s">
        <v>621</v>
      </c>
      <c r="G281" s="286">
        <v>27</v>
      </c>
      <c r="H281" s="290">
        <v>38104</v>
      </c>
      <c r="I281" s="290">
        <v>1580.8999999999999</v>
      </c>
    </row>
    <row r="282" spans="1:9">
      <c r="A282" s="286">
        <v>88</v>
      </c>
      <c r="B282" s="344">
        <v>1</v>
      </c>
      <c r="D282" s="286" t="s">
        <v>619</v>
      </c>
      <c r="E282" s="286" t="s">
        <v>659</v>
      </c>
      <c r="F282" s="286" t="s">
        <v>622</v>
      </c>
      <c r="H282" s="290">
        <v>992.8</v>
      </c>
      <c r="I282" s="290">
        <v>40</v>
      </c>
    </row>
    <row r="283" spans="1:9">
      <c r="A283" s="286">
        <v>88</v>
      </c>
      <c r="B283" s="344">
        <v>1</v>
      </c>
      <c r="D283" s="286" t="s">
        <v>619</v>
      </c>
      <c r="E283" s="286" t="s">
        <v>659</v>
      </c>
      <c r="F283" s="286" t="s">
        <v>599</v>
      </c>
      <c r="H283" s="290"/>
      <c r="I283" s="290"/>
    </row>
    <row r="284" spans="1:9">
      <c r="A284" s="286">
        <v>88</v>
      </c>
      <c r="B284" s="344">
        <v>1</v>
      </c>
      <c r="D284" s="286" t="s">
        <v>619</v>
      </c>
      <c r="E284" s="286" t="s">
        <v>659</v>
      </c>
      <c r="F284" s="286" t="s">
        <v>601</v>
      </c>
      <c r="H284" s="290"/>
      <c r="I284" s="290"/>
    </row>
    <row r="285" spans="1:9">
      <c r="A285" s="286">
        <v>88</v>
      </c>
      <c r="B285" s="344">
        <v>1</v>
      </c>
      <c r="D285" s="286" t="s">
        <v>619</v>
      </c>
      <c r="E285" s="286" t="s">
        <v>659</v>
      </c>
      <c r="F285" s="286" t="s">
        <v>627</v>
      </c>
      <c r="H285" s="290">
        <v>4065.42</v>
      </c>
      <c r="I285" s="290">
        <v>171</v>
      </c>
    </row>
    <row r="286" spans="1:9">
      <c r="A286" s="286">
        <v>88</v>
      </c>
      <c r="B286" s="344">
        <v>1</v>
      </c>
      <c r="D286" s="286" t="s">
        <v>619</v>
      </c>
      <c r="E286" s="286" t="s">
        <v>659</v>
      </c>
      <c r="F286" s="286" t="s">
        <v>630</v>
      </c>
      <c r="H286" s="290">
        <v>2998.3299999999995</v>
      </c>
      <c r="I286" s="290">
        <v>124.3</v>
      </c>
    </row>
    <row r="287" spans="1:9">
      <c r="A287" s="286">
        <v>88</v>
      </c>
      <c r="B287" s="344">
        <v>1</v>
      </c>
      <c r="D287" s="286" t="s">
        <v>619</v>
      </c>
      <c r="E287" s="286" t="s">
        <v>659</v>
      </c>
      <c r="F287" s="286" t="s">
        <v>633</v>
      </c>
      <c r="H287" s="290">
        <v>2703.2799999999997</v>
      </c>
      <c r="I287" s="290">
        <v>112</v>
      </c>
    </row>
    <row r="288" spans="1:9">
      <c r="A288" s="286">
        <v>88</v>
      </c>
      <c r="B288" s="344">
        <v>1</v>
      </c>
      <c r="D288" s="286" t="s">
        <v>619</v>
      </c>
      <c r="E288" s="286" t="s">
        <v>659</v>
      </c>
      <c r="F288" s="286" t="s">
        <v>634</v>
      </c>
      <c r="H288" s="290">
        <v>1247.6199999999999</v>
      </c>
      <c r="I288" s="290">
        <v>53</v>
      </c>
    </row>
    <row r="289" spans="1:9">
      <c r="A289" s="286">
        <v>88</v>
      </c>
      <c r="B289" s="344">
        <v>1</v>
      </c>
      <c r="D289" s="286" t="s">
        <v>619</v>
      </c>
      <c r="E289" s="286" t="s">
        <v>659</v>
      </c>
      <c r="F289" s="286" t="s">
        <v>623</v>
      </c>
      <c r="H289" s="290"/>
      <c r="I289" s="290"/>
    </row>
    <row r="290" spans="1:9">
      <c r="A290" s="286">
        <v>88</v>
      </c>
      <c r="B290" s="344">
        <v>1</v>
      </c>
      <c r="D290" s="286" t="s">
        <v>619</v>
      </c>
      <c r="E290" s="286" t="s">
        <v>659</v>
      </c>
      <c r="F290" s="286" t="s">
        <v>625</v>
      </c>
      <c r="H290" s="290"/>
      <c r="I290" s="290"/>
    </row>
    <row r="291" spans="1:9">
      <c r="A291" s="286">
        <v>88</v>
      </c>
      <c r="B291" s="344">
        <v>1</v>
      </c>
      <c r="D291" s="286" t="s">
        <v>619</v>
      </c>
      <c r="E291" s="286" t="s">
        <v>659</v>
      </c>
      <c r="F291" s="286" t="s">
        <v>629</v>
      </c>
      <c r="H291" s="290"/>
      <c r="I291" s="290"/>
    </row>
    <row r="292" spans="1:9">
      <c r="A292" s="286">
        <v>88</v>
      </c>
      <c r="B292" s="344">
        <v>1</v>
      </c>
      <c r="D292" s="286" t="s">
        <v>619</v>
      </c>
      <c r="E292" s="286" t="s">
        <v>659</v>
      </c>
      <c r="F292" s="286" t="s">
        <v>636</v>
      </c>
      <c r="H292" s="290">
        <v>579.55999999999995</v>
      </c>
      <c r="I292" s="290">
        <v>0</v>
      </c>
    </row>
    <row r="293" spans="1:9">
      <c r="A293" s="286">
        <v>88</v>
      </c>
      <c r="B293" s="344">
        <v>1</v>
      </c>
      <c r="D293" s="286" t="s">
        <v>619</v>
      </c>
      <c r="E293" s="286" t="s">
        <v>659</v>
      </c>
      <c r="F293" s="286" t="s">
        <v>632</v>
      </c>
      <c r="H293" s="290"/>
      <c r="I293" s="290"/>
    </row>
    <row r="294" spans="1:9">
      <c r="A294" s="286">
        <v>95</v>
      </c>
      <c r="B294" s="344">
        <v>1</v>
      </c>
      <c r="D294" s="286" t="s">
        <v>619</v>
      </c>
      <c r="E294" s="286" t="s">
        <v>677</v>
      </c>
      <c r="F294" s="286" t="s">
        <v>621</v>
      </c>
      <c r="G294" s="286">
        <v>27</v>
      </c>
      <c r="H294" s="290">
        <v>47754.780000000013</v>
      </c>
      <c r="I294" s="290">
        <v>1636</v>
      </c>
    </row>
    <row r="295" spans="1:9">
      <c r="A295" s="286">
        <v>95</v>
      </c>
      <c r="B295" s="344">
        <v>1</v>
      </c>
      <c r="D295" s="286" t="s">
        <v>619</v>
      </c>
      <c r="E295" s="286" t="s">
        <v>677</v>
      </c>
      <c r="F295" s="286" t="s">
        <v>599</v>
      </c>
      <c r="H295" s="290"/>
      <c r="I295" s="290"/>
    </row>
    <row r="296" spans="1:9">
      <c r="A296" s="286">
        <v>95</v>
      </c>
      <c r="B296" s="344">
        <v>1</v>
      </c>
      <c r="D296" s="286" t="s">
        <v>619</v>
      </c>
      <c r="E296" s="286" t="s">
        <v>677</v>
      </c>
      <c r="F296" s="286" t="s">
        <v>601</v>
      </c>
      <c r="H296" s="290"/>
      <c r="I296" s="290"/>
    </row>
    <row r="297" spans="1:9">
      <c r="A297" s="286">
        <v>95</v>
      </c>
      <c r="B297" s="344">
        <v>1</v>
      </c>
      <c r="D297" s="286" t="s">
        <v>619</v>
      </c>
      <c r="E297" s="286" t="s">
        <v>677</v>
      </c>
      <c r="F297" s="286" t="s">
        <v>603</v>
      </c>
      <c r="H297" s="290"/>
      <c r="I297" s="290"/>
    </row>
    <row r="298" spans="1:9">
      <c r="A298" s="286">
        <v>95</v>
      </c>
      <c r="B298" s="344">
        <v>1</v>
      </c>
      <c r="D298" s="286" t="s">
        <v>619</v>
      </c>
      <c r="E298" s="286" t="s">
        <v>677</v>
      </c>
      <c r="F298" s="286" t="s">
        <v>627</v>
      </c>
      <c r="H298" s="290">
        <v>4005.76</v>
      </c>
      <c r="I298" s="290">
        <v>128</v>
      </c>
    </row>
    <row r="299" spans="1:9">
      <c r="A299" s="286">
        <v>95</v>
      </c>
      <c r="B299" s="344">
        <v>1</v>
      </c>
      <c r="D299" s="286" t="s">
        <v>619</v>
      </c>
      <c r="E299" s="286" t="s">
        <v>677</v>
      </c>
      <c r="F299" s="286" t="s">
        <v>606</v>
      </c>
      <c r="H299" s="290"/>
      <c r="I299" s="290"/>
    </row>
    <row r="300" spans="1:9">
      <c r="A300" s="286">
        <v>95</v>
      </c>
      <c r="B300" s="344">
        <v>1</v>
      </c>
      <c r="D300" s="286" t="s">
        <v>619</v>
      </c>
      <c r="E300" s="286" t="s">
        <v>677</v>
      </c>
      <c r="F300" s="286" t="s">
        <v>630</v>
      </c>
      <c r="H300" s="290">
        <v>5397.2400000000016</v>
      </c>
      <c r="I300" s="290">
        <v>180</v>
      </c>
    </row>
    <row r="301" spans="1:9">
      <c r="A301" s="286">
        <v>95</v>
      </c>
      <c r="B301" s="344">
        <v>1</v>
      </c>
      <c r="D301" s="286" t="s">
        <v>619</v>
      </c>
      <c r="E301" s="286" t="s">
        <v>677</v>
      </c>
      <c r="F301" s="286" t="s">
        <v>633</v>
      </c>
      <c r="H301" s="290">
        <v>3312.6399999999994</v>
      </c>
      <c r="I301" s="290">
        <v>112</v>
      </c>
    </row>
    <row r="302" spans="1:9">
      <c r="A302" s="286">
        <v>95</v>
      </c>
      <c r="B302" s="344">
        <v>1</v>
      </c>
      <c r="D302" s="286" t="s">
        <v>619</v>
      </c>
      <c r="E302" s="286" t="s">
        <v>677</v>
      </c>
      <c r="F302" s="286" t="s">
        <v>634</v>
      </c>
      <c r="H302" s="290">
        <v>667.68000000000006</v>
      </c>
      <c r="I302" s="290">
        <v>24</v>
      </c>
    </row>
    <row r="303" spans="1:9">
      <c r="A303" s="286">
        <v>95</v>
      </c>
      <c r="B303" s="344">
        <v>1</v>
      </c>
      <c r="D303" s="286" t="s">
        <v>619</v>
      </c>
      <c r="E303" s="286" t="s">
        <v>677</v>
      </c>
      <c r="F303" s="286" t="s">
        <v>623</v>
      </c>
      <c r="H303" s="290"/>
      <c r="I303" s="290"/>
    </row>
    <row r="304" spans="1:9">
      <c r="A304" s="286">
        <v>95</v>
      </c>
      <c r="B304" s="344">
        <v>1</v>
      </c>
      <c r="D304" s="286" t="s">
        <v>619</v>
      </c>
      <c r="E304" s="286" t="s">
        <v>677</v>
      </c>
      <c r="F304" s="286" t="s">
        <v>625</v>
      </c>
      <c r="H304" s="290"/>
      <c r="I304" s="290"/>
    </row>
    <row r="305" spans="1:9">
      <c r="A305" s="286">
        <v>95</v>
      </c>
      <c r="B305" s="344">
        <v>1</v>
      </c>
      <c r="D305" s="286" t="s">
        <v>619</v>
      </c>
      <c r="E305" s="286" t="s">
        <v>677</v>
      </c>
      <c r="F305" s="286" t="s">
        <v>629</v>
      </c>
      <c r="H305" s="290"/>
      <c r="I305" s="290"/>
    </row>
    <row r="306" spans="1:9">
      <c r="A306" s="286">
        <v>95</v>
      </c>
      <c r="B306" s="344">
        <v>1</v>
      </c>
      <c r="D306" s="286" t="s">
        <v>619</v>
      </c>
      <c r="E306" s="286" t="s">
        <v>677</v>
      </c>
      <c r="F306" s="286" t="s">
        <v>636</v>
      </c>
      <c r="H306" s="290">
        <v>268</v>
      </c>
      <c r="I306" s="290">
        <v>0</v>
      </c>
    </row>
    <row r="307" spans="1:9">
      <c r="A307" s="286">
        <v>95</v>
      </c>
      <c r="B307" s="344">
        <v>1</v>
      </c>
      <c r="D307" s="286" t="s">
        <v>619</v>
      </c>
      <c r="E307" s="286" t="s">
        <v>677</v>
      </c>
      <c r="F307" s="286" t="s">
        <v>632</v>
      </c>
      <c r="H307" s="290"/>
      <c r="I307" s="290"/>
    </row>
    <row r="308" spans="1:9">
      <c r="A308" s="286">
        <v>98</v>
      </c>
      <c r="B308" s="344">
        <v>1</v>
      </c>
      <c r="D308" s="286" t="s">
        <v>619</v>
      </c>
      <c r="E308" s="286" t="s">
        <v>677</v>
      </c>
      <c r="F308" s="286" t="s">
        <v>621</v>
      </c>
      <c r="G308" s="286">
        <v>27</v>
      </c>
      <c r="H308" s="290">
        <v>55914.700000000019</v>
      </c>
      <c r="I308" s="290">
        <v>1756.5</v>
      </c>
    </row>
    <row r="309" spans="1:9">
      <c r="A309" s="286">
        <v>98</v>
      </c>
      <c r="B309" s="344">
        <v>1</v>
      </c>
      <c r="D309" s="286" t="s">
        <v>619</v>
      </c>
      <c r="E309" s="286" t="s">
        <v>677</v>
      </c>
      <c r="F309" s="286" t="s">
        <v>599</v>
      </c>
      <c r="H309" s="290"/>
      <c r="I309" s="290"/>
    </row>
    <row r="310" spans="1:9">
      <c r="A310" s="286">
        <v>98</v>
      </c>
      <c r="B310" s="344">
        <v>1</v>
      </c>
      <c r="D310" s="286" t="s">
        <v>619</v>
      </c>
      <c r="E310" s="286" t="s">
        <v>677</v>
      </c>
      <c r="F310" s="286" t="s">
        <v>601</v>
      </c>
      <c r="H310" s="290"/>
      <c r="I310" s="290"/>
    </row>
    <row r="311" spans="1:9">
      <c r="A311" s="286">
        <v>98</v>
      </c>
      <c r="B311" s="344">
        <v>1</v>
      </c>
      <c r="D311" s="286" t="s">
        <v>619</v>
      </c>
      <c r="E311" s="286" t="s">
        <v>677</v>
      </c>
      <c r="F311" s="286" t="s">
        <v>627</v>
      </c>
      <c r="H311" s="290">
        <v>2255.04</v>
      </c>
      <c r="I311" s="290">
        <v>72</v>
      </c>
    </row>
    <row r="312" spans="1:9">
      <c r="A312" s="286">
        <v>98</v>
      </c>
      <c r="B312" s="344">
        <v>1</v>
      </c>
      <c r="D312" s="286" t="s">
        <v>619</v>
      </c>
      <c r="E312" s="286" t="s">
        <v>677</v>
      </c>
      <c r="F312" s="286" t="s">
        <v>630</v>
      </c>
      <c r="H312" s="290">
        <v>4495.8599999999997</v>
      </c>
      <c r="I312" s="290">
        <v>139.5</v>
      </c>
    </row>
    <row r="313" spans="1:9">
      <c r="A313" s="286">
        <v>98</v>
      </c>
      <c r="B313" s="344">
        <v>1</v>
      </c>
      <c r="D313" s="286" t="s">
        <v>619</v>
      </c>
      <c r="E313" s="286" t="s">
        <v>677</v>
      </c>
      <c r="F313" s="286" t="s">
        <v>633</v>
      </c>
      <c r="H313" s="290">
        <v>3578.24</v>
      </c>
      <c r="I313" s="290">
        <v>112</v>
      </c>
    </row>
    <row r="314" spans="1:9">
      <c r="A314" s="286">
        <v>98</v>
      </c>
      <c r="B314" s="344">
        <v>1</v>
      </c>
      <c r="D314" s="286" t="s">
        <v>619</v>
      </c>
      <c r="E314" s="286" t="s">
        <v>677</v>
      </c>
      <c r="F314" s="286" t="s">
        <v>634</v>
      </c>
      <c r="H314" s="290">
        <v>751.68000000000006</v>
      </c>
      <c r="I314" s="290">
        <v>24</v>
      </c>
    </row>
    <row r="315" spans="1:9">
      <c r="A315" s="286">
        <v>98</v>
      </c>
      <c r="B315" s="344">
        <v>1</v>
      </c>
      <c r="D315" s="286" t="s">
        <v>619</v>
      </c>
      <c r="E315" s="286" t="s">
        <v>677</v>
      </c>
      <c r="F315" s="286" t="s">
        <v>623</v>
      </c>
      <c r="H315" s="290"/>
      <c r="I315" s="290"/>
    </row>
    <row r="316" spans="1:9">
      <c r="A316" s="286">
        <v>98</v>
      </c>
      <c r="B316" s="344">
        <v>1</v>
      </c>
      <c r="D316" s="286" t="s">
        <v>619</v>
      </c>
      <c r="E316" s="286" t="s">
        <v>677</v>
      </c>
      <c r="F316" s="286" t="s">
        <v>625</v>
      </c>
      <c r="H316" s="290"/>
      <c r="I316" s="290"/>
    </row>
    <row r="317" spans="1:9">
      <c r="A317" s="286">
        <v>98</v>
      </c>
      <c r="B317" s="344">
        <v>1</v>
      </c>
      <c r="D317" s="286" t="s">
        <v>619</v>
      </c>
      <c r="E317" s="286" t="s">
        <v>677</v>
      </c>
      <c r="F317" s="286" t="s">
        <v>661</v>
      </c>
      <c r="H317" s="290">
        <v>793.92</v>
      </c>
      <c r="I317" s="290">
        <v>24</v>
      </c>
    </row>
    <row r="318" spans="1:9">
      <c r="A318" s="286">
        <v>98</v>
      </c>
      <c r="B318" s="344">
        <v>1</v>
      </c>
      <c r="D318" s="286" t="s">
        <v>619</v>
      </c>
      <c r="E318" s="286" t="s">
        <v>677</v>
      </c>
      <c r="F318" s="286" t="s">
        <v>632</v>
      </c>
      <c r="H318" s="290"/>
      <c r="I318" s="290"/>
    </row>
    <row r="319" spans="1:9">
      <c r="A319" s="286">
        <v>100</v>
      </c>
      <c r="B319" s="344">
        <v>1</v>
      </c>
      <c r="D319" s="286" t="s">
        <v>597</v>
      </c>
      <c r="E319" s="286" t="s">
        <v>678</v>
      </c>
      <c r="F319" s="286" t="s">
        <v>598</v>
      </c>
      <c r="G319" s="286">
        <v>26</v>
      </c>
      <c r="H319" s="290">
        <v>50510.610000000008</v>
      </c>
      <c r="I319" s="290">
        <v>1754.6200000000001</v>
      </c>
    </row>
    <row r="320" spans="1:9">
      <c r="A320" s="286">
        <v>100</v>
      </c>
      <c r="B320" s="344">
        <v>1</v>
      </c>
      <c r="D320" s="286" t="s">
        <v>597</v>
      </c>
      <c r="E320" s="286" t="s">
        <v>678</v>
      </c>
      <c r="F320" s="286" t="s">
        <v>599</v>
      </c>
      <c r="H320" s="290"/>
      <c r="I320" s="290"/>
    </row>
    <row r="321" spans="1:9">
      <c r="A321" s="286">
        <v>100</v>
      </c>
      <c r="B321" s="344">
        <v>1</v>
      </c>
      <c r="D321" s="286" t="s">
        <v>597</v>
      </c>
      <c r="E321" s="286" t="s">
        <v>678</v>
      </c>
      <c r="F321" s="286" t="s">
        <v>601</v>
      </c>
      <c r="H321" s="290"/>
      <c r="I321" s="290"/>
    </row>
    <row r="322" spans="1:9">
      <c r="A322" s="286">
        <v>100</v>
      </c>
      <c r="B322" s="344">
        <v>1</v>
      </c>
      <c r="D322" s="286" t="s">
        <v>597</v>
      </c>
      <c r="E322" s="286" t="s">
        <v>678</v>
      </c>
      <c r="F322" s="286" t="s">
        <v>605</v>
      </c>
      <c r="H322" s="290">
        <v>5419.7599999999993</v>
      </c>
      <c r="I322" s="290">
        <v>188.75</v>
      </c>
    </row>
    <row r="323" spans="1:9">
      <c r="A323" s="286">
        <v>100</v>
      </c>
      <c r="B323" s="344">
        <v>1</v>
      </c>
      <c r="D323" s="286" t="s">
        <v>597</v>
      </c>
      <c r="E323" s="286" t="s">
        <v>678</v>
      </c>
      <c r="F323" s="286" t="s">
        <v>608</v>
      </c>
      <c r="H323" s="290">
        <v>3205.94</v>
      </c>
      <c r="I323" s="290">
        <v>111.22999999999999</v>
      </c>
    </row>
    <row r="324" spans="1:9">
      <c r="A324" s="286">
        <v>100</v>
      </c>
      <c r="B324" s="344">
        <v>1</v>
      </c>
      <c r="D324" s="286" t="s">
        <v>597</v>
      </c>
      <c r="E324" s="286" t="s">
        <v>678</v>
      </c>
      <c r="F324" s="286" t="s">
        <v>610</v>
      </c>
      <c r="H324" s="290">
        <v>383.01</v>
      </c>
      <c r="I324" s="290">
        <v>13.5</v>
      </c>
    </row>
    <row r="325" spans="1:9">
      <c r="A325" s="286">
        <v>100</v>
      </c>
      <c r="B325" s="344">
        <v>1</v>
      </c>
      <c r="D325" s="286" t="s">
        <v>597</v>
      </c>
      <c r="E325" s="286" t="s">
        <v>678</v>
      </c>
      <c r="F325" s="286" t="s">
        <v>641</v>
      </c>
      <c r="H325" s="290">
        <v>0</v>
      </c>
      <c r="I325" s="290">
        <v>6</v>
      </c>
    </row>
    <row r="326" spans="1:9">
      <c r="A326" s="286">
        <v>100</v>
      </c>
      <c r="B326" s="344">
        <v>1</v>
      </c>
      <c r="D326" s="286" t="s">
        <v>597</v>
      </c>
      <c r="E326" s="286" t="s">
        <v>678</v>
      </c>
      <c r="F326" s="286" t="s">
        <v>642</v>
      </c>
      <c r="H326" s="290">
        <v>343</v>
      </c>
      <c r="I326" s="290">
        <v>11.9</v>
      </c>
    </row>
    <row r="327" spans="1:9">
      <c r="A327" s="286">
        <v>100</v>
      </c>
      <c r="B327" s="344">
        <v>1</v>
      </c>
      <c r="D327" s="286" t="s">
        <v>597</v>
      </c>
      <c r="E327" s="286" t="s">
        <v>678</v>
      </c>
      <c r="F327" s="286" t="s">
        <v>624</v>
      </c>
      <c r="H327" s="290"/>
      <c r="I327" s="290"/>
    </row>
    <row r="328" spans="1:9">
      <c r="A328" s="286">
        <v>100</v>
      </c>
      <c r="B328" s="344">
        <v>1</v>
      </c>
      <c r="D328" s="286" t="s">
        <v>597</v>
      </c>
      <c r="E328" s="286" t="s">
        <v>678</v>
      </c>
      <c r="F328" s="286" t="s">
        <v>629</v>
      </c>
      <c r="H328" s="290"/>
      <c r="I328" s="290"/>
    </row>
    <row r="329" spans="1:9">
      <c r="A329" s="286">
        <v>102</v>
      </c>
      <c r="B329" s="344">
        <v>1</v>
      </c>
      <c r="D329" s="286" t="s">
        <v>619</v>
      </c>
      <c r="E329" s="286" t="s">
        <v>686</v>
      </c>
      <c r="F329" s="286" t="s">
        <v>621</v>
      </c>
      <c r="G329" s="286">
        <v>27</v>
      </c>
      <c r="H329" s="290">
        <v>35144.42</v>
      </c>
      <c r="I329" s="290">
        <v>1485.9</v>
      </c>
    </row>
    <row r="330" spans="1:9">
      <c r="A330" s="286">
        <v>102</v>
      </c>
      <c r="B330" s="344">
        <v>1</v>
      </c>
      <c r="D330" s="286" t="s">
        <v>619</v>
      </c>
      <c r="E330" s="286" t="s">
        <v>686</v>
      </c>
      <c r="F330" s="286" t="s">
        <v>622</v>
      </c>
      <c r="H330" s="290">
        <v>2406.7999999999997</v>
      </c>
      <c r="I330" s="290">
        <v>96</v>
      </c>
    </row>
    <row r="331" spans="1:9">
      <c r="A331" s="286">
        <v>102</v>
      </c>
      <c r="B331" s="344">
        <v>1</v>
      </c>
      <c r="D331" s="286" t="s">
        <v>619</v>
      </c>
      <c r="E331" s="286" t="s">
        <v>686</v>
      </c>
      <c r="F331" s="286" t="s">
        <v>599</v>
      </c>
      <c r="H331" s="290"/>
      <c r="I331" s="290"/>
    </row>
    <row r="332" spans="1:9">
      <c r="A332" s="286">
        <v>102</v>
      </c>
      <c r="B332" s="344">
        <v>1</v>
      </c>
      <c r="D332" s="286" t="s">
        <v>619</v>
      </c>
      <c r="E332" s="286" t="s">
        <v>686</v>
      </c>
      <c r="F332" s="286" t="s">
        <v>601</v>
      </c>
      <c r="H332" s="290"/>
      <c r="I332" s="290"/>
    </row>
    <row r="333" spans="1:9">
      <c r="A333" s="286">
        <v>102</v>
      </c>
      <c r="B333" s="344">
        <v>1</v>
      </c>
      <c r="D333" s="286" t="s">
        <v>619</v>
      </c>
      <c r="E333" s="286" t="s">
        <v>686</v>
      </c>
      <c r="F333" s="286" t="s">
        <v>603</v>
      </c>
      <c r="H333" s="290"/>
      <c r="I333" s="290"/>
    </row>
    <row r="334" spans="1:9">
      <c r="A334" s="286">
        <v>102</v>
      </c>
      <c r="B334" s="344">
        <v>1</v>
      </c>
      <c r="D334" s="286" t="s">
        <v>619</v>
      </c>
      <c r="E334" s="286" t="s">
        <v>686</v>
      </c>
      <c r="F334" s="286" t="s">
        <v>627</v>
      </c>
      <c r="H334" s="290">
        <v>4809.96</v>
      </c>
      <c r="I334" s="290">
        <v>204</v>
      </c>
    </row>
    <row r="335" spans="1:9">
      <c r="A335" s="286">
        <v>102</v>
      </c>
      <c r="B335" s="344">
        <v>1</v>
      </c>
      <c r="D335" s="286" t="s">
        <v>619</v>
      </c>
      <c r="E335" s="286" t="s">
        <v>686</v>
      </c>
      <c r="F335" s="286" t="s">
        <v>630</v>
      </c>
      <c r="H335" s="290">
        <v>4044.6899999999996</v>
      </c>
      <c r="I335" s="290">
        <v>171</v>
      </c>
    </row>
    <row r="336" spans="1:9">
      <c r="A336" s="286">
        <v>102</v>
      </c>
      <c r="B336" s="344">
        <v>1</v>
      </c>
      <c r="D336" s="286" t="s">
        <v>619</v>
      </c>
      <c r="E336" s="286" t="s">
        <v>686</v>
      </c>
      <c r="F336" s="286" t="s">
        <v>633</v>
      </c>
      <c r="H336" s="290">
        <v>2663.28</v>
      </c>
      <c r="I336" s="290">
        <v>112</v>
      </c>
    </row>
    <row r="337" spans="1:9">
      <c r="A337" s="286">
        <v>102</v>
      </c>
      <c r="B337" s="344">
        <v>1</v>
      </c>
      <c r="D337" s="286" t="s">
        <v>619</v>
      </c>
      <c r="E337" s="286" t="s">
        <v>686</v>
      </c>
      <c r="F337" s="286" t="s">
        <v>634</v>
      </c>
      <c r="H337" s="290">
        <v>255.09</v>
      </c>
      <c r="I337" s="290">
        <v>11</v>
      </c>
    </row>
    <row r="338" spans="1:9">
      <c r="A338" s="286">
        <v>102</v>
      </c>
      <c r="B338" s="344">
        <v>1</v>
      </c>
      <c r="D338" s="286" t="s">
        <v>619</v>
      </c>
      <c r="E338" s="286" t="s">
        <v>686</v>
      </c>
      <c r="F338" s="286" t="s">
        <v>623</v>
      </c>
      <c r="H338" s="290"/>
      <c r="I338" s="290"/>
    </row>
    <row r="339" spans="1:9">
      <c r="A339" s="286">
        <v>102</v>
      </c>
      <c r="B339" s="344">
        <v>1</v>
      </c>
      <c r="D339" s="286" t="s">
        <v>619</v>
      </c>
      <c r="E339" s="286" t="s">
        <v>686</v>
      </c>
      <c r="F339" s="286" t="s">
        <v>625</v>
      </c>
      <c r="H339" s="290"/>
      <c r="I339" s="290"/>
    </row>
    <row r="340" spans="1:9">
      <c r="A340" s="286">
        <v>102</v>
      </c>
      <c r="B340" s="344">
        <v>1</v>
      </c>
      <c r="D340" s="286" t="s">
        <v>619</v>
      </c>
      <c r="E340" s="286" t="s">
        <v>686</v>
      </c>
      <c r="F340" s="286" t="s">
        <v>629</v>
      </c>
      <c r="H340" s="290"/>
      <c r="I340" s="290"/>
    </row>
    <row r="341" spans="1:9">
      <c r="A341" s="286">
        <v>102</v>
      </c>
      <c r="B341" s="344">
        <v>1</v>
      </c>
      <c r="D341" s="286" t="s">
        <v>619</v>
      </c>
      <c r="E341" s="286" t="s">
        <v>686</v>
      </c>
      <c r="F341" s="286" t="s">
        <v>632</v>
      </c>
      <c r="H341" s="290"/>
      <c r="I341" s="290"/>
    </row>
    <row r="342" spans="1:9">
      <c r="A342" s="286">
        <v>108</v>
      </c>
      <c r="B342" s="344">
        <v>1</v>
      </c>
      <c r="D342" s="286" t="s">
        <v>619</v>
      </c>
      <c r="E342" s="286" t="s">
        <v>679</v>
      </c>
      <c r="F342" s="286" t="s">
        <v>621</v>
      </c>
      <c r="G342" s="286">
        <v>27</v>
      </c>
      <c r="H342" s="290">
        <v>37754.239999999998</v>
      </c>
      <c r="I342" s="290">
        <v>1487.3100000000002</v>
      </c>
    </row>
    <row r="343" spans="1:9">
      <c r="A343" s="286">
        <v>108</v>
      </c>
      <c r="B343" s="344">
        <v>1</v>
      </c>
      <c r="D343" s="286" t="s">
        <v>619</v>
      </c>
      <c r="E343" s="286" t="s">
        <v>679</v>
      </c>
      <c r="F343" s="286" t="s">
        <v>599</v>
      </c>
      <c r="H343" s="290"/>
      <c r="I343" s="290"/>
    </row>
    <row r="344" spans="1:9">
      <c r="A344" s="286">
        <v>108</v>
      </c>
      <c r="B344" s="344">
        <v>1</v>
      </c>
      <c r="D344" s="286" t="s">
        <v>619</v>
      </c>
      <c r="E344" s="286" t="s">
        <v>679</v>
      </c>
      <c r="F344" s="286" t="s">
        <v>601</v>
      </c>
      <c r="H344" s="290"/>
      <c r="I344" s="290"/>
    </row>
    <row r="345" spans="1:9">
      <c r="A345" s="286">
        <v>108</v>
      </c>
      <c r="B345" s="344">
        <v>1</v>
      </c>
      <c r="D345" s="286" t="s">
        <v>619</v>
      </c>
      <c r="E345" s="286" t="s">
        <v>679</v>
      </c>
      <c r="F345" s="286" t="s">
        <v>627</v>
      </c>
      <c r="H345" s="290">
        <v>5271.369999999999</v>
      </c>
      <c r="I345" s="290">
        <v>211.32000000000002</v>
      </c>
    </row>
    <row r="346" spans="1:9">
      <c r="A346" s="286">
        <v>108</v>
      </c>
      <c r="B346" s="344">
        <v>1</v>
      </c>
      <c r="D346" s="286" t="s">
        <v>619</v>
      </c>
      <c r="E346" s="286" t="s">
        <v>679</v>
      </c>
      <c r="F346" s="286" t="s">
        <v>630</v>
      </c>
      <c r="H346" s="290">
        <v>5423.61</v>
      </c>
      <c r="I346" s="290">
        <v>212.1</v>
      </c>
    </row>
    <row r="347" spans="1:9">
      <c r="A347" s="286">
        <v>108</v>
      </c>
      <c r="B347" s="344">
        <v>1</v>
      </c>
      <c r="D347" s="286" t="s">
        <v>619</v>
      </c>
      <c r="E347" s="286" t="s">
        <v>679</v>
      </c>
      <c r="F347" s="286" t="s">
        <v>633</v>
      </c>
      <c r="H347" s="290">
        <v>2850.24</v>
      </c>
      <c r="I347" s="290">
        <v>112</v>
      </c>
    </row>
    <row r="348" spans="1:9">
      <c r="A348" s="286">
        <v>108</v>
      </c>
      <c r="B348" s="344">
        <v>1</v>
      </c>
      <c r="D348" s="286" t="s">
        <v>619</v>
      </c>
      <c r="E348" s="286" t="s">
        <v>679</v>
      </c>
      <c r="F348" s="286" t="s">
        <v>680</v>
      </c>
      <c r="H348" s="290">
        <v>212.64</v>
      </c>
      <c r="I348" s="290">
        <v>8</v>
      </c>
    </row>
    <row r="349" spans="1:9">
      <c r="A349" s="286">
        <v>108</v>
      </c>
      <c r="B349" s="344">
        <v>1</v>
      </c>
      <c r="D349" s="286" t="s">
        <v>619</v>
      </c>
      <c r="E349" s="286" t="s">
        <v>679</v>
      </c>
      <c r="F349" s="286" t="s">
        <v>681</v>
      </c>
      <c r="H349" s="290">
        <v>411.2</v>
      </c>
      <c r="I349" s="290">
        <v>16</v>
      </c>
    </row>
    <row r="350" spans="1:9">
      <c r="A350" s="286">
        <v>108</v>
      </c>
      <c r="B350" s="344">
        <v>1</v>
      </c>
      <c r="D350" s="286" t="s">
        <v>619</v>
      </c>
      <c r="E350" s="286" t="s">
        <v>679</v>
      </c>
      <c r="F350" s="286" t="s">
        <v>634</v>
      </c>
      <c r="H350" s="290">
        <v>597.38</v>
      </c>
      <c r="I350" s="290">
        <v>23.95</v>
      </c>
    </row>
    <row r="351" spans="1:9">
      <c r="A351" s="286">
        <v>108</v>
      </c>
      <c r="B351" s="344">
        <v>1</v>
      </c>
      <c r="D351" s="286" t="s">
        <v>619</v>
      </c>
      <c r="E351" s="286" t="s">
        <v>679</v>
      </c>
      <c r="F351" s="286" t="s">
        <v>655</v>
      </c>
      <c r="H351" s="290">
        <v>99.28</v>
      </c>
      <c r="I351" s="290">
        <v>2</v>
      </c>
    </row>
    <row r="352" spans="1:9">
      <c r="A352" s="286">
        <v>108</v>
      </c>
      <c r="B352" s="344">
        <v>1</v>
      </c>
      <c r="D352" s="286" t="s">
        <v>619</v>
      </c>
      <c r="E352" s="286" t="s">
        <v>679</v>
      </c>
      <c r="F352" s="286" t="s">
        <v>623</v>
      </c>
      <c r="H352" s="290"/>
      <c r="I352" s="290"/>
    </row>
    <row r="353" spans="1:9">
      <c r="A353" s="286">
        <v>108</v>
      </c>
      <c r="B353" s="344">
        <v>1</v>
      </c>
      <c r="D353" s="286" t="s">
        <v>619</v>
      </c>
      <c r="E353" s="286" t="s">
        <v>679</v>
      </c>
      <c r="F353" s="286" t="s">
        <v>625</v>
      </c>
      <c r="H353" s="290"/>
      <c r="I353" s="290"/>
    </row>
    <row r="354" spans="1:9">
      <c r="A354" s="286">
        <v>108</v>
      </c>
      <c r="B354" s="344">
        <v>1</v>
      </c>
      <c r="D354" s="286" t="s">
        <v>619</v>
      </c>
      <c r="E354" s="286" t="s">
        <v>679</v>
      </c>
      <c r="F354" s="286" t="s">
        <v>629</v>
      </c>
      <c r="H354" s="290"/>
      <c r="I354" s="290"/>
    </row>
    <row r="355" spans="1:9">
      <c r="A355" s="286">
        <v>108</v>
      </c>
      <c r="B355" s="344">
        <v>1</v>
      </c>
      <c r="D355" s="286" t="s">
        <v>619</v>
      </c>
      <c r="E355" s="286" t="s">
        <v>679</v>
      </c>
      <c r="F355" s="286" t="s">
        <v>632</v>
      </c>
      <c r="H355" s="290"/>
      <c r="I355" s="290"/>
    </row>
    <row r="356" spans="1:9">
      <c r="A356" s="286">
        <v>109</v>
      </c>
      <c r="B356" s="344">
        <v>1</v>
      </c>
      <c r="D356" s="286" t="s">
        <v>619</v>
      </c>
      <c r="E356" s="286" t="s">
        <v>670</v>
      </c>
      <c r="F356" s="286" t="s">
        <v>621</v>
      </c>
      <c r="G356" s="286">
        <v>27</v>
      </c>
      <c r="H356" s="290">
        <v>39999.949999999997</v>
      </c>
      <c r="I356" s="290">
        <v>1673.5000000000002</v>
      </c>
    </row>
    <row r="357" spans="1:9">
      <c r="A357" s="286">
        <v>109</v>
      </c>
      <c r="B357" s="344">
        <v>1</v>
      </c>
      <c r="D357" s="286" t="s">
        <v>619</v>
      </c>
      <c r="E357" s="286" t="s">
        <v>670</v>
      </c>
      <c r="F357" s="286" t="s">
        <v>599</v>
      </c>
      <c r="H357" s="290"/>
      <c r="I357" s="290"/>
    </row>
    <row r="358" spans="1:9">
      <c r="A358" s="286">
        <v>109</v>
      </c>
      <c r="B358" s="344">
        <v>1</v>
      </c>
      <c r="D358" s="286" t="s">
        <v>619</v>
      </c>
      <c r="E358" s="286" t="s">
        <v>670</v>
      </c>
      <c r="F358" s="286" t="s">
        <v>601</v>
      </c>
      <c r="H358" s="290"/>
      <c r="I358" s="290"/>
    </row>
    <row r="359" spans="1:9">
      <c r="A359" s="286">
        <v>109</v>
      </c>
      <c r="B359" s="344">
        <v>1</v>
      </c>
      <c r="D359" s="286" t="s">
        <v>619</v>
      </c>
      <c r="E359" s="286" t="s">
        <v>670</v>
      </c>
      <c r="F359" s="286" t="s">
        <v>627</v>
      </c>
      <c r="H359" s="290">
        <v>4788.8799999999992</v>
      </c>
      <c r="I359" s="290">
        <v>200</v>
      </c>
    </row>
    <row r="360" spans="1:9">
      <c r="A360" s="286">
        <v>109</v>
      </c>
      <c r="B360" s="344">
        <v>1</v>
      </c>
      <c r="D360" s="286" t="s">
        <v>619</v>
      </c>
      <c r="E360" s="286" t="s">
        <v>670</v>
      </c>
      <c r="F360" s="286" t="s">
        <v>630</v>
      </c>
      <c r="H360" s="290">
        <v>526.73</v>
      </c>
      <c r="I360" s="290">
        <v>22.5</v>
      </c>
    </row>
    <row r="361" spans="1:9">
      <c r="A361" s="286">
        <v>109</v>
      </c>
      <c r="B361" s="344">
        <v>1</v>
      </c>
      <c r="D361" s="286" t="s">
        <v>619</v>
      </c>
      <c r="E361" s="286" t="s">
        <v>670</v>
      </c>
      <c r="F361" s="286" t="s">
        <v>633</v>
      </c>
      <c r="H361" s="290">
        <v>2688.7200000000003</v>
      </c>
      <c r="I361" s="290">
        <v>112</v>
      </c>
    </row>
    <row r="362" spans="1:9">
      <c r="A362" s="286">
        <v>109</v>
      </c>
      <c r="B362" s="344">
        <v>1</v>
      </c>
      <c r="D362" s="286" t="s">
        <v>619</v>
      </c>
      <c r="E362" s="286" t="s">
        <v>670</v>
      </c>
      <c r="F362" s="286" t="s">
        <v>604</v>
      </c>
      <c r="H362" s="290"/>
      <c r="I362" s="290"/>
    </row>
    <row r="363" spans="1:9">
      <c r="A363" s="286">
        <v>109</v>
      </c>
      <c r="B363" s="344">
        <v>1</v>
      </c>
      <c r="D363" s="286" t="s">
        <v>619</v>
      </c>
      <c r="E363" s="286" t="s">
        <v>670</v>
      </c>
      <c r="F363" s="286" t="s">
        <v>634</v>
      </c>
      <c r="H363" s="290">
        <v>593.56999999999994</v>
      </c>
      <c r="I363" s="290">
        <v>24</v>
      </c>
    </row>
    <row r="364" spans="1:9">
      <c r="A364" s="286">
        <v>109</v>
      </c>
      <c r="B364" s="344">
        <v>1</v>
      </c>
      <c r="D364" s="286" t="s">
        <v>619</v>
      </c>
      <c r="E364" s="286" t="s">
        <v>670</v>
      </c>
      <c r="F364" s="286" t="s">
        <v>635</v>
      </c>
      <c r="H364" s="290">
        <v>561.84</v>
      </c>
      <c r="I364" s="290">
        <v>24</v>
      </c>
    </row>
    <row r="365" spans="1:9">
      <c r="A365" s="286">
        <v>109</v>
      </c>
      <c r="B365" s="344">
        <v>1</v>
      </c>
      <c r="D365" s="286" t="s">
        <v>619</v>
      </c>
      <c r="E365" s="286" t="s">
        <v>670</v>
      </c>
      <c r="F365" s="286" t="s">
        <v>612</v>
      </c>
      <c r="H365" s="290"/>
      <c r="I365" s="290"/>
    </row>
    <row r="366" spans="1:9">
      <c r="A366" s="286">
        <v>109</v>
      </c>
      <c r="B366" s="344">
        <v>1</v>
      </c>
      <c r="D366" s="286" t="s">
        <v>619</v>
      </c>
      <c r="E366" s="286" t="s">
        <v>670</v>
      </c>
      <c r="F366" s="286" t="s">
        <v>623</v>
      </c>
      <c r="H366" s="290"/>
      <c r="I366" s="290"/>
    </row>
    <row r="367" spans="1:9">
      <c r="A367" s="286">
        <v>109</v>
      </c>
      <c r="B367" s="344">
        <v>1</v>
      </c>
      <c r="D367" s="286" t="s">
        <v>619</v>
      </c>
      <c r="E367" s="286" t="s">
        <v>670</v>
      </c>
      <c r="F367" s="286" t="s">
        <v>625</v>
      </c>
      <c r="H367" s="290"/>
      <c r="I367" s="290"/>
    </row>
    <row r="368" spans="1:9">
      <c r="A368" s="286">
        <v>109</v>
      </c>
      <c r="B368" s="344">
        <v>1</v>
      </c>
      <c r="D368" s="286" t="s">
        <v>619</v>
      </c>
      <c r="E368" s="286" t="s">
        <v>670</v>
      </c>
      <c r="F368" s="286" t="s">
        <v>632</v>
      </c>
      <c r="H368" s="290"/>
      <c r="I368" s="290"/>
    </row>
    <row r="369" spans="1:9">
      <c r="A369" s="286">
        <v>112</v>
      </c>
      <c r="B369" s="344">
        <v>1</v>
      </c>
      <c r="D369" s="286" t="s">
        <v>619</v>
      </c>
      <c r="E369" s="286" t="s">
        <v>677</v>
      </c>
      <c r="F369" s="286" t="s">
        <v>621</v>
      </c>
      <c r="G369" s="286">
        <v>27</v>
      </c>
      <c r="H369" s="290">
        <v>52885.659999999996</v>
      </c>
      <c r="I369" s="290">
        <v>1706</v>
      </c>
    </row>
    <row r="370" spans="1:9">
      <c r="A370" s="286">
        <v>112</v>
      </c>
      <c r="B370" s="344">
        <v>1</v>
      </c>
      <c r="D370" s="286" t="s">
        <v>619</v>
      </c>
      <c r="E370" s="286" t="s">
        <v>677</v>
      </c>
      <c r="F370" s="286" t="s">
        <v>599</v>
      </c>
      <c r="H370" s="290"/>
      <c r="I370" s="290"/>
    </row>
    <row r="371" spans="1:9">
      <c r="A371" s="286">
        <v>112</v>
      </c>
      <c r="B371" s="344">
        <v>1</v>
      </c>
      <c r="D371" s="286" t="s">
        <v>619</v>
      </c>
      <c r="E371" s="286" t="s">
        <v>677</v>
      </c>
      <c r="F371" s="286" t="s">
        <v>601</v>
      </c>
      <c r="H371" s="290"/>
      <c r="I371" s="290"/>
    </row>
    <row r="372" spans="1:9">
      <c r="A372" s="286">
        <v>112</v>
      </c>
      <c r="B372" s="344">
        <v>1</v>
      </c>
      <c r="D372" s="286" t="s">
        <v>619</v>
      </c>
      <c r="E372" s="286" t="s">
        <v>677</v>
      </c>
      <c r="F372" s="286" t="s">
        <v>603</v>
      </c>
      <c r="H372" s="290"/>
      <c r="I372" s="290"/>
    </row>
    <row r="373" spans="1:9">
      <c r="A373" s="286">
        <v>112</v>
      </c>
      <c r="B373" s="344">
        <v>1</v>
      </c>
      <c r="D373" s="286" t="s">
        <v>619</v>
      </c>
      <c r="E373" s="286" t="s">
        <v>677</v>
      </c>
      <c r="F373" s="286" t="s">
        <v>627</v>
      </c>
      <c r="H373" s="290">
        <v>4213.88</v>
      </c>
      <c r="I373" s="290">
        <v>136</v>
      </c>
    </row>
    <row r="374" spans="1:9">
      <c r="A374" s="286">
        <v>112</v>
      </c>
      <c r="B374" s="344">
        <v>1</v>
      </c>
      <c r="D374" s="286" t="s">
        <v>619</v>
      </c>
      <c r="E374" s="286" t="s">
        <v>677</v>
      </c>
      <c r="F374" s="286" t="s">
        <v>606</v>
      </c>
      <c r="H374" s="290"/>
      <c r="I374" s="290"/>
    </row>
    <row r="375" spans="1:9">
      <c r="A375" s="286">
        <v>112</v>
      </c>
      <c r="B375" s="344">
        <v>1</v>
      </c>
      <c r="D375" s="286" t="s">
        <v>619</v>
      </c>
      <c r="E375" s="286" t="s">
        <v>677</v>
      </c>
      <c r="F375" s="286" t="s">
        <v>630</v>
      </c>
      <c r="H375" s="290">
        <v>5438.2199999999993</v>
      </c>
      <c r="I375" s="290">
        <v>174</v>
      </c>
    </row>
    <row r="376" spans="1:9">
      <c r="A376" s="286">
        <v>112</v>
      </c>
      <c r="B376" s="344">
        <v>1</v>
      </c>
      <c r="D376" s="286" t="s">
        <v>619</v>
      </c>
      <c r="E376" s="286" t="s">
        <v>677</v>
      </c>
      <c r="F376" s="286" t="s">
        <v>633</v>
      </c>
      <c r="H376" s="290">
        <v>3478.6399999999994</v>
      </c>
      <c r="I376" s="290">
        <v>112</v>
      </c>
    </row>
    <row r="377" spans="1:9">
      <c r="A377" s="286">
        <v>112</v>
      </c>
      <c r="B377" s="344">
        <v>1</v>
      </c>
      <c r="D377" s="286" t="s">
        <v>619</v>
      </c>
      <c r="E377" s="286" t="s">
        <v>677</v>
      </c>
      <c r="F377" s="286" t="s">
        <v>604</v>
      </c>
      <c r="H377" s="290"/>
      <c r="I377" s="290"/>
    </row>
    <row r="378" spans="1:9">
      <c r="A378" s="286">
        <v>112</v>
      </c>
      <c r="B378" s="344">
        <v>1</v>
      </c>
      <c r="D378" s="286" t="s">
        <v>619</v>
      </c>
      <c r="E378" s="286" t="s">
        <v>677</v>
      </c>
      <c r="F378" s="286" t="s">
        <v>634</v>
      </c>
      <c r="H378" s="290">
        <v>738.48</v>
      </c>
      <c r="I378" s="290">
        <v>24</v>
      </c>
    </row>
    <row r="379" spans="1:9">
      <c r="A379" s="286">
        <v>112</v>
      </c>
      <c r="B379" s="344">
        <v>1</v>
      </c>
      <c r="D379" s="286" t="s">
        <v>619</v>
      </c>
      <c r="E379" s="286" t="s">
        <v>677</v>
      </c>
      <c r="F379" s="286" t="s">
        <v>623</v>
      </c>
      <c r="H379" s="290"/>
      <c r="I379" s="290"/>
    </row>
    <row r="380" spans="1:9">
      <c r="A380" s="286">
        <v>112</v>
      </c>
      <c r="B380" s="344">
        <v>1</v>
      </c>
      <c r="D380" s="286" t="s">
        <v>619</v>
      </c>
      <c r="E380" s="286" t="s">
        <v>677</v>
      </c>
      <c r="F380" s="286" t="s">
        <v>625</v>
      </c>
      <c r="H380" s="290"/>
      <c r="I380" s="290"/>
    </row>
    <row r="381" spans="1:9">
      <c r="A381" s="286">
        <v>112</v>
      </c>
      <c r="B381" s="344">
        <v>1</v>
      </c>
      <c r="D381" s="286" t="s">
        <v>619</v>
      </c>
      <c r="E381" s="286" t="s">
        <v>677</v>
      </c>
      <c r="F381" s="286" t="s">
        <v>632</v>
      </c>
      <c r="H381" s="290"/>
      <c r="I381" s="290"/>
    </row>
    <row r="382" spans="1:9">
      <c r="A382" s="286">
        <v>113</v>
      </c>
      <c r="B382" s="344">
        <v>1</v>
      </c>
      <c r="D382" s="286" t="s">
        <v>644</v>
      </c>
      <c r="E382" s="286" t="s">
        <v>682</v>
      </c>
      <c r="F382" s="286" t="s">
        <v>598</v>
      </c>
      <c r="G382" s="286">
        <v>26</v>
      </c>
      <c r="H382" s="290">
        <v>32842.71</v>
      </c>
      <c r="I382" s="290">
        <v>1738.71</v>
      </c>
    </row>
    <row r="383" spans="1:9">
      <c r="A383" s="286">
        <v>113</v>
      </c>
      <c r="B383" s="344">
        <v>1</v>
      </c>
      <c r="D383" s="286" t="s">
        <v>644</v>
      </c>
      <c r="E383" s="286" t="s">
        <v>682</v>
      </c>
      <c r="F383" s="286" t="s">
        <v>599</v>
      </c>
      <c r="H383" s="290"/>
      <c r="I383" s="290"/>
    </row>
    <row r="384" spans="1:9">
      <c r="A384" s="286">
        <v>113</v>
      </c>
      <c r="B384" s="344">
        <v>1</v>
      </c>
      <c r="D384" s="286" t="s">
        <v>644</v>
      </c>
      <c r="E384" s="286" t="s">
        <v>682</v>
      </c>
      <c r="F384" s="286" t="s">
        <v>605</v>
      </c>
      <c r="H384" s="290">
        <v>3757.57</v>
      </c>
      <c r="I384" s="290">
        <v>197.37</v>
      </c>
    </row>
    <row r="385" spans="1:9">
      <c r="A385" s="286">
        <v>113</v>
      </c>
      <c r="B385" s="344">
        <v>1</v>
      </c>
      <c r="D385" s="286" t="s">
        <v>644</v>
      </c>
      <c r="E385" s="286" t="s">
        <v>682</v>
      </c>
      <c r="F385" s="286" t="s">
        <v>608</v>
      </c>
      <c r="H385" s="290">
        <v>1936.7200000000003</v>
      </c>
      <c r="I385" s="290">
        <v>102.41</v>
      </c>
    </row>
    <row r="386" spans="1:9">
      <c r="A386" s="286">
        <v>113</v>
      </c>
      <c r="B386" s="344">
        <v>1</v>
      </c>
      <c r="D386" s="286" t="s">
        <v>644</v>
      </c>
      <c r="E386" s="286" t="s">
        <v>682</v>
      </c>
      <c r="F386" s="286" t="s">
        <v>602</v>
      </c>
      <c r="H386" s="290"/>
      <c r="I386" s="290"/>
    </row>
    <row r="387" spans="1:9">
      <c r="A387" s="286">
        <v>113</v>
      </c>
      <c r="B387" s="344">
        <v>1</v>
      </c>
      <c r="D387" s="286" t="s">
        <v>644</v>
      </c>
      <c r="E387" s="286" t="s">
        <v>682</v>
      </c>
      <c r="F387" s="286" t="s">
        <v>610</v>
      </c>
      <c r="H387" s="290">
        <v>348.66</v>
      </c>
      <c r="I387" s="290">
        <v>17.920000000000002</v>
      </c>
    </row>
    <row r="388" spans="1:9">
      <c r="A388" s="286">
        <v>113</v>
      </c>
      <c r="B388" s="344">
        <v>1</v>
      </c>
      <c r="D388" s="286" t="s">
        <v>644</v>
      </c>
      <c r="E388" s="286" t="s">
        <v>682</v>
      </c>
      <c r="F388" s="286" t="s">
        <v>642</v>
      </c>
      <c r="H388" s="290">
        <v>88.35</v>
      </c>
      <c r="I388" s="290">
        <v>4.72</v>
      </c>
    </row>
    <row r="389" spans="1:9">
      <c r="A389" s="286">
        <v>113</v>
      </c>
      <c r="B389" s="344">
        <v>1</v>
      </c>
      <c r="D389" s="286" t="s">
        <v>644</v>
      </c>
      <c r="E389" s="286" t="s">
        <v>682</v>
      </c>
      <c r="F389" s="286" t="s">
        <v>612</v>
      </c>
      <c r="H389" s="290"/>
      <c r="I389" s="290"/>
    </row>
    <row r="390" spans="1:9">
      <c r="A390" s="286">
        <v>113</v>
      </c>
      <c r="B390" s="344">
        <v>1</v>
      </c>
      <c r="D390" s="286" t="s">
        <v>644</v>
      </c>
      <c r="E390" s="286" t="s">
        <v>682</v>
      </c>
      <c r="F390" s="286" t="s">
        <v>614</v>
      </c>
      <c r="H390" s="290"/>
      <c r="I390" s="290"/>
    </row>
    <row r="391" spans="1:9">
      <c r="A391" s="286">
        <v>113</v>
      </c>
      <c r="B391" s="344">
        <v>1</v>
      </c>
      <c r="D391" s="286" t="s">
        <v>644</v>
      </c>
      <c r="E391" s="286" t="s">
        <v>682</v>
      </c>
      <c r="F391" s="286" t="s">
        <v>616</v>
      </c>
      <c r="H391" s="290"/>
      <c r="I391" s="290"/>
    </row>
    <row r="392" spans="1:9">
      <c r="A392" s="286">
        <v>113</v>
      </c>
      <c r="B392" s="344">
        <v>1</v>
      </c>
      <c r="D392" s="286" t="s">
        <v>644</v>
      </c>
      <c r="E392" s="286" t="s">
        <v>682</v>
      </c>
      <c r="F392" s="286" t="s">
        <v>632</v>
      </c>
      <c r="H392" s="290"/>
      <c r="I392" s="290"/>
    </row>
    <row r="393" spans="1:9">
      <c r="A393" s="286">
        <v>117</v>
      </c>
      <c r="B393" s="344">
        <v>1</v>
      </c>
      <c r="D393" s="286" t="s">
        <v>644</v>
      </c>
      <c r="E393" s="286" t="s">
        <v>651</v>
      </c>
      <c r="F393" s="286" t="s">
        <v>598</v>
      </c>
      <c r="G393" s="286">
        <v>26</v>
      </c>
      <c r="H393" s="290">
        <v>31210.86</v>
      </c>
      <c r="I393" s="290">
        <v>1709.75</v>
      </c>
    </row>
    <row r="394" spans="1:9">
      <c r="A394" s="286">
        <v>117</v>
      </c>
      <c r="B394" s="344">
        <v>1</v>
      </c>
      <c r="D394" s="286" t="s">
        <v>644</v>
      </c>
      <c r="E394" s="286" t="s">
        <v>651</v>
      </c>
      <c r="F394" s="286" t="s">
        <v>599</v>
      </c>
      <c r="H394" s="290"/>
      <c r="I394" s="290"/>
    </row>
    <row r="395" spans="1:9">
      <c r="A395" s="286">
        <v>117</v>
      </c>
      <c r="B395" s="344">
        <v>1</v>
      </c>
      <c r="D395" s="286" t="s">
        <v>644</v>
      </c>
      <c r="E395" s="286" t="s">
        <v>651</v>
      </c>
      <c r="F395" s="286" t="s">
        <v>605</v>
      </c>
      <c r="H395" s="290">
        <v>3825.66</v>
      </c>
      <c r="I395" s="290">
        <v>211</v>
      </c>
    </row>
    <row r="396" spans="1:9">
      <c r="A396" s="286">
        <v>117</v>
      </c>
      <c r="B396" s="344">
        <v>1</v>
      </c>
      <c r="D396" s="286" t="s">
        <v>644</v>
      </c>
      <c r="E396" s="286" t="s">
        <v>651</v>
      </c>
      <c r="F396" s="286" t="s">
        <v>608</v>
      </c>
      <c r="H396" s="290">
        <v>2344.9499999999998</v>
      </c>
      <c r="I396" s="290">
        <v>128.80000000000001</v>
      </c>
    </row>
    <row r="397" spans="1:9">
      <c r="A397" s="286">
        <v>117</v>
      </c>
      <c r="B397" s="344">
        <v>1</v>
      </c>
      <c r="D397" s="286" t="s">
        <v>644</v>
      </c>
      <c r="E397" s="286" t="s">
        <v>651</v>
      </c>
      <c r="F397" s="286" t="s">
        <v>630</v>
      </c>
      <c r="H397" s="290">
        <v>78.52</v>
      </c>
      <c r="I397" s="290">
        <v>4.3</v>
      </c>
    </row>
    <row r="398" spans="1:9">
      <c r="A398" s="286">
        <v>117</v>
      </c>
      <c r="B398" s="344">
        <v>1</v>
      </c>
      <c r="D398" s="286" t="s">
        <v>644</v>
      </c>
      <c r="E398" s="286" t="s">
        <v>651</v>
      </c>
      <c r="F398" s="286" t="s">
        <v>602</v>
      </c>
      <c r="H398" s="290"/>
      <c r="I398" s="290"/>
    </row>
    <row r="399" spans="1:9">
      <c r="A399" s="286">
        <v>117</v>
      </c>
      <c r="B399" s="344">
        <v>1</v>
      </c>
      <c r="D399" s="286" t="s">
        <v>644</v>
      </c>
      <c r="E399" s="286" t="s">
        <v>651</v>
      </c>
      <c r="F399" s="286" t="s">
        <v>610</v>
      </c>
      <c r="H399" s="290">
        <v>109.55</v>
      </c>
      <c r="I399" s="290">
        <v>6</v>
      </c>
    </row>
    <row r="400" spans="1:9">
      <c r="A400" s="286">
        <v>117</v>
      </c>
      <c r="B400" s="344">
        <v>1</v>
      </c>
      <c r="D400" s="286" t="s">
        <v>644</v>
      </c>
      <c r="E400" s="286" t="s">
        <v>651</v>
      </c>
      <c r="F400" s="286" t="s">
        <v>642</v>
      </c>
      <c r="H400" s="290">
        <v>8.2199999999999989</v>
      </c>
      <c r="I400" s="290">
        <v>0.44999999999999996</v>
      </c>
    </row>
    <row r="401" spans="1:9">
      <c r="A401" s="286">
        <v>117</v>
      </c>
      <c r="B401" s="344">
        <v>1</v>
      </c>
      <c r="D401" s="286" t="s">
        <v>644</v>
      </c>
      <c r="E401" s="286" t="s">
        <v>651</v>
      </c>
      <c r="F401" s="286" t="s">
        <v>614</v>
      </c>
      <c r="H401" s="290"/>
      <c r="I401" s="290"/>
    </row>
    <row r="402" spans="1:9">
      <c r="A402" s="286">
        <v>117</v>
      </c>
      <c r="B402" s="344">
        <v>1</v>
      </c>
      <c r="D402" s="286" t="s">
        <v>644</v>
      </c>
      <c r="E402" s="286" t="s">
        <v>651</v>
      </c>
      <c r="F402" s="286" t="s">
        <v>616</v>
      </c>
      <c r="H402" s="290"/>
      <c r="I402" s="290"/>
    </row>
    <row r="403" spans="1:9">
      <c r="A403" s="286">
        <v>118</v>
      </c>
      <c r="B403" s="344">
        <v>1</v>
      </c>
      <c r="D403" s="286" t="s">
        <v>619</v>
      </c>
      <c r="E403" s="286" t="s">
        <v>677</v>
      </c>
      <c r="F403" s="286" t="s">
        <v>621</v>
      </c>
      <c r="G403" s="286">
        <v>27</v>
      </c>
      <c r="H403" s="290">
        <v>55711.48000000001</v>
      </c>
      <c r="I403" s="290">
        <v>1764.3</v>
      </c>
    </row>
    <row r="404" spans="1:9">
      <c r="A404" s="286">
        <v>118</v>
      </c>
      <c r="B404" s="344">
        <v>1</v>
      </c>
      <c r="D404" s="286" t="s">
        <v>619</v>
      </c>
      <c r="E404" s="286" t="s">
        <v>677</v>
      </c>
      <c r="F404" s="286" t="s">
        <v>599</v>
      </c>
      <c r="H404" s="290"/>
      <c r="I404" s="290"/>
    </row>
    <row r="405" spans="1:9">
      <c r="A405" s="286">
        <v>118</v>
      </c>
      <c r="B405" s="344">
        <v>1</v>
      </c>
      <c r="D405" s="286" t="s">
        <v>619</v>
      </c>
      <c r="E405" s="286" t="s">
        <v>677</v>
      </c>
      <c r="F405" s="286" t="s">
        <v>601</v>
      </c>
      <c r="H405" s="290"/>
      <c r="I405" s="290"/>
    </row>
    <row r="406" spans="1:9">
      <c r="A406" s="286">
        <v>118</v>
      </c>
      <c r="B406" s="344">
        <v>1</v>
      </c>
      <c r="D406" s="286" t="s">
        <v>619</v>
      </c>
      <c r="E406" s="286" t="s">
        <v>677</v>
      </c>
      <c r="F406" s="286" t="s">
        <v>627</v>
      </c>
      <c r="H406" s="290">
        <v>3764.88</v>
      </c>
      <c r="I406" s="290">
        <v>120</v>
      </c>
    </row>
    <row r="407" spans="1:9">
      <c r="A407" s="286">
        <v>118</v>
      </c>
      <c r="B407" s="344">
        <v>1</v>
      </c>
      <c r="D407" s="286" t="s">
        <v>619</v>
      </c>
      <c r="E407" s="286" t="s">
        <v>677</v>
      </c>
      <c r="F407" s="286" t="s">
        <v>630</v>
      </c>
      <c r="H407" s="290">
        <v>2383.8799999999997</v>
      </c>
      <c r="I407" s="290">
        <v>75.7</v>
      </c>
    </row>
    <row r="408" spans="1:9">
      <c r="A408" s="286">
        <v>118</v>
      </c>
      <c r="B408" s="344">
        <v>1</v>
      </c>
      <c r="D408" s="286" t="s">
        <v>619</v>
      </c>
      <c r="E408" s="286" t="s">
        <v>677</v>
      </c>
      <c r="F408" s="286" t="s">
        <v>683</v>
      </c>
      <c r="H408" s="290">
        <v>257.04000000000002</v>
      </c>
      <c r="I408" s="290">
        <v>8</v>
      </c>
    </row>
    <row r="409" spans="1:9">
      <c r="A409" s="286">
        <v>118</v>
      </c>
      <c r="B409" s="344">
        <v>1</v>
      </c>
      <c r="D409" s="286" t="s">
        <v>619</v>
      </c>
      <c r="E409" s="286" t="s">
        <v>677</v>
      </c>
      <c r="F409" s="286" t="s">
        <v>633</v>
      </c>
      <c r="H409" s="290">
        <v>3540.24</v>
      </c>
      <c r="I409" s="290">
        <v>112</v>
      </c>
    </row>
    <row r="410" spans="1:9">
      <c r="A410" s="286">
        <v>118</v>
      </c>
      <c r="B410" s="344">
        <v>1</v>
      </c>
      <c r="D410" s="286" t="s">
        <v>619</v>
      </c>
      <c r="E410" s="286" t="s">
        <v>677</v>
      </c>
      <c r="F410" s="286" t="s">
        <v>634</v>
      </c>
      <c r="H410" s="290">
        <v>514.08000000000004</v>
      </c>
      <c r="I410" s="290">
        <v>16</v>
      </c>
    </row>
    <row r="411" spans="1:9">
      <c r="A411" s="286">
        <v>118</v>
      </c>
      <c r="B411" s="344">
        <v>1</v>
      </c>
      <c r="D411" s="286" t="s">
        <v>619</v>
      </c>
      <c r="E411" s="286" t="s">
        <v>677</v>
      </c>
      <c r="F411" s="286" t="s">
        <v>635</v>
      </c>
      <c r="H411" s="290">
        <v>257.04000000000002</v>
      </c>
      <c r="I411" s="290">
        <v>8</v>
      </c>
    </row>
    <row r="412" spans="1:9">
      <c r="A412" s="286">
        <v>118</v>
      </c>
      <c r="B412" s="344">
        <v>1</v>
      </c>
      <c r="D412" s="286" t="s">
        <v>619</v>
      </c>
      <c r="E412" s="286" t="s">
        <v>677</v>
      </c>
      <c r="F412" s="286" t="s">
        <v>623</v>
      </c>
      <c r="H412" s="290"/>
      <c r="I412" s="290"/>
    </row>
    <row r="413" spans="1:9">
      <c r="A413" s="286">
        <v>118</v>
      </c>
      <c r="B413" s="344">
        <v>1</v>
      </c>
      <c r="D413" s="286" t="s">
        <v>619</v>
      </c>
      <c r="E413" s="286" t="s">
        <v>677</v>
      </c>
      <c r="F413" s="286" t="s">
        <v>625</v>
      </c>
      <c r="H413" s="290"/>
      <c r="I413" s="290"/>
    </row>
    <row r="414" spans="1:9">
      <c r="A414" s="286">
        <v>118</v>
      </c>
      <c r="B414" s="344">
        <v>1</v>
      </c>
      <c r="D414" s="286" t="s">
        <v>619</v>
      </c>
      <c r="E414" s="286" t="s">
        <v>677</v>
      </c>
      <c r="F414" s="286" t="s">
        <v>636</v>
      </c>
      <c r="H414" s="290">
        <v>250.56</v>
      </c>
      <c r="I414" s="290">
        <v>0</v>
      </c>
    </row>
    <row r="415" spans="1:9">
      <c r="A415" s="286">
        <v>118</v>
      </c>
      <c r="B415" s="344">
        <v>1</v>
      </c>
      <c r="D415" s="286" t="s">
        <v>619</v>
      </c>
      <c r="E415" s="286" t="s">
        <v>677</v>
      </c>
      <c r="F415" s="286" t="s">
        <v>632</v>
      </c>
      <c r="H415" s="290"/>
      <c r="I415" s="290"/>
    </row>
    <row r="416" spans="1:9">
      <c r="A416" s="286">
        <v>120</v>
      </c>
      <c r="B416" s="344">
        <v>1</v>
      </c>
      <c r="D416" s="286" t="s">
        <v>619</v>
      </c>
      <c r="E416" s="286" t="s">
        <v>686</v>
      </c>
      <c r="F416" s="286" t="s">
        <v>621</v>
      </c>
      <c r="G416" s="286">
        <v>23</v>
      </c>
      <c r="H416" s="290">
        <v>36814.54</v>
      </c>
      <c r="I416" s="290">
        <v>1539.3000000000002</v>
      </c>
    </row>
    <row r="417" spans="1:9">
      <c r="A417" s="286">
        <v>120</v>
      </c>
      <c r="B417" s="344">
        <v>1</v>
      </c>
      <c r="D417" s="286" t="s">
        <v>619</v>
      </c>
      <c r="E417" s="286" t="s">
        <v>686</v>
      </c>
      <c r="F417" s="286" t="s">
        <v>622</v>
      </c>
      <c r="H417" s="290">
        <v>794.24</v>
      </c>
      <c r="I417" s="290">
        <v>32</v>
      </c>
    </row>
    <row r="418" spans="1:9">
      <c r="A418" s="286">
        <v>120</v>
      </c>
      <c r="B418" s="344">
        <v>1</v>
      </c>
      <c r="D418" s="286" t="s">
        <v>619</v>
      </c>
      <c r="E418" s="286" t="s">
        <v>686</v>
      </c>
      <c r="F418" s="286" t="s">
        <v>599</v>
      </c>
      <c r="H418" s="290"/>
      <c r="I418" s="290"/>
    </row>
    <row r="419" spans="1:9">
      <c r="A419" s="286">
        <v>120</v>
      </c>
      <c r="B419" s="344">
        <v>1</v>
      </c>
      <c r="D419" s="286" t="s">
        <v>619</v>
      </c>
      <c r="E419" s="286" t="s">
        <v>686</v>
      </c>
      <c r="F419" s="286" t="s">
        <v>601</v>
      </c>
      <c r="H419" s="290"/>
      <c r="I419" s="290"/>
    </row>
    <row r="420" spans="1:9">
      <c r="A420" s="286">
        <v>120</v>
      </c>
      <c r="B420" s="344">
        <v>1</v>
      </c>
      <c r="D420" s="286" t="s">
        <v>619</v>
      </c>
      <c r="E420" s="286" t="s">
        <v>686</v>
      </c>
      <c r="F420" s="286" t="s">
        <v>603</v>
      </c>
      <c r="H420" s="290"/>
      <c r="I420" s="290"/>
    </row>
    <row r="421" spans="1:9">
      <c r="A421" s="286">
        <v>120</v>
      </c>
      <c r="B421" s="344">
        <v>1</v>
      </c>
      <c r="D421" s="286" t="s">
        <v>619</v>
      </c>
      <c r="E421" s="286" t="s">
        <v>686</v>
      </c>
      <c r="F421" s="286" t="s">
        <v>627</v>
      </c>
      <c r="H421" s="290">
        <v>5000.33</v>
      </c>
      <c r="I421" s="290">
        <v>210.35</v>
      </c>
    </row>
    <row r="422" spans="1:9">
      <c r="A422" s="286">
        <v>120</v>
      </c>
      <c r="B422" s="344">
        <v>1</v>
      </c>
      <c r="D422" s="286" t="s">
        <v>619</v>
      </c>
      <c r="E422" s="286" t="s">
        <v>686</v>
      </c>
      <c r="F422" s="286" t="s">
        <v>630</v>
      </c>
      <c r="H422" s="290">
        <v>3504.7699999999995</v>
      </c>
      <c r="I422" s="290">
        <v>146.19999999999999</v>
      </c>
    </row>
    <row r="423" spans="1:9">
      <c r="A423" s="286">
        <v>120</v>
      </c>
      <c r="B423" s="344">
        <v>1</v>
      </c>
      <c r="D423" s="286" t="s">
        <v>619</v>
      </c>
      <c r="E423" s="286" t="s">
        <v>686</v>
      </c>
      <c r="F423" s="286" t="s">
        <v>633</v>
      </c>
      <c r="H423" s="290">
        <v>2702.3999999999996</v>
      </c>
      <c r="I423" s="290">
        <v>112</v>
      </c>
    </row>
    <row r="424" spans="1:9">
      <c r="A424" s="286">
        <v>120</v>
      </c>
      <c r="B424" s="344">
        <v>1</v>
      </c>
      <c r="D424" s="286" t="s">
        <v>619</v>
      </c>
      <c r="E424" s="286" t="s">
        <v>686</v>
      </c>
      <c r="F424" s="286" t="s">
        <v>634</v>
      </c>
      <c r="H424" s="290">
        <v>980.08</v>
      </c>
      <c r="I424" s="290">
        <v>40</v>
      </c>
    </row>
    <row r="425" spans="1:9">
      <c r="A425" s="286">
        <v>120</v>
      </c>
      <c r="B425" s="344">
        <v>1</v>
      </c>
      <c r="D425" s="286" t="s">
        <v>619</v>
      </c>
      <c r="E425" s="286" t="s">
        <v>686</v>
      </c>
      <c r="F425" s="286" t="s">
        <v>623</v>
      </c>
      <c r="H425" s="290"/>
      <c r="I425" s="290"/>
    </row>
    <row r="426" spans="1:9">
      <c r="A426" s="286">
        <v>120</v>
      </c>
      <c r="B426" s="344">
        <v>1</v>
      </c>
      <c r="D426" s="286" t="s">
        <v>619</v>
      </c>
      <c r="E426" s="286" t="s">
        <v>686</v>
      </c>
      <c r="F426" s="286" t="s">
        <v>625</v>
      </c>
      <c r="H426" s="290"/>
      <c r="I426" s="290"/>
    </row>
    <row r="427" spans="1:9">
      <c r="A427" s="286">
        <v>120</v>
      </c>
      <c r="B427" s="344">
        <v>1</v>
      </c>
      <c r="D427" s="286" t="s">
        <v>619</v>
      </c>
      <c r="E427" s="286" t="s">
        <v>686</v>
      </c>
      <c r="F427" s="286" t="s">
        <v>629</v>
      </c>
      <c r="H427" s="290"/>
      <c r="I427" s="290"/>
    </row>
    <row r="428" spans="1:9">
      <c r="A428" s="286">
        <v>120</v>
      </c>
      <c r="B428" s="344">
        <v>1</v>
      </c>
      <c r="D428" s="286" t="s">
        <v>619</v>
      </c>
      <c r="E428" s="286" t="s">
        <v>686</v>
      </c>
      <c r="F428" s="286" t="s">
        <v>632</v>
      </c>
      <c r="H428" s="290"/>
      <c r="I428" s="290"/>
    </row>
    <row r="429" spans="1:9">
      <c r="A429" s="286">
        <v>124</v>
      </c>
      <c r="B429" s="344">
        <v>1</v>
      </c>
      <c r="D429" s="286" t="s">
        <v>619</v>
      </c>
      <c r="E429" s="286" t="s">
        <v>654</v>
      </c>
      <c r="F429" s="286" t="s">
        <v>621</v>
      </c>
      <c r="G429" s="286">
        <v>27</v>
      </c>
      <c r="H429" s="290">
        <v>38848.630000000005</v>
      </c>
      <c r="I429" s="290">
        <v>1624.1</v>
      </c>
    </row>
    <row r="430" spans="1:9">
      <c r="A430" s="286">
        <v>124</v>
      </c>
      <c r="B430" s="344">
        <v>1</v>
      </c>
      <c r="D430" s="286" t="s">
        <v>619</v>
      </c>
      <c r="E430" s="286" t="s">
        <v>654</v>
      </c>
      <c r="F430" s="286" t="s">
        <v>599</v>
      </c>
      <c r="H430" s="290"/>
      <c r="I430" s="290"/>
    </row>
    <row r="431" spans="1:9">
      <c r="A431" s="286">
        <v>124</v>
      </c>
      <c r="B431" s="344">
        <v>1</v>
      </c>
      <c r="D431" s="286" t="s">
        <v>619</v>
      </c>
      <c r="E431" s="286" t="s">
        <v>654</v>
      </c>
      <c r="F431" s="286" t="s">
        <v>601</v>
      </c>
      <c r="H431" s="290"/>
      <c r="I431" s="290"/>
    </row>
    <row r="432" spans="1:9">
      <c r="A432" s="286">
        <v>124</v>
      </c>
      <c r="B432" s="344">
        <v>1</v>
      </c>
      <c r="D432" s="286" t="s">
        <v>619</v>
      </c>
      <c r="E432" s="286" t="s">
        <v>654</v>
      </c>
      <c r="F432" s="286" t="s">
        <v>627</v>
      </c>
      <c r="H432" s="290">
        <v>5473.28</v>
      </c>
      <c r="I432" s="290">
        <v>224</v>
      </c>
    </row>
    <row r="433" spans="1:9">
      <c r="A433" s="286">
        <v>124</v>
      </c>
      <c r="B433" s="344">
        <v>1</v>
      </c>
      <c r="D433" s="286" t="s">
        <v>619</v>
      </c>
      <c r="E433" s="286" t="s">
        <v>654</v>
      </c>
      <c r="F433" s="286" t="s">
        <v>630</v>
      </c>
      <c r="H433" s="290">
        <v>2016.7299999999998</v>
      </c>
      <c r="I433" s="290">
        <v>83.9</v>
      </c>
    </row>
    <row r="434" spans="1:9">
      <c r="A434" s="286">
        <v>124</v>
      </c>
      <c r="B434" s="344">
        <v>1</v>
      </c>
      <c r="D434" s="286" t="s">
        <v>619</v>
      </c>
      <c r="E434" s="286" t="s">
        <v>654</v>
      </c>
      <c r="F434" s="286" t="s">
        <v>633</v>
      </c>
      <c r="H434" s="290">
        <v>2696.56</v>
      </c>
      <c r="I434" s="290">
        <v>112</v>
      </c>
    </row>
    <row r="435" spans="1:9">
      <c r="A435" s="286">
        <v>124</v>
      </c>
      <c r="B435" s="344">
        <v>1</v>
      </c>
      <c r="D435" s="286" t="s">
        <v>619</v>
      </c>
      <c r="E435" s="286" t="s">
        <v>654</v>
      </c>
      <c r="F435" s="286" t="s">
        <v>604</v>
      </c>
      <c r="H435" s="290"/>
      <c r="I435" s="290"/>
    </row>
    <row r="436" spans="1:9">
      <c r="A436" s="286">
        <v>124</v>
      </c>
      <c r="B436" s="344">
        <v>1</v>
      </c>
      <c r="D436" s="286" t="s">
        <v>619</v>
      </c>
      <c r="E436" s="286" t="s">
        <v>654</v>
      </c>
      <c r="F436" s="286" t="s">
        <v>634</v>
      </c>
      <c r="H436" s="290">
        <v>187.84</v>
      </c>
      <c r="I436" s="290">
        <v>8</v>
      </c>
    </row>
    <row r="437" spans="1:9">
      <c r="A437" s="286">
        <v>124</v>
      </c>
      <c r="B437" s="344">
        <v>1</v>
      </c>
      <c r="D437" s="286" t="s">
        <v>619</v>
      </c>
      <c r="E437" s="286" t="s">
        <v>654</v>
      </c>
      <c r="F437" s="286" t="s">
        <v>655</v>
      </c>
      <c r="H437" s="290">
        <v>187.84</v>
      </c>
      <c r="I437" s="290">
        <v>4</v>
      </c>
    </row>
    <row r="438" spans="1:9">
      <c r="A438" s="286">
        <v>124</v>
      </c>
      <c r="B438" s="344">
        <v>1</v>
      </c>
      <c r="D438" s="286" t="s">
        <v>619</v>
      </c>
      <c r="E438" s="286" t="s">
        <v>654</v>
      </c>
      <c r="F438" s="286" t="s">
        <v>623</v>
      </c>
      <c r="H438" s="290"/>
      <c r="I438" s="290"/>
    </row>
    <row r="439" spans="1:9">
      <c r="A439" s="286">
        <v>124</v>
      </c>
      <c r="B439" s="344">
        <v>1</v>
      </c>
      <c r="D439" s="286" t="s">
        <v>619</v>
      </c>
      <c r="E439" s="286" t="s">
        <v>654</v>
      </c>
      <c r="F439" s="286" t="s">
        <v>625</v>
      </c>
      <c r="H439" s="290"/>
      <c r="I439" s="290"/>
    </row>
    <row r="440" spans="1:9">
      <c r="A440" s="286">
        <v>124</v>
      </c>
      <c r="B440" s="344">
        <v>1</v>
      </c>
      <c r="D440" s="286" t="s">
        <v>619</v>
      </c>
      <c r="E440" s="286" t="s">
        <v>654</v>
      </c>
      <c r="F440" s="286" t="s">
        <v>629</v>
      </c>
      <c r="H440" s="290"/>
      <c r="I440" s="290"/>
    </row>
    <row r="441" spans="1:9">
      <c r="A441" s="286">
        <v>124</v>
      </c>
      <c r="B441" s="344">
        <v>1</v>
      </c>
      <c r="D441" s="286" t="s">
        <v>619</v>
      </c>
      <c r="E441" s="286" t="s">
        <v>654</v>
      </c>
      <c r="F441" s="286" t="s">
        <v>632</v>
      </c>
      <c r="H441" s="290"/>
      <c r="I441" s="290"/>
    </row>
    <row r="442" spans="1:9">
      <c r="A442" s="286">
        <v>128</v>
      </c>
      <c r="B442" s="344">
        <v>1</v>
      </c>
      <c r="D442" s="286" t="s">
        <v>619</v>
      </c>
      <c r="E442" s="286" t="s">
        <v>620</v>
      </c>
      <c r="F442" s="286" t="s">
        <v>621</v>
      </c>
      <c r="G442" s="286">
        <v>27</v>
      </c>
      <c r="H442" s="290">
        <v>37361.87999999999</v>
      </c>
      <c r="I442" s="290">
        <v>1577.8</v>
      </c>
    </row>
    <row r="443" spans="1:9">
      <c r="A443" s="286">
        <v>128</v>
      </c>
      <c r="B443" s="344">
        <v>1</v>
      </c>
      <c r="D443" s="286" t="s">
        <v>619</v>
      </c>
      <c r="E443" s="286" t="s">
        <v>620</v>
      </c>
      <c r="F443" s="286" t="s">
        <v>599</v>
      </c>
      <c r="H443" s="290"/>
      <c r="I443" s="290"/>
    </row>
    <row r="444" spans="1:9">
      <c r="A444" s="286">
        <v>128</v>
      </c>
      <c r="B444" s="344">
        <v>1</v>
      </c>
      <c r="D444" s="286" t="s">
        <v>619</v>
      </c>
      <c r="E444" s="286" t="s">
        <v>620</v>
      </c>
      <c r="F444" s="286" t="s">
        <v>601</v>
      </c>
      <c r="H444" s="290"/>
      <c r="I444" s="290"/>
    </row>
    <row r="445" spans="1:9">
      <c r="A445" s="286">
        <v>128</v>
      </c>
      <c r="B445" s="344">
        <v>1</v>
      </c>
      <c r="D445" s="286" t="s">
        <v>619</v>
      </c>
      <c r="E445" s="286" t="s">
        <v>620</v>
      </c>
      <c r="F445" s="286" t="s">
        <v>627</v>
      </c>
      <c r="H445" s="290">
        <v>1758.1799999999998</v>
      </c>
      <c r="I445" s="290">
        <v>74.5</v>
      </c>
    </row>
    <row r="446" spans="1:9">
      <c r="A446" s="286">
        <v>128</v>
      </c>
      <c r="B446" s="344">
        <v>1</v>
      </c>
      <c r="D446" s="286" t="s">
        <v>619</v>
      </c>
      <c r="E446" s="286" t="s">
        <v>620</v>
      </c>
      <c r="F446" s="286" t="s">
        <v>630</v>
      </c>
      <c r="H446" s="290">
        <v>4958.6400000000003</v>
      </c>
      <c r="I446" s="290">
        <v>206</v>
      </c>
    </row>
    <row r="447" spans="1:9">
      <c r="A447" s="286">
        <v>128</v>
      </c>
      <c r="B447" s="344">
        <v>1</v>
      </c>
      <c r="D447" s="286" t="s">
        <v>619</v>
      </c>
      <c r="E447" s="286" t="s">
        <v>620</v>
      </c>
      <c r="F447" s="286" t="s">
        <v>633</v>
      </c>
      <c r="H447" s="290">
        <v>2663.2799999999997</v>
      </c>
      <c r="I447" s="290">
        <v>112</v>
      </c>
    </row>
    <row r="448" spans="1:9">
      <c r="A448" s="286">
        <v>128</v>
      </c>
      <c r="B448" s="344">
        <v>1</v>
      </c>
      <c r="D448" s="286" t="s">
        <v>619</v>
      </c>
      <c r="E448" s="286" t="s">
        <v>620</v>
      </c>
      <c r="F448" s="286" t="s">
        <v>680</v>
      </c>
      <c r="H448" s="290">
        <v>556.55999999999995</v>
      </c>
      <c r="I448" s="290">
        <v>24</v>
      </c>
    </row>
    <row r="449" spans="1:9">
      <c r="A449" s="286">
        <v>128</v>
      </c>
      <c r="B449" s="344">
        <v>1</v>
      </c>
      <c r="D449" s="286" t="s">
        <v>619</v>
      </c>
      <c r="E449" s="286" t="s">
        <v>620</v>
      </c>
      <c r="F449" s="286" t="s">
        <v>681</v>
      </c>
      <c r="H449" s="290">
        <v>1113.1199999999999</v>
      </c>
      <c r="I449" s="290">
        <v>48</v>
      </c>
    </row>
    <row r="450" spans="1:9">
      <c r="A450" s="286">
        <v>128</v>
      </c>
      <c r="B450" s="344">
        <v>1</v>
      </c>
      <c r="D450" s="286" t="s">
        <v>619</v>
      </c>
      <c r="E450" s="286" t="s">
        <v>620</v>
      </c>
      <c r="F450" s="286" t="s">
        <v>685</v>
      </c>
      <c r="H450" s="290">
        <v>394.23</v>
      </c>
      <c r="I450" s="290">
        <v>17</v>
      </c>
    </row>
    <row r="451" spans="1:9">
      <c r="A451" s="286">
        <v>128</v>
      </c>
      <c r="B451" s="344">
        <v>1</v>
      </c>
      <c r="D451" s="286" t="s">
        <v>619</v>
      </c>
      <c r="E451" s="286" t="s">
        <v>620</v>
      </c>
      <c r="F451" s="286" t="s">
        <v>634</v>
      </c>
      <c r="H451" s="290">
        <v>162.32999999999998</v>
      </c>
      <c r="I451" s="290">
        <v>7</v>
      </c>
    </row>
    <row r="452" spans="1:9">
      <c r="A452" s="286">
        <v>128</v>
      </c>
      <c r="B452" s="344">
        <v>1</v>
      </c>
      <c r="D452" s="286" t="s">
        <v>619</v>
      </c>
      <c r="E452" s="286" t="s">
        <v>620</v>
      </c>
      <c r="F452" s="286" t="s">
        <v>635</v>
      </c>
      <c r="H452" s="290">
        <v>185.52</v>
      </c>
      <c r="I452" s="290">
        <v>8</v>
      </c>
    </row>
    <row r="453" spans="1:9">
      <c r="A453" s="286">
        <v>128</v>
      </c>
      <c r="B453" s="344">
        <v>1</v>
      </c>
      <c r="D453" s="286" t="s">
        <v>619</v>
      </c>
      <c r="E453" s="286" t="s">
        <v>620</v>
      </c>
      <c r="F453" s="286" t="s">
        <v>623</v>
      </c>
      <c r="H453" s="290"/>
      <c r="I453" s="290"/>
    </row>
    <row r="454" spans="1:9">
      <c r="A454" s="286">
        <v>128</v>
      </c>
      <c r="B454" s="344">
        <v>1</v>
      </c>
      <c r="D454" s="286" t="s">
        <v>619</v>
      </c>
      <c r="E454" s="286" t="s">
        <v>620</v>
      </c>
      <c r="F454" s="286" t="s">
        <v>625</v>
      </c>
      <c r="H454" s="290"/>
      <c r="I454" s="290"/>
    </row>
    <row r="455" spans="1:9">
      <c r="A455" s="286">
        <v>128</v>
      </c>
      <c r="B455" s="344">
        <v>1</v>
      </c>
      <c r="D455" s="286" t="s">
        <v>619</v>
      </c>
      <c r="E455" s="286" t="s">
        <v>620</v>
      </c>
      <c r="F455" s="286" t="s">
        <v>629</v>
      </c>
      <c r="H455" s="290"/>
      <c r="I455" s="290"/>
    </row>
    <row r="456" spans="1:9">
      <c r="A456" s="286">
        <v>128</v>
      </c>
      <c r="B456" s="344">
        <v>1</v>
      </c>
      <c r="D456" s="286" t="s">
        <v>619</v>
      </c>
      <c r="E456" s="286" t="s">
        <v>620</v>
      </c>
      <c r="F456" s="286" t="s">
        <v>632</v>
      </c>
      <c r="H456" s="290"/>
      <c r="I456" s="290"/>
    </row>
    <row r="457" spans="1:9">
      <c r="A457" s="286">
        <v>132</v>
      </c>
      <c r="B457" s="344">
        <v>1</v>
      </c>
      <c r="D457" s="286" t="s">
        <v>619</v>
      </c>
      <c r="E457" s="286" t="s">
        <v>686</v>
      </c>
      <c r="F457" s="286" t="s">
        <v>621</v>
      </c>
      <c r="G457" s="286">
        <v>25</v>
      </c>
      <c r="H457" s="290">
        <v>46817.75</v>
      </c>
      <c r="I457" s="290">
        <v>1481</v>
      </c>
    </row>
    <row r="458" spans="1:9">
      <c r="A458" s="286">
        <v>132</v>
      </c>
      <c r="B458" s="344">
        <v>1</v>
      </c>
      <c r="D458" s="286" t="s">
        <v>619</v>
      </c>
      <c r="E458" s="286" t="s">
        <v>686</v>
      </c>
      <c r="F458" s="286" t="s">
        <v>599</v>
      </c>
      <c r="H458" s="290"/>
      <c r="I458" s="290"/>
    </row>
    <row r="459" spans="1:9">
      <c r="A459" s="286">
        <v>132</v>
      </c>
      <c r="B459" s="344">
        <v>1</v>
      </c>
      <c r="D459" s="286" t="s">
        <v>619</v>
      </c>
      <c r="E459" s="286" t="s">
        <v>686</v>
      </c>
      <c r="F459" s="286" t="s">
        <v>601</v>
      </c>
      <c r="H459" s="290"/>
      <c r="I459" s="290"/>
    </row>
    <row r="460" spans="1:9">
      <c r="A460" s="286">
        <v>132</v>
      </c>
      <c r="B460" s="344">
        <v>1</v>
      </c>
      <c r="D460" s="286" t="s">
        <v>619</v>
      </c>
      <c r="E460" s="286" t="s">
        <v>686</v>
      </c>
      <c r="F460" s="286" t="s">
        <v>603</v>
      </c>
      <c r="H460" s="290"/>
      <c r="I460" s="290"/>
    </row>
    <row r="461" spans="1:9">
      <c r="A461" s="286">
        <v>132</v>
      </c>
      <c r="B461" s="344">
        <v>1</v>
      </c>
      <c r="D461" s="286" t="s">
        <v>619</v>
      </c>
      <c r="E461" s="286" t="s">
        <v>686</v>
      </c>
      <c r="F461" s="286" t="s">
        <v>627</v>
      </c>
      <c r="H461" s="290">
        <v>2557.92</v>
      </c>
      <c r="I461" s="290">
        <v>80</v>
      </c>
    </row>
    <row r="462" spans="1:9">
      <c r="A462" s="286">
        <v>132</v>
      </c>
      <c r="B462" s="344">
        <v>1</v>
      </c>
      <c r="D462" s="286" t="s">
        <v>619</v>
      </c>
      <c r="E462" s="286" t="s">
        <v>686</v>
      </c>
      <c r="F462" s="286" t="s">
        <v>630</v>
      </c>
      <c r="H462" s="290">
        <v>3749.29</v>
      </c>
      <c r="I462" s="290">
        <v>119</v>
      </c>
    </row>
    <row r="463" spans="1:9">
      <c r="A463" s="286">
        <v>132</v>
      </c>
      <c r="B463" s="344">
        <v>1</v>
      </c>
      <c r="D463" s="286" t="s">
        <v>619</v>
      </c>
      <c r="E463" s="286" t="s">
        <v>686</v>
      </c>
      <c r="F463" s="286" t="s">
        <v>633</v>
      </c>
      <c r="H463" s="290">
        <v>2515.6800000000003</v>
      </c>
      <c r="I463" s="290">
        <v>80</v>
      </c>
    </row>
    <row r="464" spans="1:9">
      <c r="A464" s="286">
        <v>132</v>
      </c>
      <c r="B464" s="344">
        <v>1</v>
      </c>
      <c r="D464" s="286" t="s">
        <v>619</v>
      </c>
      <c r="E464" s="286" t="s">
        <v>686</v>
      </c>
      <c r="F464" s="286" t="s">
        <v>634</v>
      </c>
      <c r="H464" s="290">
        <v>764.56</v>
      </c>
      <c r="I464" s="290">
        <v>24</v>
      </c>
    </row>
    <row r="465" spans="1:9">
      <c r="A465" s="286">
        <v>132</v>
      </c>
      <c r="B465" s="344">
        <v>1</v>
      </c>
      <c r="D465" s="286" t="s">
        <v>619</v>
      </c>
      <c r="E465" s="286" t="s">
        <v>686</v>
      </c>
      <c r="F465" s="286" t="s">
        <v>623</v>
      </c>
      <c r="H465" s="290"/>
      <c r="I465" s="290"/>
    </row>
    <row r="466" spans="1:9">
      <c r="A466" s="286">
        <v>132</v>
      </c>
      <c r="B466" s="344">
        <v>1</v>
      </c>
      <c r="D466" s="286" t="s">
        <v>619</v>
      </c>
      <c r="E466" s="286" t="s">
        <v>686</v>
      </c>
      <c r="F466" s="286" t="s">
        <v>625</v>
      </c>
      <c r="H466" s="290"/>
      <c r="I466" s="290"/>
    </row>
    <row r="467" spans="1:9">
      <c r="A467" s="286">
        <v>132</v>
      </c>
      <c r="B467" s="344">
        <v>1</v>
      </c>
      <c r="D467" s="286" t="s">
        <v>619</v>
      </c>
      <c r="E467" s="286" t="s">
        <v>686</v>
      </c>
      <c r="F467" s="286" t="s">
        <v>661</v>
      </c>
      <c r="H467" s="290">
        <v>250.16</v>
      </c>
      <c r="I467" s="290">
        <v>8</v>
      </c>
    </row>
    <row r="468" spans="1:9">
      <c r="A468" s="286">
        <v>132</v>
      </c>
      <c r="B468" s="344">
        <v>1</v>
      </c>
      <c r="D468" s="286" t="s">
        <v>619</v>
      </c>
      <c r="E468" s="286" t="s">
        <v>686</v>
      </c>
      <c r="F468" s="286" t="s">
        <v>649</v>
      </c>
      <c r="H468" s="290">
        <v>0</v>
      </c>
      <c r="I468" s="290">
        <v>24</v>
      </c>
    </row>
    <row r="469" spans="1:9">
      <c r="A469" s="286">
        <v>132</v>
      </c>
      <c r="B469" s="344">
        <v>1</v>
      </c>
      <c r="D469" s="286" t="s">
        <v>619</v>
      </c>
      <c r="E469" s="286" t="s">
        <v>686</v>
      </c>
      <c r="F469" s="286" t="s">
        <v>658</v>
      </c>
      <c r="H469" s="290">
        <v>0</v>
      </c>
      <c r="I469" s="290">
        <v>40</v>
      </c>
    </row>
    <row r="470" spans="1:9">
      <c r="A470" s="286">
        <v>132</v>
      </c>
      <c r="B470" s="344">
        <v>1</v>
      </c>
      <c r="D470" s="286" t="s">
        <v>619</v>
      </c>
      <c r="E470" s="286" t="s">
        <v>686</v>
      </c>
      <c r="F470" s="286" t="s">
        <v>632</v>
      </c>
      <c r="H470" s="290"/>
      <c r="I470" s="290"/>
    </row>
    <row r="471" spans="1:9">
      <c r="A471" s="286">
        <v>139</v>
      </c>
      <c r="B471" s="344">
        <v>1</v>
      </c>
      <c r="D471" s="286" t="s">
        <v>619</v>
      </c>
      <c r="E471" s="286" t="s">
        <v>620</v>
      </c>
      <c r="F471" s="286" t="s">
        <v>621</v>
      </c>
      <c r="G471" s="286">
        <v>27</v>
      </c>
      <c r="H471" s="290">
        <v>36282.519999999997</v>
      </c>
      <c r="I471" s="290">
        <v>1600.5</v>
      </c>
    </row>
    <row r="472" spans="1:9">
      <c r="A472" s="286">
        <v>139</v>
      </c>
      <c r="B472" s="344">
        <v>1</v>
      </c>
      <c r="D472" s="286" t="s">
        <v>619</v>
      </c>
      <c r="E472" s="286" t="s">
        <v>620</v>
      </c>
      <c r="F472" s="286" t="s">
        <v>622</v>
      </c>
      <c r="H472" s="290">
        <v>2957.6599999999994</v>
      </c>
      <c r="I472" s="290">
        <v>120</v>
      </c>
    </row>
    <row r="473" spans="1:9">
      <c r="A473" s="286">
        <v>139</v>
      </c>
      <c r="B473" s="344">
        <v>1</v>
      </c>
      <c r="D473" s="286" t="s">
        <v>619</v>
      </c>
      <c r="E473" s="286" t="s">
        <v>620</v>
      </c>
      <c r="F473" s="286" t="s">
        <v>599</v>
      </c>
      <c r="H473" s="290"/>
      <c r="I473" s="290"/>
    </row>
    <row r="474" spans="1:9">
      <c r="A474" s="286">
        <v>139</v>
      </c>
      <c r="B474" s="344">
        <v>1</v>
      </c>
      <c r="D474" s="286" t="s">
        <v>619</v>
      </c>
      <c r="E474" s="286" t="s">
        <v>620</v>
      </c>
      <c r="F474" s="286" t="s">
        <v>601</v>
      </c>
      <c r="H474" s="290"/>
      <c r="I474" s="290"/>
    </row>
    <row r="475" spans="1:9">
      <c r="A475" s="286">
        <v>139</v>
      </c>
      <c r="B475" s="344">
        <v>1</v>
      </c>
      <c r="D475" s="286" t="s">
        <v>619</v>
      </c>
      <c r="E475" s="286" t="s">
        <v>620</v>
      </c>
      <c r="F475" s="286" t="s">
        <v>603</v>
      </c>
      <c r="H475" s="290"/>
      <c r="I475" s="290"/>
    </row>
    <row r="476" spans="1:9">
      <c r="A476" s="286">
        <v>139</v>
      </c>
      <c r="B476" s="344">
        <v>1</v>
      </c>
      <c r="D476" s="286" t="s">
        <v>619</v>
      </c>
      <c r="E476" s="286" t="s">
        <v>620</v>
      </c>
      <c r="F476" s="286" t="s">
        <v>627</v>
      </c>
      <c r="H476" s="290">
        <v>1668.9999999999998</v>
      </c>
      <c r="I476" s="290">
        <v>72</v>
      </c>
    </row>
    <row r="477" spans="1:9">
      <c r="A477" s="286">
        <v>139</v>
      </c>
      <c r="B477" s="344">
        <v>1</v>
      </c>
      <c r="D477" s="286" t="s">
        <v>619</v>
      </c>
      <c r="E477" s="286" t="s">
        <v>620</v>
      </c>
      <c r="F477" s="286" t="s">
        <v>630</v>
      </c>
      <c r="H477" s="290">
        <v>3487.4399999999996</v>
      </c>
      <c r="I477" s="290">
        <v>151.5</v>
      </c>
    </row>
    <row r="478" spans="1:9">
      <c r="A478" s="286">
        <v>139</v>
      </c>
      <c r="B478" s="344">
        <v>1</v>
      </c>
      <c r="D478" s="286" t="s">
        <v>619</v>
      </c>
      <c r="E478" s="286" t="s">
        <v>620</v>
      </c>
      <c r="F478" s="286" t="s">
        <v>633</v>
      </c>
      <c r="H478" s="290">
        <v>2574.6400000000003</v>
      </c>
      <c r="I478" s="290">
        <v>112</v>
      </c>
    </row>
    <row r="479" spans="1:9">
      <c r="A479" s="286">
        <v>139</v>
      </c>
      <c r="B479" s="344">
        <v>1</v>
      </c>
      <c r="D479" s="286" t="s">
        <v>619</v>
      </c>
      <c r="E479" s="286" t="s">
        <v>620</v>
      </c>
      <c r="F479" s="286" t="s">
        <v>634</v>
      </c>
      <c r="H479" s="290">
        <v>530.17000000000007</v>
      </c>
      <c r="I479" s="290">
        <v>24</v>
      </c>
    </row>
    <row r="480" spans="1:9">
      <c r="A480" s="286">
        <v>139</v>
      </c>
      <c r="B480" s="344">
        <v>1</v>
      </c>
      <c r="D480" s="286" t="s">
        <v>619</v>
      </c>
      <c r="E480" s="286" t="s">
        <v>620</v>
      </c>
      <c r="F480" s="286" t="s">
        <v>623</v>
      </c>
      <c r="H480" s="290"/>
      <c r="I480" s="290"/>
    </row>
    <row r="481" spans="1:9">
      <c r="A481" s="286">
        <v>139</v>
      </c>
      <c r="B481" s="344">
        <v>1</v>
      </c>
      <c r="D481" s="286" t="s">
        <v>619</v>
      </c>
      <c r="E481" s="286" t="s">
        <v>620</v>
      </c>
      <c r="F481" s="286" t="s">
        <v>625</v>
      </c>
      <c r="H481" s="290"/>
      <c r="I481" s="290"/>
    </row>
    <row r="482" spans="1:9">
      <c r="A482" s="286">
        <v>139</v>
      </c>
      <c r="B482" s="344">
        <v>1</v>
      </c>
      <c r="D482" s="286" t="s">
        <v>619</v>
      </c>
      <c r="E482" s="286" t="s">
        <v>620</v>
      </c>
      <c r="F482" s="286" t="s">
        <v>629</v>
      </c>
      <c r="H482" s="290"/>
      <c r="I482" s="290"/>
    </row>
    <row r="483" spans="1:9">
      <c r="A483" s="286">
        <v>139</v>
      </c>
      <c r="B483" s="344">
        <v>1</v>
      </c>
      <c r="D483" s="286" t="s">
        <v>619</v>
      </c>
      <c r="E483" s="286" t="s">
        <v>620</v>
      </c>
      <c r="F483" s="286" t="s">
        <v>636</v>
      </c>
      <c r="H483" s="290">
        <v>199.77</v>
      </c>
      <c r="I483" s="290">
        <v>0</v>
      </c>
    </row>
    <row r="484" spans="1:9">
      <c r="A484" s="286">
        <v>139</v>
      </c>
      <c r="B484" s="344">
        <v>1</v>
      </c>
      <c r="D484" s="286" t="s">
        <v>619</v>
      </c>
      <c r="E484" s="286" t="s">
        <v>620</v>
      </c>
      <c r="F484" s="286" t="s">
        <v>632</v>
      </c>
      <c r="H484" s="290"/>
      <c r="I484" s="290"/>
    </row>
    <row r="485" spans="1:9">
      <c r="A485" s="286">
        <v>14</v>
      </c>
      <c r="D485" s="286" t="s">
        <v>647</v>
      </c>
      <c r="F485" s="286" t="s">
        <v>648</v>
      </c>
      <c r="G485" s="286">
        <v>26</v>
      </c>
      <c r="H485" s="287">
        <v>5552.25</v>
      </c>
      <c r="I485" s="287">
        <v>277.66999999999996</v>
      </c>
    </row>
    <row r="486" spans="1:9">
      <c r="A486" s="286">
        <v>24</v>
      </c>
      <c r="D486" s="286" t="s">
        <v>656</v>
      </c>
      <c r="F486" s="286" t="s">
        <v>648</v>
      </c>
      <c r="G486" s="286">
        <v>26</v>
      </c>
      <c r="H486" s="287">
        <v>3240.4099999999989</v>
      </c>
      <c r="I486" s="287">
        <v>191.91000000000005</v>
      </c>
    </row>
    <row r="487" spans="1:9">
      <c r="A487" s="286">
        <v>24</v>
      </c>
      <c r="D487" s="286" t="s">
        <v>656</v>
      </c>
      <c r="F487" s="286" t="s">
        <v>627</v>
      </c>
      <c r="H487" s="287">
        <v>154.69999999999999</v>
      </c>
      <c r="I487" s="287">
        <v>9.1</v>
      </c>
    </row>
    <row r="488" spans="1:9">
      <c r="A488" s="286">
        <v>36</v>
      </c>
      <c r="D488" s="286" t="s">
        <v>656</v>
      </c>
      <c r="F488" s="286" t="s">
        <v>598</v>
      </c>
      <c r="G488" s="286">
        <v>26</v>
      </c>
      <c r="H488" s="290">
        <v>4843.6499999999996</v>
      </c>
      <c r="I488" s="290">
        <v>338</v>
      </c>
    </row>
    <row r="489" spans="1:9">
      <c r="A489" s="286">
        <v>70</v>
      </c>
      <c r="D489" s="286" t="s">
        <v>656</v>
      </c>
      <c r="F489" s="286" t="s">
        <v>598</v>
      </c>
      <c r="G489" s="286">
        <v>26</v>
      </c>
      <c r="H489" s="290">
        <v>2616.9200000000005</v>
      </c>
      <c r="I489" s="290">
        <v>3.3799999999999981</v>
      </c>
    </row>
    <row r="490" spans="1:9">
      <c r="A490" s="286">
        <v>73</v>
      </c>
      <c r="D490" s="286" t="s">
        <v>656</v>
      </c>
      <c r="F490" s="286" t="s">
        <v>598</v>
      </c>
      <c r="G490" s="286">
        <v>26</v>
      </c>
      <c r="H490" s="290">
        <v>4593.63</v>
      </c>
      <c r="I490" s="290">
        <v>208</v>
      </c>
    </row>
    <row r="491" spans="1:9">
      <c r="A491" s="286">
        <v>85</v>
      </c>
      <c r="D491" s="286" t="s">
        <v>647</v>
      </c>
      <c r="F491" s="286" t="s">
        <v>648</v>
      </c>
      <c r="G491" s="286">
        <v>7</v>
      </c>
      <c r="H491" s="287">
        <v>60.550000000000004</v>
      </c>
      <c r="I491" s="287">
        <v>6.0500000000000007</v>
      </c>
    </row>
    <row r="492" spans="1:9">
      <c r="A492" s="286">
        <v>86</v>
      </c>
      <c r="D492" s="286" t="s">
        <v>647</v>
      </c>
      <c r="F492" s="286" t="s">
        <v>648</v>
      </c>
      <c r="G492" s="286">
        <v>15</v>
      </c>
      <c r="H492" s="287">
        <v>11502.400000000001</v>
      </c>
      <c r="I492" s="287">
        <v>884.80000000000007</v>
      </c>
    </row>
    <row r="493" spans="1:9">
      <c r="A493" s="286">
        <v>86</v>
      </c>
      <c r="D493" s="286" t="s">
        <v>647</v>
      </c>
      <c r="F493" s="286" t="s">
        <v>599</v>
      </c>
      <c r="H493" s="287"/>
      <c r="I493" s="287"/>
    </row>
    <row r="494" spans="1:9">
      <c r="A494" s="286">
        <v>106</v>
      </c>
      <c r="D494" s="286" t="s">
        <v>656</v>
      </c>
      <c r="F494" s="286" t="s">
        <v>648</v>
      </c>
      <c r="G494" s="286">
        <v>26</v>
      </c>
      <c r="H494" s="287">
        <v>5127</v>
      </c>
      <c r="I494" s="287">
        <v>346</v>
      </c>
    </row>
    <row r="495" spans="1:9">
      <c r="A495" s="286">
        <v>106</v>
      </c>
      <c r="D495" s="286" t="s">
        <v>656</v>
      </c>
      <c r="F495" s="286" t="s">
        <v>627</v>
      </c>
      <c r="H495" s="287">
        <v>168.75</v>
      </c>
      <c r="I495" s="287">
        <v>11.25</v>
      </c>
    </row>
    <row r="496" spans="1:9">
      <c r="A496" s="286">
        <v>122</v>
      </c>
      <c r="D496" s="286" t="s">
        <v>647</v>
      </c>
      <c r="F496" s="286" t="s">
        <v>648</v>
      </c>
      <c r="G496" s="286">
        <v>4</v>
      </c>
      <c r="H496" s="287">
        <v>1820</v>
      </c>
      <c r="I496" s="287">
        <v>140</v>
      </c>
    </row>
    <row r="497" spans="1:9">
      <c r="A497" s="286">
        <v>129</v>
      </c>
      <c r="D497" s="286" t="s">
        <v>656</v>
      </c>
      <c r="F497" s="286" t="s">
        <v>598</v>
      </c>
      <c r="G497" s="286">
        <v>26</v>
      </c>
      <c r="H497" s="287">
        <v>2616.92</v>
      </c>
      <c r="I497" s="287">
        <v>3.3799999999999981</v>
      </c>
    </row>
    <row r="498" spans="1:9">
      <c r="A498" s="286">
        <v>129</v>
      </c>
      <c r="D498" s="286" t="s">
        <v>656</v>
      </c>
      <c r="F498" s="286" t="s">
        <v>648</v>
      </c>
      <c r="G498" s="286">
        <v>26</v>
      </c>
      <c r="H498" s="287">
        <v>3062.6</v>
      </c>
      <c r="I498" s="287">
        <v>153.12999999999997</v>
      </c>
    </row>
    <row r="499" spans="1:9">
      <c r="A499" s="286">
        <v>130</v>
      </c>
      <c r="B499" s="344"/>
      <c r="D499" s="286" t="s">
        <v>619</v>
      </c>
      <c r="F499" s="286" t="s">
        <v>648</v>
      </c>
      <c r="G499" s="286">
        <v>9</v>
      </c>
      <c r="H499" s="287">
        <v>7543.9000000000005</v>
      </c>
      <c r="I499" s="287">
        <v>580.29999999999995</v>
      </c>
    </row>
    <row r="500" spans="1:9">
      <c r="A500" s="286">
        <v>130</v>
      </c>
      <c r="B500" s="344">
        <v>1</v>
      </c>
      <c r="D500" s="286" t="s">
        <v>619</v>
      </c>
      <c r="E500" s="286" t="s">
        <v>871</v>
      </c>
      <c r="F500" s="286" t="s">
        <v>599</v>
      </c>
      <c r="H500" s="287"/>
      <c r="I500" s="287"/>
    </row>
    <row r="501" spans="1:9">
      <c r="A501" s="286">
        <v>2</v>
      </c>
      <c r="B501" s="344">
        <v>0.25</v>
      </c>
      <c r="D501" s="286" t="s">
        <v>597</v>
      </c>
      <c r="F501" s="286" t="s">
        <v>598</v>
      </c>
      <c r="G501" s="286">
        <v>26</v>
      </c>
      <c r="H501" s="290">
        <v>15012.14</v>
      </c>
      <c r="I501" s="290">
        <v>444.84</v>
      </c>
    </row>
    <row r="502" spans="1:9">
      <c r="A502" s="286">
        <v>2</v>
      </c>
      <c r="B502" s="344">
        <v>0.25</v>
      </c>
      <c r="D502" s="286" t="s">
        <v>597</v>
      </c>
      <c r="F502" s="286" t="s">
        <v>599</v>
      </c>
      <c r="H502" s="290"/>
      <c r="I502" s="290"/>
    </row>
    <row r="503" spans="1:9">
      <c r="A503" s="286">
        <v>2</v>
      </c>
      <c r="B503" s="344">
        <v>0.25</v>
      </c>
      <c r="D503" s="286" t="s">
        <v>597</v>
      </c>
      <c r="F503" s="286" t="s">
        <v>605</v>
      </c>
      <c r="H503" s="290">
        <v>1743.2999999999997</v>
      </c>
      <c r="I503" s="290">
        <v>52</v>
      </c>
    </row>
    <row r="504" spans="1:9">
      <c r="A504" s="286">
        <v>2</v>
      </c>
      <c r="B504" s="344">
        <v>0.25</v>
      </c>
      <c r="D504" s="286" t="s">
        <v>597</v>
      </c>
      <c r="F504" s="286" t="s">
        <v>608</v>
      </c>
      <c r="H504" s="290">
        <v>578.46</v>
      </c>
      <c r="I504" s="290">
        <v>17.189999999999998</v>
      </c>
    </row>
    <row r="505" spans="1:9">
      <c r="A505" s="286">
        <v>2</v>
      </c>
      <c r="B505" s="344">
        <v>0.25</v>
      </c>
      <c r="D505" s="286" t="s">
        <v>597</v>
      </c>
      <c r="F505" s="286" t="s">
        <v>610</v>
      </c>
      <c r="H505" s="290">
        <v>202.64999999999998</v>
      </c>
      <c r="I505" s="290">
        <v>6</v>
      </c>
    </row>
    <row r="506" spans="1:9">
      <c r="A506" s="286">
        <v>2</v>
      </c>
      <c r="B506" s="344">
        <v>0.25</v>
      </c>
      <c r="D506" s="286" t="s">
        <v>597</v>
      </c>
      <c r="F506" s="286" t="s">
        <v>624</v>
      </c>
      <c r="H506" s="290"/>
      <c r="I506" s="290"/>
    </row>
    <row r="507" spans="1:9">
      <c r="A507" s="286">
        <v>4</v>
      </c>
      <c r="B507" s="344">
        <v>0.25</v>
      </c>
      <c r="D507" s="286" t="s">
        <v>597</v>
      </c>
      <c r="F507" s="286" t="s">
        <v>598</v>
      </c>
      <c r="G507" s="286">
        <v>26</v>
      </c>
      <c r="H507" s="290">
        <v>8371.69</v>
      </c>
      <c r="I507" s="290">
        <v>462.35</v>
      </c>
    </row>
    <row r="508" spans="1:9">
      <c r="A508" s="286">
        <v>4</v>
      </c>
      <c r="B508" s="344">
        <v>0.25</v>
      </c>
      <c r="D508" s="286" t="s">
        <v>597</v>
      </c>
      <c r="F508" s="286" t="s">
        <v>599</v>
      </c>
      <c r="H508" s="290"/>
      <c r="I508" s="290"/>
    </row>
    <row r="509" spans="1:9">
      <c r="A509" s="286">
        <v>4</v>
      </c>
      <c r="B509" s="344">
        <v>0.25</v>
      </c>
      <c r="D509" s="286" t="s">
        <v>597</v>
      </c>
      <c r="F509" s="286" t="s">
        <v>605</v>
      </c>
      <c r="H509" s="290">
        <v>398.95</v>
      </c>
      <c r="I509" s="290">
        <v>22</v>
      </c>
    </row>
    <row r="510" spans="1:9">
      <c r="A510" s="286">
        <v>4</v>
      </c>
      <c r="B510" s="344">
        <v>0.25</v>
      </c>
      <c r="D510" s="286" t="s">
        <v>597</v>
      </c>
      <c r="F510" s="286" t="s">
        <v>608</v>
      </c>
      <c r="H510" s="290">
        <v>502.82</v>
      </c>
      <c r="I510" s="290">
        <v>27.8</v>
      </c>
    </row>
    <row r="511" spans="1:9">
      <c r="A511" s="286">
        <v>4</v>
      </c>
      <c r="B511" s="344">
        <v>0.25</v>
      </c>
      <c r="D511" s="286" t="s">
        <v>597</v>
      </c>
      <c r="F511" s="286" t="s">
        <v>610</v>
      </c>
      <c r="H511" s="290">
        <v>126.25</v>
      </c>
      <c r="I511" s="290">
        <v>7</v>
      </c>
    </row>
    <row r="512" spans="1:9">
      <c r="A512" s="286">
        <v>4</v>
      </c>
      <c r="B512" s="344">
        <v>0.25</v>
      </c>
      <c r="D512" s="286" t="s">
        <v>597</v>
      </c>
      <c r="F512" s="286" t="s">
        <v>638</v>
      </c>
      <c r="H512" s="290">
        <v>15.87</v>
      </c>
      <c r="I512" s="290">
        <v>0.88</v>
      </c>
    </row>
    <row r="513" spans="1:9">
      <c r="A513" s="286">
        <v>4</v>
      </c>
      <c r="B513" s="344">
        <v>0.25</v>
      </c>
      <c r="D513" s="286" t="s">
        <v>597</v>
      </c>
      <c r="F513" s="286" t="s">
        <v>624</v>
      </c>
      <c r="H513" s="290"/>
      <c r="I513" s="290"/>
    </row>
    <row r="514" spans="1:9">
      <c r="A514" s="286">
        <v>7</v>
      </c>
      <c r="B514" s="344">
        <v>0.25</v>
      </c>
      <c r="D514" s="286" t="s">
        <v>597</v>
      </c>
      <c r="F514" s="286" t="s">
        <v>598</v>
      </c>
      <c r="G514" s="286">
        <v>26</v>
      </c>
      <c r="H514" s="290">
        <v>11810.480000000005</v>
      </c>
      <c r="I514" s="290">
        <v>467.39</v>
      </c>
    </row>
    <row r="515" spans="1:9">
      <c r="A515" s="286">
        <v>7</v>
      </c>
      <c r="B515" s="344">
        <v>0.25</v>
      </c>
      <c r="D515" s="286" t="s">
        <v>597</v>
      </c>
      <c r="F515" s="286" t="s">
        <v>599</v>
      </c>
      <c r="H515" s="290"/>
      <c r="I515" s="290"/>
    </row>
    <row r="516" spans="1:9">
      <c r="A516" s="286">
        <v>7</v>
      </c>
      <c r="B516" s="344">
        <v>0.25</v>
      </c>
      <c r="D516" s="286" t="s">
        <v>597</v>
      </c>
      <c r="F516" s="286" t="s">
        <v>605</v>
      </c>
      <c r="H516" s="290">
        <v>695.76</v>
      </c>
      <c r="I516" s="290">
        <v>27.88</v>
      </c>
    </row>
    <row r="517" spans="1:9">
      <c r="A517" s="286">
        <v>7</v>
      </c>
      <c r="B517" s="344">
        <v>0.25</v>
      </c>
      <c r="D517" s="286" t="s">
        <v>597</v>
      </c>
      <c r="F517" s="286" t="s">
        <v>608</v>
      </c>
      <c r="H517" s="290">
        <v>371.04</v>
      </c>
      <c r="I517" s="290">
        <v>14.760000000000002</v>
      </c>
    </row>
    <row r="518" spans="1:9">
      <c r="A518" s="286">
        <v>7</v>
      </c>
      <c r="B518" s="344">
        <v>0.25</v>
      </c>
      <c r="D518" s="286" t="s">
        <v>597</v>
      </c>
      <c r="F518" s="286" t="s">
        <v>602</v>
      </c>
      <c r="H518" s="290"/>
      <c r="I518" s="290"/>
    </row>
    <row r="519" spans="1:9">
      <c r="A519" s="286">
        <v>7</v>
      </c>
      <c r="B519" s="344">
        <v>0.25</v>
      </c>
      <c r="D519" s="286" t="s">
        <v>597</v>
      </c>
      <c r="F519" s="286" t="s">
        <v>610</v>
      </c>
      <c r="H519" s="290">
        <v>154</v>
      </c>
      <c r="I519" s="290">
        <v>6</v>
      </c>
    </row>
    <row r="520" spans="1:9">
      <c r="A520" s="286">
        <v>7</v>
      </c>
      <c r="B520" s="344">
        <v>0.25</v>
      </c>
      <c r="D520" s="286" t="s">
        <v>597</v>
      </c>
      <c r="F520" s="286" t="s">
        <v>624</v>
      </c>
      <c r="H520" s="290"/>
      <c r="I520" s="290"/>
    </row>
    <row r="521" spans="1:9">
      <c r="A521" s="286">
        <v>13</v>
      </c>
      <c r="B521" s="344">
        <v>0.25</v>
      </c>
      <c r="D521" s="286" t="s">
        <v>644</v>
      </c>
      <c r="F521" s="286" t="s">
        <v>598</v>
      </c>
      <c r="G521" s="286">
        <v>26</v>
      </c>
      <c r="H521" s="290">
        <v>5650.3899999999994</v>
      </c>
      <c r="I521" s="290">
        <v>334.2</v>
      </c>
    </row>
    <row r="522" spans="1:9">
      <c r="A522" s="286">
        <v>13</v>
      </c>
      <c r="B522" s="344">
        <v>0.25</v>
      </c>
      <c r="D522" s="286" t="s">
        <v>644</v>
      </c>
      <c r="F522" s="286" t="s">
        <v>645</v>
      </c>
      <c r="H522" s="290">
        <v>284.04000000000002</v>
      </c>
      <c r="I522" s="290">
        <v>14</v>
      </c>
    </row>
    <row r="523" spans="1:9">
      <c r="A523" s="286">
        <v>13</v>
      </c>
      <c r="B523" s="344">
        <v>0.25</v>
      </c>
      <c r="D523" s="286" t="s">
        <v>644</v>
      </c>
      <c r="F523" s="286" t="s">
        <v>599</v>
      </c>
      <c r="H523" s="290"/>
      <c r="I523" s="290"/>
    </row>
    <row r="524" spans="1:9">
      <c r="A524" s="286">
        <v>13</v>
      </c>
      <c r="B524" s="344">
        <v>0.25</v>
      </c>
      <c r="D524" s="286" t="s">
        <v>644</v>
      </c>
      <c r="F524" s="286" t="s">
        <v>605</v>
      </c>
      <c r="H524" s="290">
        <v>682.16</v>
      </c>
      <c r="I524" s="290">
        <v>39.940000000000005</v>
      </c>
    </row>
    <row r="525" spans="1:9">
      <c r="A525" s="286">
        <v>13</v>
      </c>
      <c r="B525" s="344">
        <v>0.25</v>
      </c>
      <c r="D525" s="286" t="s">
        <v>644</v>
      </c>
      <c r="F525" s="286" t="s">
        <v>608</v>
      </c>
      <c r="H525" s="290">
        <v>787.68</v>
      </c>
      <c r="I525" s="290">
        <v>47.88</v>
      </c>
    </row>
    <row r="526" spans="1:9">
      <c r="A526" s="286">
        <v>13</v>
      </c>
      <c r="B526" s="344">
        <v>0.25</v>
      </c>
      <c r="D526" s="286" t="s">
        <v>644</v>
      </c>
      <c r="F526" s="286" t="s">
        <v>602</v>
      </c>
      <c r="H526" s="290"/>
      <c r="I526" s="290"/>
    </row>
    <row r="527" spans="1:9">
      <c r="A527" s="286">
        <v>13</v>
      </c>
      <c r="B527" s="344">
        <v>0.25</v>
      </c>
      <c r="D527" s="286" t="s">
        <v>644</v>
      </c>
      <c r="F527" s="286" t="s">
        <v>646</v>
      </c>
      <c r="H527" s="290">
        <v>1118.0000000000002</v>
      </c>
      <c r="I527" s="290">
        <v>68</v>
      </c>
    </row>
    <row r="528" spans="1:9">
      <c r="A528" s="286">
        <v>13</v>
      </c>
      <c r="B528" s="344">
        <v>0.25</v>
      </c>
      <c r="D528" s="286" t="s">
        <v>644</v>
      </c>
      <c r="F528" s="286" t="s">
        <v>610</v>
      </c>
      <c r="H528" s="290">
        <v>98.64</v>
      </c>
      <c r="I528" s="290">
        <v>6</v>
      </c>
    </row>
    <row r="529" spans="1:9">
      <c r="A529" s="286">
        <v>13</v>
      </c>
      <c r="B529" s="344">
        <v>0.25</v>
      </c>
      <c r="D529" s="286" t="s">
        <v>644</v>
      </c>
      <c r="F529" s="286" t="s">
        <v>638</v>
      </c>
      <c r="H529" s="290">
        <v>32.880000000000003</v>
      </c>
      <c r="I529" s="290">
        <v>2</v>
      </c>
    </row>
    <row r="530" spans="1:9">
      <c r="A530" s="286">
        <v>13</v>
      </c>
      <c r="B530" s="344">
        <v>0.25</v>
      </c>
      <c r="D530" s="286" t="s">
        <v>644</v>
      </c>
      <c r="F530" s="286" t="s">
        <v>642</v>
      </c>
      <c r="H530" s="290">
        <v>35.93</v>
      </c>
      <c r="I530" s="290">
        <v>2</v>
      </c>
    </row>
    <row r="531" spans="1:9">
      <c r="A531" s="286">
        <v>13</v>
      </c>
      <c r="B531" s="344">
        <v>0.25</v>
      </c>
      <c r="D531" s="286" t="s">
        <v>644</v>
      </c>
      <c r="F531" s="286" t="s">
        <v>614</v>
      </c>
      <c r="H531" s="290"/>
      <c r="I531" s="290"/>
    </row>
    <row r="532" spans="1:9">
      <c r="A532" s="286">
        <v>13</v>
      </c>
      <c r="B532" s="344">
        <v>0.25</v>
      </c>
      <c r="D532" s="286" t="s">
        <v>644</v>
      </c>
      <c r="F532" s="286" t="s">
        <v>616</v>
      </c>
      <c r="H532" s="290"/>
      <c r="I532" s="290"/>
    </row>
    <row r="533" spans="1:9">
      <c r="A533" s="286">
        <v>19</v>
      </c>
      <c r="B533" s="344">
        <v>0.25</v>
      </c>
      <c r="D533" s="286" t="s">
        <v>644</v>
      </c>
      <c r="F533" s="286" t="s">
        <v>598</v>
      </c>
      <c r="G533" s="286">
        <v>14</v>
      </c>
      <c r="H533" s="290">
        <v>1838.78</v>
      </c>
      <c r="I533" s="290">
        <v>97.12</v>
      </c>
    </row>
    <row r="534" spans="1:9">
      <c r="A534" s="286">
        <v>19</v>
      </c>
      <c r="B534" s="344">
        <v>0.25</v>
      </c>
      <c r="D534" s="286" t="s">
        <v>644</v>
      </c>
      <c r="F534" s="286" t="s">
        <v>605</v>
      </c>
      <c r="H534" s="290">
        <v>569.49</v>
      </c>
      <c r="I534" s="290">
        <v>30.009999999999998</v>
      </c>
    </row>
    <row r="535" spans="1:9">
      <c r="A535" s="286">
        <v>19</v>
      </c>
      <c r="B535" s="344">
        <v>0.25</v>
      </c>
      <c r="D535" s="286" t="s">
        <v>644</v>
      </c>
      <c r="F535" s="286" t="s">
        <v>608</v>
      </c>
      <c r="H535" s="290">
        <v>91.85</v>
      </c>
      <c r="I535" s="290">
        <v>4.88</v>
      </c>
    </row>
    <row r="536" spans="1:9">
      <c r="A536" s="286">
        <v>19</v>
      </c>
      <c r="B536" s="344">
        <v>0.25</v>
      </c>
      <c r="D536" s="286" t="s">
        <v>644</v>
      </c>
      <c r="F536" s="286" t="s">
        <v>610</v>
      </c>
      <c r="H536" s="290">
        <v>56.95</v>
      </c>
      <c r="I536" s="290">
        <v>3</v>
      </c>
    </row>
    <row r="537" spans="1:9">
      <c r="A537" s="286">
        <v>19</v>
      </c>
      <c r="B537" s="344">
        <v>0.25</v>
      </c>
      <c r="D537" s="286" t="s">
        <v>644</v>
      </c>
      <c r="F537" s="286" t="s">
        <v>614</v>
      </c>
      <c r="H537" s="290"/>
      <c r="I537" s="290"/>
    </row>
    <row r="538" spans="1:9">
      <c r="A538" s="286">
        <v>19</v>
      </c>
      <c r="B538" s="344">
        <v>0.25</v>
      </c>
      <c r="D538" s="286" t="s">
        <v>644</v>
      </c>
      <c r="F538" s="286" t="s">
        <v>616</v>
      </c>
      <c r="H538" s="290"/>
      <c r="I538" s="290"/>
    </row>
    <row r="539" spans="1:9">
      <c r="A539" s="286">
        <v>19</v>
      </c>
      <c r="B539" s="344">
        <v>0.25</v>
      </c>
      <c r="D539" s="286" t="s">
        <v>644</v>
      </c>
      <c r="F539" s="286" t="s">
        <v>649</v>
      </c>
      <c r="H539" s="290">
        <v>-284.73</v>
      </c>
      <c r="I539" s="290">
        <v>-15</v>
      </c>
    </row>
    <row r="540" spans="1:9">
      <c r="A540" s="286">
        <v>19</v>
      </c>
      <c r="B540" s="344">
        <v>0.25</v>
      </c>
      <c r="D540" s="286" t="s">
        <v>644</v>
      </c>
      <c r="F540" s="286" t="s">
        <v>643</v>
      </c>
      <c r="H540" s="290">
        <v>-932.4699999999998</v>
      </c>
      <c r="I540" s="290">
        <v>-49.120000000000005</v>
      </c>
    </row>
    <row r="541" spans="1:9">
      <c r="A541" s="286">
        <v>26</v>
      </c>
      <c r="B541" s="344">
        <v>0.25</v>
      </c>
      <c r="D541" s="286" t="s">
        <v>644</v>
      </c>
      <c r="F541" s="286" t="s">
        <v>598</v>
      </c>
      <c r="G541" s="286">
        <v>26</v>
      </c>
      <c r="H541" s="290">
        <v>6967.7099999999982</v>
      </c>
      <c r="I541" s="290">
        <v>460.01</v>
      </c>
    </row>
    <row r="542" spans="1:9">
      <c r="A542" s="286">
        <v>26</v>
      </c>
      <c r="B542" s="344">
        <v>0.25</v>
      </c>
      <c r="D542" s="286" t="s">
        <v>644</v>
      </c>
      <c r="F542" s="286" t="s">
        <v>599</v>
      </c>
      <c r="H542" s="290"/>
      <c r="I542" s="290"/>
    </row>
    <row r="543" spans="1:9">
      <c r="A543" s="286">
        <v>26</v>
      </c>
      <c r="B543" s="344">
        <v>0.25</v>
      </c>
      <c r="D543" s="286" t="s">
        <v>644</v>
      </c>
      <c r="F543" s="286" t="s">
        <v>605</v>
      </c>
      <c r="H543" s="290">
        <v>284.34000000000003</v>
      </c>
      <c r="I543" s="290">
        <v>18.75</v>
      </c>
    </row>
    <row r="544" spans="1:9">
      <c r="A544" s="286">
        <v>26</v>
      </c>
      <c r="B544" s="344">
        <v>0.25</v>
      </c>
      <c r="D544" s="286" t="s">
        <v>644</v>
      </c>
      <c r="F544" s="286" t="s">
        <v>608</v>
      </c>
      <c r="H544" s="290">
        <v>533.5</v>
      </c>
      <c r="I544" s="290">
        <v>35.269999999999996</v>
      </c>
    </row>
    <row r="545" spans="1:9">
      <c r="A545" s="286">
        <v>26</v>
      </c>
      <c r="B545" s="344">
        <v>0.25</v>
      </c>
      <c r="D545" s="286" t="s">
        <v>644</v>
      </c>
      <c r="F545" s="286" t="s">
        <v>610</v>
      </c>
      <c r="H545" s="290">
        <v>90.98</v>
      </c>
      <c r="I545" s="290">
        <v>6</v>
      </c>
    </row>
    <row r="546" spans="1:9">
      <c r="A546" s="286">
        <v>26</v>
      </c>
      <c r="B546" s="344">
        <v>0.25</v>
      </c>
      <c r="D546" s="286" t="s">
        <v>644</v>
      </c>
      <c r="F546" s="286" t="s">
        <v>614</v>
      </c>
      <c r="H546" s="290"/>
      <c r="I546" s="290"/>
    </row>
    <row r="547" spans="1:9">
      <c r="A547" s="286">
        <v>26</v>
      </c>
      <c r="B547" s="344">
        <v>0.25</v>
      </c>
      <c r="D547" s="286" t="s">
        <v>644</v>
      </c>
      <c r="F547" s="286" t="s">
        <v>616</v>
      </c>
      <c r="H547" s="290"/>
      <c r="I547" s="290"/>
    </row>
    <row r="548" spans="1:9">
      <c r="A548" s="286">
        <v>28</v>
      </c>
      <c r="B548" s="344">
        <v>0.25</v>
      </c>
      <c r="D548" s="286" t="s">
        <v>644</v>
      </c>
      <c r="F548" s="286" t="s">
        <v>598</v>
      </c>
      <c r="G548" s="286">
        <v>26</v>
      </c>
      <c r="H548" s="290">
        <v>7067.529999999997</v>
      </c>
      <c r="I548" s="290">
        <v>466.62</v>
      </c>
    </row>
    <row r="549" spans="1:9">
      <c r="A549" s="286">
        <v>28</v>
      </c>
      <c r="B549" s="344">
        <v>0.25</v>
      </c>
      <c r="D549" s="286" t="s">
        <v>644</v>
      </c>
      <c r="F549" s="286" t="s">
        <v>599</v>
      </c>
      <c r="H549" s="290"/>
      <c r="I549" s="290"/>
    </row>
    <row r="550" spans="1:9">
      <c r="A550" s="286">
        <v>28</v>
      </c>
      <c r="B550" s="344">
        <v>0.25</v>
      </c>
      <c r="D550" s="286" t="s">
        <v>644</v>
      </c>
      <c r="F550" s="286" t="s">
        <v>605</v>
      </c>
      <c r="H550" s="290">
        <v>303.3</v>
      </c>
      <c r="I550" s="290">
        <v>20</v>
      </c>
    </row>
    <row r="551" spans="1:9">
      <c r="A551" s="286">
        <v>28</v>
      </c>
      <c r="B551" s="344">
        <v>0.25</v>
      </c>
      <c r="D551" s="286" t="s">
        <v>644</v>
      </c>
      <c r="F551" s="286" t="s">
        <v>608</v>
      </c>
      <c r="H551" s="290">
        <v>308.98</v>
      </c>
      <c r="I551" s="290">
        <v>20.38</v>
      </c>
    </row>
    <row r="552" spans="1:9">
      <c r="A552" s="286">
        <v>28</v>
      </c>
      <c r="B552" s="344">
        <v>0.25</v>
      </c>
      <c r="D552" s="286" t="s">
        <v>644</v>
      </c>
      <c r="F552" s="286" t="s">
        <v>610</v>
      </c>
      <c r="H552" s="290">
        <v>105.71</v>
      </c>
      <c r="I552" s="290">
        <v>7</v>
      </c>
    </row>
    <row r="553" spans="1:9">
      <c r="A553" s="286">
        <v>28</v>
      </c>
      <c r="B553" s="344">
        <v>0.25</v>
      </c>
      <c r="D553" s="286" t="s">
        <v>644</v>
      </c>
      <c r="F553" s="286" t="s">
        <v>638</v>
      </c>
      <c r="H553" s="290">
        <v>90.99</v>
      </c>
      <c r="I553" s="290">
        <v>6</v>
      </c>
    </row>
    <row r="554" spans="1:9">
      <c r="A554" s="286">
        <v>28</v>
      </c>
      <c r="B554" s="344">
        <v>0.25</v>
      </c>
      <c r="D554" s="286" t="s">
        <v>644</v>
      </c>
      <c r="F554" s="286" t="s">
        <v>616</v>
      </c>
      <c r="H554" s="290"/>
      <c r="I554" s="290"/>
    </row>
    <row r="555" spans="1:9">
      <c r="A555" s="286">
        <v>28</v>
      </c>
      <c r="B555" s="344">
        <v>0.25</v>
      </c>
      <c r="D555" s="286" t="s">
        <v>644</v>
      </c>
      <c r="F555" s="286" t="s">
        <v>658</v>
      </c>
      <c r="H555" s="290">
        <v>-30.33</v>
      </c>
      <c r="I555" s="290">
        <v>-2</v>
      </c>
    </row>
    <row r="556" spans="1:9">
      <c r="A556" s="286">
        <v>33</v>
      </c>
      <c r="B556" s="344">
        <v>0.25</v>
      </c>
      <c r="D556" s="286" t="s">
        <v>644</v>
      </c>
      <c r="F556" s="286" t="s">
        <v>598</v>
      </c>
      <c r="G556" s="286">
        <v>26</v>
      </c>
      <c r="H556" s="290">
        <v>10548.52</v>
      </c>
      <c r="I556" s="290">
        <v>414.64000000000004</v>
      </c>
    </row>
    <row r="557" spans="1:9">
      <c r="A557" s="286">
        <v>33</v>
      </c>
      <c r="B557" s="344">
        <v>0.25</v>
      </c>
      <c r="D557" s="286" t="s">
        <v>644</v>
      </c>
      <c r="F557" s="286" t="s">
        <v>599</v>
      </c>
      <c r="H557" s="290"/>
      <c r="I557" s="290"/>
    </row>
    <row r="558" spans="1:9">
      <c r="A558" s="286">
        <v>33</v>
      </c>
      <c r="B558" s="344">
        <v>0.25</v>
      </c>
      <c r="D558" s="286" t="s">
        <v>644</v>
      </c>
      <c r="F558" s="286" t="s">
        <v>605</v>
      </c>
      <c r="H558" s="290">
        <v>1527.8700000000003</v>
      </c>
      <c r="I558" s="290">
        <v>59.98</v>
      </c>
    </row>
    <row r="559" spans="1:9">
      <c r="A559" s="286">
        <v>33</v>
      </c>
      <c r="B559" s="344">
        <v>0.25</v>
      </c>
      <c r="D559" s="286" t="s">
        <v>644</v>
      </c>
      <c r="F559" s="286" t="s">
        <v>608</v>
      </c>
      <c r="H559" s="290">
        <v>748</v>
      </c>
      <c r="I559" s="290">
        <v>29.44</v>
      </c>
    </row>
    <row r="560" spans="1:9">
      <c r="A560" s="286">
        <v>33</v>
      </c>
      <c r="B560" s="344">
        <v>0.25</v>
      </c>
      <c r="D560" s="286" t="s">
        <v>644</v>
      </c>
      <c r="F560" s="286" t="s">
        <v>610</v>
      </c>
      <c r="H560" s="290">
        <v>152.85</v>
      </c>
      <c r="I560" s="290">
        <v>6.01</v>
      </c>
    </row>
    <row r="561" spans="1:9">
      <c r="A561" s="286">
        <v>33</v>
      </c>
      <c r="B561" s="344">
        <v>0.25</v>
      </c>
      <c r="D561" s="286" t="s">
        <v>644</v>
      </c>
      <c r="F561" s="286" t="s">
        <v>638</v>
      </c>
      <c r="H561" s="290">
        <v>254.75</v>
      </c>
      <c r="I561" s="290">
        <v>10</v>
      </c>
    </row>
    <row r="562" spans="1:9">
      <c r="A562" s="286">
        <v>33</v>
      </c>
      <c r="B562" s="344">
        <v>0.25</v>
      </c>
      <c r="D562" s="286" t="s">
        <v>644</v>
      </c>
      <c r="F562" s="286" t="s">
        <v>612</v>
      </c>
      <c r="H562" s="290"/>
      <c r="I562" s="290"/>
    </row>
    <row r="563" spans="1:9">
      <c r="A563" s="286">
        <v>33</v>
      </c>
      <c r="B563" s="344">
        <v>0.25</v>
      </c>
      <c r="D563" s="286" t="s">
        <v>644</v>
      </c>
      <c r="F563" s="286" t="s">
        <v>613</v>
      </c>
      <c r="H563" s="290"/>
      <c r="I563" s="290"/>
    </row>
    <row r="564" spans="1:9">
      <c r="A564" s="286">
        <v>33</v>
      </c>
      <c r="B564" s="344">
        <v>0.25</v>
      </c>
      <c r="D564" s="286" t="s">
        <v>644</v>
      </c>
      <c r="F564" s="286" t="s">
        <v>614</v>
      </c>
      <c r="H564" s="290"/>
      <c r="I564" s="290"/>
    </row>
    <row r="565" spans="1:9">
      <c r="A565" s="286">
        <v>33</v>
      </c>
      <c r="B565" s="344">
        <v>0.25</v>
      </c>
      <c r="D565" s="286" t="s">
        <v>644</v>
      </c>
      <c r="F565" s="286" t="s">
        <v>616</v>
      </c>
      <c r="H565" s="290"/>
      <c r="I565" s="290"/>
    </row>
    <row r="566" spans="1:9">
      <c r="A566" s="286">
        <v>38</v>
      </c>
      <c r="B566" s="344">
        <v>0.25</v>
      </c>
      <c r="D566" s="286" t="s">
        <v>597</v>
      </c>
      <c r="F566" s="286" t="s">
        <v>598</v>
      </c>
      <c r="G566" s="286">
        <v>26</v>
      </c>
      <c r="H566" s="290">
        <v>7807.4599999999991</v>
      </c>
      <c r="I566" s="290">
        <v>477.89</v>
      </c>
    </row>
    <row r="567" spans="1:9">
      <c r="A567" s="286">
        <v>38</v>
      </c>
      <c r="B567" s="344">
        <v>0.25</v>
      </c>
      <c r="D567" s="286" t="s">
        <v>597</v>
      </c>
      <c r="F567" s="286" t="s">
        <v>599</v>
      </c>
      <c r="H567" s="290"/>
      <c r="I567" s="290"/>
    </row>
    <row r="568" spans="1:9">
      <c r="A568" s="286">
        <v>38</v>
      </c>
      <c r="B568" s="344">
        <v>0.25</v>
      </c>
      <c r="D568" s="286" t="s">
        <v>597</v>
      </c>
      <c r="F568" s="286" t="s">
        <v>605</v>
      </c>
      <c r="H568" s="290">
        <v>332.97999999999996</v>
      </c>
      <c r="I568" s="290">
        <v>20</v>
      </c>
    </row>
    <row r="569" spans="1:9">
      <c r="A569" s="286">
        <v>38</v>
      </c>
      <c r="B569" s="344">
        <v>0.25</v>
      </c>
      <c r="D569" s="286" t="s">
        <v>597</v>
      </c>
      <c r="F569" s="286" t="s">
        <v>608</v>
      </c>
      <c r="H569" s="290">
        <v>268.57</v>
      </c>
      <c r="I569" s="290">
        <v>16.36</v>
      </c>
    </row>
    <row r="570" spans="1:9">
      <c r="A570" s="286">
        <v>38</v>
      </c>
      <c r="B570" s="344">
        <v>0.25</v>
      </c>
      <c r="D570" s="286" t="s">
        <v>597</v>
      </c>
      <c r="F570" s="286" t="s">
        <v>610</v>
      </c>
      <c r="H570" s="290">
        <v>91.08</v>
      </c>
      <c r="I570" s="290">
        <v>5.81</v>
      </c>
    </row>
    <row r="571" spans="1:9">
      <c r="A571" s="286">
        <v>38</v>
      </c>
      <c r="B571" s="344">
        <v>0.25</v>
      </c>
      <c r="D571" s="286" t="s">
        <v>597</v>
      </c>
      <c r="F571" s="286" t="s">
        <v>612</v>
      </c>
      <c r="H571" s="290"/>
      <c r="I571" s="290"/>
    </row>
    <row r="572" spans="1:9">
      <c r="A572" s="286">
        <v>38</v>
      </c>
      <c r="B572" s="344">
        <v>0.25</v>
      </c>
      <c r="D572" s="286" t="s">
        <v>597</v>
      </c>
      <c r="F572" s="286" t="s">
        <v>614</v>
      </c>
      <c r="H572" s="290"/>
      <c r="I572" s="290"/>
    </row>
    <row r="573" spans="1:9">
      <c r="A573" s="286">
        <v>38</v>
      </c>
      <c r="B573" s="344">
        <v>0.25</v>
      </c>
      <c r="D573" s="286" t="s">
        <v>597</v>
      </c>
      <c r="F573" s="286" t="s">
        <v>624</v>
      </c>
      <c r="H573" s="290"/>
      <c r="I573" s="290"/>
    </row>
    <row r="574" spans="1:9">
      <c r="A574" s="286">
        <v>38</v>
      </c>
      <c r="B574" s="344">
        <v>0.25</v>
      </c>
      <c r="D574" s="286" t="s">
        <v>597</v>
      </c>
      <c r="F574" s="286" t="s">
        <v>643</v>
      </c>
      <c r="H574" s="290">
        <v>-29.38</v>
      </c>
      <c r="I574" s="290">
        <v>-1.94</v>
      </c>
    </row>
    <row r="575" spans="1:9">
      <c r="A575" s="286">
        <v>42</v>
      </c>
      <c r="B575" s="344">
        <v>0.25</v>
      </c>
      <c r="D575" s="286" t="s">
        <v>644</v>
      </c>
      <c r="F575" s="286" t="s">
        <v>598</v>
      </c>
      <c r="G575" s="286">
        <v>26</v>
      </c>
      <c r="H575" s="290">
        <v>2605.19</v>
      </c>
      <c r="I575" s="290">
        <v>109.25</v>
      </c>
    </row>
    <row r="576" spans="1:9">
      <c r="A576" s="286">
        <v>42</v>
      </c>
      <c r="B576" s="344">
        <v>0.25</v>
      </c>
      <c r="D576" s="286" t="s">
        <v>644</v>
      </c>
      <c r="F576" s="286" t="s">
        <v>599</v>
      </c>
      <c r="H576" s="290"/>
      <c r="I576" s="290"/>
    </row>
    <row r="577" spans="1:9">
      <c r="A577" s="286">
        <v>42</v>
      </c>
      <c r="B577" s="344">
        <v>0.25</v>
      </c>
      <c r="D577" s="286" t="s">
        <v>644</v>
      </c>
      <c r="F577" s="286" t="s">
        <v>605</v>
      </c>
      <c r="H577" s="290">
        <v>261.14000000000004</v>
      </c>
      <c r="I577" s="290">
        <v>11</v>
      </c>
    </row>
    <row r="578" spans="1:9">
      <c r="A578" s="286">
        <v>42</v>
      </c>
      <c r="B578" s="344">
        <v>0.25</v>
      </c>
      <c r="D578" s="286" t="s">
        <v>644</v>
      </c>
      <c r="F578" s="286" t="s">
        <v>608</v>
      </c>
      <c r="H578" s="290">
        <v>161.08000000000004</v>
      </c>
      <c r="I578" s="290">
        <v>6.75</v>
      </c>
    </row>
    <row r="579" spans="1:9">
      <c r="A579" s="286">
        <v>42</v>
      </c>
      <c r="B579" s="344">
        <v>0.25</v>
      </c>
      <c r="D579" s="286" t="s">
        <v>644</v>
      </c>
      <c r="F579" s="286" t="s">
        <v>602</v>
      </c>
      <c r="H579" s="290"/>
      <c r="I579" s="290"/>
    </row>
    <row r="580" spans="1:9">
      <c r="A580" s="286">
        <v>42</v>
      </c>
      <c r="B580" s="344">
        <v>0.25</v>
      </c>
      <c r="D580" s="286" t="s">
        <v>644</v>
      </c>
      <c r="F580" s="286" t="s">
        <v>610</v>
      </c>
      <c r="H580" s="290">
        <v>35.79</v>
      </c>
      <c r="I580" s="290">
        <v>1.5</v>
      </c>
    </row>
    <row r="581" spans="1:9">
      <c r="A581" s="286">
        <v>42</v>
      </c>
      <c r="B581" s="344">
        <v>0.25</v>
      </c>
      <c r="D581" s="286" t="s">
        <v>644</v>
      </c>
      <c r="F581" s="286" t="s">
        <v>614</v>
      </c>
      <c r="H581" s="290"/>
      <c r="I581" s="290"/>
    </row>
    <row r="582" spans="1:9">
      <c r="A582" s="286">
        <v>42</v>
      </c>
      <c r="B582" s="344">
        <v>0.25</v>
      </c>
      <c r="D582" s="286" t="s">
        <v>644</v>
      </c>
      <c r="F582" s="286" t="s">
        <v>616</v>
      </c>
      <c r="H582" s="290"/>
      <c r="I582" s="290"/>
    </row>
    <row r="583" spans="1:9">
      <c r="A583" s="286">
        <v>42</v>
      </c>
      <c r="B583" s="344">
        <v>0.25</v>
      </c>
      <c r="D583" s="286" t="s">
        <v>644</v>
      </c>
      <c r="F583" s="286" t="s">
        <v>618</v>
      </c>
      <c r="H583" s="290"/>
      <c r="I583" s="290"/>
    </row>
    <row r="584" spans="1:9">
      <c r="A584" s="286">
        <v>42</v>
      </c>
      <c r="B584" s="344">
        <v>0.25</v>
      </c>
      <c r="D584" s="286" t="s">
        <v>644</v>
      </c>
      <c r="F584" s="286" t="s">
        <v>636</v>
      </c>
      <c r="H584" s="290">
        <v>17.899999999999999</v>
      </c>
      <c r="I584" s="290">
        <v>0</v>
      </c>
    </row>
    <row r="585" spans="1:9">
      <c r="A585" s="286">
        <v>44</v>
      </c>
      <c r="B585" s="344">
        <v>0.25</v>
      </c>
      <c r="D585" s="286" t="s">
        <v>644</v>
      </c>
      <c r="F585" s="286" t="s">
        <v>598</v>
      </c>
      <c r="G585" s="286">
        <v>3</v>
      </c>
      <c r="H585" s="290">
        <v>661.92000000000007</v>
      </c>
      <c r="I585" s="290">
        <v>44.010000000000005</v>
      </c>
    </row>
    <row r="586" spans="1:9">
      <c r="A586" s="286">
        <v>44</v>
      </c>
      <c r="B586" s="344">
        <v>0.25</v>
      </c>
      <c r="D586" s="286" t="s">
        <v>644</v>
      </c>
      <c r="F586" s="286" t="s">
        <v>599</v>
      </c>
      <c r="H586" s="290"/>
      <c r="I586" s="290"/>
    </row>
    <row r="587" spans="1:9">
      <c r="A587" s="286">
        <v>44</v>
      </c>
      <c r="B587" s="344">
        <v>0.25</v>
      </c>
      <c r="D587" s="286" t="s">
        <v>644</v>
      </c>
      <c r="F587" s="286" t="s">
        <v>608</v>
      </c>
      <c r="H587" s="290">
        <v>59.78</v>
      </c>
      <c r="I587" s="290">
        <v>4</v>
      </c>
    </row>
    <row r="588" spans="1:9">
      <c r="A588" s="286">
        <v>44</v>
      </c>
      <c r="B588" s="344">
        <v>0.25</v>
      </c>
      <c r="D588" s="286" t="s">
        <v>644</v>
      </c>
      <c r="F588" s="286" t="s">
        <v>610</v>
      </c>
      <c r="H588" s="290">
        <v>179.32</v>
      </c>
      <c r="I588" s="290">
        <v>12.009999999999998</v>
      </c>
    </row>
    <row r="589" spans="1:9">
      <c r="A589" s="286">
        <v>44</v>
      </c>
      <c r="B589" s="344">
        <v>0.25</v>
      </c>
      <c r="D589" s="286" t="s">
        <v>644</v>
      </c>
      <c r="F589" s="286" t="s">
        <v>649</v>
      </c>
      <c r="H589" s="290">
        <v>-90.99</v>
      </c>
      <c r="I589" s="290">
        <v>-6</v>
      </c>
    </row>
    <row r="590" spans="1:9">
      <c r="A590" s="286">
        <v>45</v>
      </c>
      <c r="B590" s="344">
        <v>0.25</v>
      </c>
      <c r="D590" s="286" t="s">
        <v>644</v>
      </c>
      <c r="F590" s="286" t="s">
        <v>598</v>
      </c>
      <c r="G590" s="286">
        <v>7</v>
      </c>
      <c r="H590" s="290">
        <v>1721.77</v>
      </c>
      <c r="I590" s="290">
        <v>118.75999999999999</v>
      </c>
    </row>
    <row r="591" spans="1:9">
      <c r="A591" s="286">
        <v>45</v>
      </c>
      <c r="B591" s="344">
        <v>0.25</v>
      </c>
      <c r="D591" s="286" t="s">
        <v>644</v>
      </c>
      <c r="F591" s="286" t="s">
        <v>599</v>
      </c>
      <c r="H591" s="290"/>
      <c r="I591" s="290"/>
    </row>
    <row r="592" spans="1:9">
      <c r="A592" s="286">
        <v>45</v>
      </c>
      <c r="B592" s="344">
        <v>0.25</v>
      </c>
      <c r="D592" s="286" t="s">
        <v>644</v>
      </c>
      <c r="F592" s="286" t="s">
        <v>608</v>
      </c>
      <c r="H592" s="290">
        <v>21.76</v>
      </c>
      <c r="I592" s="290">
        <v>1.5</v>
      </c>
    </row>
    <row r="593" spans="1:9">
      <c r="A593" s="286">
        <v>45</v>
      </c>
      <c r="B593" s="344">
        <v>0.25</v>
      </c>
      <c r="D593" s="286" t="s">
        <v>644</v>
      </c>
      <c r="F593" s="286" t="s">
        <v>610</v>
      </c>
      <c r="H593" s="290">
        <v>83.38</v>
      </c>
      <c r="I593" s="290">
        <v>5.75</v>
      </c>
    </row>
    <row r="594" spans="1:9">
      <c r="A594" s="286">
        <v>50</v>
      </c>
      <c r="B594" s="344">
        <v>0.25</v>
      </c>
      <c r="D594" s="286" t="s">
        <v>597</v>
      </c>
      <c r="F594" s="286" t="s">
        <v>598</v>
      </c>
      <c r="G594" s="286">
        <v>26</v>
      </c>
      <c r="H594" s="290">
        <v>11807.799999999997</v>
      </c>
      <c r="I594" s="290">
        <v>482.61999999999995</v>
      </c>
    </row>
    <row r="595" spans="1:9">
      <c r="A595" s="286">
        <v>50</v>
      </c>
      <c r="B595" s="344">
        <v>0.25</v>
      </c>
      <c r="D595" s="286" t="s">
        <v>597</v>
      </c>
      <c r="F595" s="286" t="s">
        <v>599</v>
      </c>
      <c r="H595" s="290"/>
      <c r="I595" s="290"/>
    </row>
    <row r="596" spans="1:9">
      <c r="A596" s="286">
        <v>50</v>
      </c>
      <c r="B596" s="344">
        <v>0.25</v>
      </c>
      <c r="D596" s="286" t="s">
        <v>597</v>
      </c>
      <c r="F596" s="286" t="s">
        <v>605</v>
      </c>
      <c r="H596" s="290">
        <v>479.16</v>
      </c>
      <c r="I596" s="290">
        <v>20</v>
      </c>
    </row>
    <row r="597" spans="1:9">
      <c r="A597" s="286">
        <v>50</v>
      </c>
      <c r="B597" s="344">
        <v>0.25</v>
      </c>
      <c r="D597" s="286" t="s">
        <v>597</v>
      </c>
      <c r="F597" s="286" t="s">
        <v>608</v>
      </c>
      <c r="H597" s="290">
        <v>295.69000000000005</v>
      </c>
      <c r="I597" s="290">
        <v>12</v>
      </c>
    </row>
    <row r="598" spans="1:9">
      <c r="A598" s="286">
        <v>50</v>
      </c>
      <c r="B598" s="344">
        <v>0.25</v>
      </c>
      <c r="D598" s="286" t="s">
        <v>597</v>
      </c>
      <c r="F598" s="286" t="s">
        <v>610</v>
      </c>
      <c r="H598" s="290">
        <v>130.25</v>
      </c>
      <c r="I598" s="290">
        <v>5.3900000000000006</v>
      </c>
    </row>
    <row r="599" spans="1:9">
      <c r="A599" s="286">
        <v>50</v>
      </c>
      <c r="B599" s="344">
        <v>0.25</v>
      </c>
      <c r="D599" s="286" t="s">
        <v>597</v>
      </c>
      <c r="F599" s="286" t="s">
        <v>624</v>
      </c>
      <c r="H599" s="290"/>
      <c r="I599" s="290"/>
    </row>
    <row r="600" spans="1:9">
      <c r="A600" s="286">
        <v>52</v>
      </c>
      <c r="B600" s="344">
        <v>0.25</v>
      </c>
      <c r="D600" s="286" t="s">
        <v>644</v>
      </c>
      <c r="F600" s="286" t="s">
        <v>598</v>
      </c>
      <c r="G600" s="286">
        <v>26</v>
      </c>
      <c r="H600" s="290">
        <v>8058.5900000000011</v>
      </c>
      <c r="I600" s="290">
        <v>439.57</v>
      </c>
    </row>
    <row r="601" spans="1:9">
      <c r="A601" s="286">
        <v>52</v>
      </c>
      <c r="B601" s="344">
        <v>0.25</v>
      </c>
      <c r="D601" s="286" t="s">
        <v>644</v>
      </c>
      <c r="F601" s="286" t="s">
        <v>599</v>
      </c>
      <c r="H601" s="290"/>
      <c r="I601" s="290"/>
    </row>
    <row r="602" spans="1:9">
      <c r="A602" s="286">
        <v>52</v>
      </c>
      <c r="B602" s="344">
        <v>0.25</v>
      </c>
      <c r="D602" s="286" t="s">
        <v>644</v>
      </c>
      <c r="F602" s="286" t="s">
        <v>605</v>
      </c>
      <c r="H602" s="290">
        <v>864.94</v>
      </c>
      <c r="I602" s="290">
        <v>47.5</v>
      </c>
    </row>
    <row r="603" spans="1:9">
      <c r="A603" s="286">
        <v>52</v>
      </c>
      <c r="B603" s="344">
        <v>0.25</v>
      </c>
      <c r="D603" s="286" t="s">
        <v>644</v>
      </c>
      <c r="F603" s="286" t="s">
        <v>608</v>
      </c>
      <c r="H603" s="290">
        <v>200.64000000000001</v>
      </c>
      <c r="I603" s="290">
        <v>10.94</v>
      </c>
    </row>
    <row r="604" spans="1:9">
      <c r="A604" s="286">
        <v>52</v>
      </c>
      <c r="B604" s="344">
        <v>0.25</v>
      </c>
      <c r="D604" s="286" t="s">
        <v>644</v>
      </c>
      <c r="F604" s="286" t="s">
        <v>602</v>
      </c>
      <c r="H604" s="290"/>
      <c r="I604" s="290"/>
    </row>
    <row r="605" spans="1:9">
      <c r="A605" s="286">
        <v>52</v>
      </c>
      <c r="B605" s="344">
        <v>0.25</v>
      </c>
      <c r="D605" s="286" t="s">
        <v>644</v>
      </c>
      <c r="F605" s="286" t="s">
        <v>610</v>
      </c>
      <c r="H605" s="290">
        <v>110.07</v>
      </c>
      <c r="I605" s="290">
        <v>6</v>
      </c>
    </row>
    <row r="606" spans="1:9">
      <c r="A606" s="286">
        <v>52</v>
      </c>
      <c r="B606" s="344">
        <v>0.25</v>
      </c>
      <c r="D606" s="286" t="s">
        <v>644</v>
      </c>
      <c r="F606" s="286" t="s">
        <v>638</v>
      </c>
      <c r="H606" s="290">
        <v>183.43</v>
      </c>
      <c r="I606" s="290">
        <v>10</v>
      </c>
    </row>
    <row r="607" spans="1:9">
      <c r="A607" s="286">
        <v>52</v>
      </c>
      <c r="B607" s="344">
        <v>0.25</v>
      </c>
      <c r="D607" s="286" t="s">
        <v>644</v>
      </c>
      <c r="F607" s="286" t="s">
        <v>614</v>
      </c>
      <c r="H607" s="290"/>
      <c r="I607" s="290"/>
    </row>
    <row r="608" spans="1:9">
      <c r="A608" s="286">
        <v>52</v>
      </c>
      <c r="B608" s="344">
        <v>0.25</v>
      </c>
      <c r="D608" s="286" t="s">
        <v>644</v>
      </c>
      <c r="F608" s="286" t="s">
        <v>616</v>
      </c>
      <c r="H608" s="290"/>
      <c r="I608" s="290"/>
    </row>
    <row r="609" spans="1:9">
      <c r="A609" s="286">
        <v>54</v>
      </c>
      <c r="B609" s="344">
        <v>0.25</v>
      </c>
      <c r="D609" s="286" t="s">
        <v>644</v>
      </c>
      <c r="F609" s="286" t="s">
        <v>598</v>
      </c>
      <c r="G609" s="286">
        <v>18</v>
      </c>
      <c r="H609" s="290">
        <v>4365</v>
      </c>
      <c r="I609" s="290">
        <v>233.69</v>
      </c>
    </row>
    <row r="610" spans="1:9">
      <c r="A610" s="286">
        <v>54</v>
      </c>
      <c r="B610" s="344">
        <v>0.25</v>
      </c>
      <c r="D610" s="286" t="s">
        <v>644</v>
      </c>
      <c r="F610" s="286" t="s">
        <v>645</v>
      </c>
      <c r="H610" s="290">
        <v>1247.3299999999997</v>
      </c>
      <c r="I610" s="290">
        <v>60</v>
      </c>
    </row>
    <row r="611" spans="1:9">
      <c r="A611" s="286">
        <v>54</v>
      </c>
      <c r="B611" s="344">
        <v>0.25</v>
      </c>
      <c r="D611" s="286" t="s">
        <v>644</v>
      </c>
      <c r="F611" s="286" t="s">
        <v>599</v>
      </c>
      <c r="H611" s="290"/>
      <c r="I611" s="290"/>
    </row>
    <row r="612" spans="1:9">
      <c r="A612" s="286">
        <v>54</v>
      </c>
      <c r="B612" s="344">
        <v>0.25</v>
      </c>
      <c r="D612" s="286" t="s">
        <v>644</v>
      </c>
      <c r="F612" s="286" t="s">
        <v>605</v>
      </c>
      <c r="H612" s="290">
        <v>710.7</v>
      </c>
      <c r="I612" s="290">
        <v>38</v>
      </c>
    </row>
    <row r="613" spans="1:9">
      <c r="A613" s="286">
        <v>54</v>
      </c>
      <c r="B613" s="344">
        <v>0.25</v>
      </c>
      <c r="D613" s="286" t="s">
        <v>644</v>
      </c>
      <c r="F613" s="286" t="s">
        <v>608</v>
      </c>
      <c r="H613" s="290">
        <v>305.08</v>
      </c>
      <c r="I613" s="290">
        <v>16.32</v>
      </c>
    </row>
    <row r="614" spans="1:9">
      <c r="A614" s="286">
        <v>54</v>
      </c>
      <c r="B614" s="344">
        <v>0.25</v>
      </c>
      <c r="D614" s="286" t="s">
        <v>644</v>
      </c>
      <c r="F614" s="286" t="s">
        <v>665</v>
      </c>
      <c r="H614" s="290">
        <v>1565.72</v>
      </c>
      <c r="I614" s="290">
        <v>83.72</v>
      </c>
    </row>
    <row r="615" spans="1:9">
      <c r="A615" s="286">
        <v>54</v>
      </c>
      <c r="B615" s="344">
        <v>0.25</v>
      </c>
      <c r="D615" s="286" t="s">
        <v>644</v>
      </c>
      <c r="F615" s="286" t="s">
        <v>602</v>
      </c>
      <c r="H615" s="290"/>
      <c r="I615" s="290"/>
    </row>
    <row r="616" spans="1:9">
      <c r="A616" s="286">
        <v>54</v>
      </c>
      <c r="B616" s="344">
        <v>0.25</v>
      </c>
      <c r="D616" s="286" t="s">
        <v>644</v>
      </c>
      <c r="F616" s="286" t="s">
        <v>610</v>
      </c>
      <c r="H616" s="290">
        <v>112.21</v>
      </c>
      <c r="I616" s="290">
        <v>6</v>
      </c>
    </row>
    <row r="617" spans="1:9">
      <c r="A617" s="286">
        <v>54</v>
      </c>
      <c r="B617" s="344">
        <v>0.25</v>
      </c>
      <c r="D617" s="286" t="s">
        <v>644</v>
      </c>
      <c r="F617" s="286" t="s">
        <v>614</v>
      </c>
      <c r="H617" s="290"/>
      <c r="I617" s="290"/>
    </row>
    <row r="618" spans="1:9">
      <c r="A618" s="286">
        <v>54</v>
      </c>
      <c r="B618" s="344">
        <v>0.25</v>
      </c>
      <c r="D618" s="286" t="s">
        <v>644</v>
      </c>
      <c r="F618" s="286" t="s">
        <v>616</v>
      </c>
      <c r="H618" s="290"/>
      <c r="I618" s="290"/>
    </row>
    <row r="619" spans="1:9">
      <c r="A619" s="286">
        <v>56</v>
      </c>
      <c r="B619" s="344">
        <v>0.25</v>
      </c>
      <c r="D619" s="286" t="s">
        <v>597</v>
      </c>
      <c r="F619" s="286" t="s">
        <v>598</v>
      </c>
      <c r="G619" s="286">
        <v>26</v>
      </c>
      <c r="H619" s="290">
        <v>10886.519999999999</v>
      </c>
      <c r="I619" s="290">
        <v>461.5</v>
      </c>
    </row>
    <row r="620" spans="1:9">
      <c r="A620" s="286">
        <v>56</v>
      </c>
      <c r="B620" s="344">
        <v>0.25</v>
      </c>
      <c r="D620" s="286" t="s">
        <v>597</v>
      </c>
      <c r="F620" s="286" t="s">
        <v>599</v>
      </c>
      <c r="H620" s="290"/>
      <c r="I620" s="290"/>
    </row>
    <row r="621" spans="1:9">
      <c r="A621" s="286">
        <v>56</v>
      </c>
      <c r="B621" s="344">
        <v>0.25</v>
      </c>
      <c r="D621" s="286" t="s">
        <v>597</v>
      </c>
      <c r="F621" s="286" t="s">
        <v>605</v>
      </c>
      <c r="H621" s="290">
        <v>561.25000000000011</v>
      </c>
      <c r="I621" s="290">
        <v>24</v>
      </c>
    </row>
    <row r="622" spans="1:9">
      <c r="A622" s="286">
        <v>56</v>
      </c>
      <c r="B622" s="344">
        <v>0.25</v>
      </c>
      <c r="D622" s="286" t="s">
        <v>597</v>
      </c>
      <c r="F622" s="286" t="s">
        <v>608</v>
      </c>
      <c r="H622" s="290">
        <v>635.29000000000008</v>
      </c>
      <c r="I622" s="290">
        <v>27</v>
      </c>
    </row>
    <row r="623" spans="1:9">
      <c r="A623" s="286">
        <v>56</v>
      </c>
      <c r="B623" s="344">
        <v>0.25</v>
      </c>
      <c r="D623" s="286" t="s">
        <v>597</v>
      </c>
      <c r="F623" s="286" t="s">
        <v>610</v>
      </c>
      <c r="H623" s="290">
        <v>129.87</v>
      </c>
      <c r="I623" s="290">
        <v>5.5</v>
      </c>
    </row>
    <row r="624" spans="1:9">
      <c r="A624" s="286">
        <v>56</v>
      </c>
      <c r="B624" s="344">
        <v>0.25</v>
      </c>
      <c r="D624" s="286" t="s">
        <v>597</v>
      </c>
      <c r="F624" s="286" t="s">
        <v>638</v>
      </c>
      <c r="H624" s="290">
        <v>47.23</v>
      </c>
      <c r="I624" s="290">
        <v>2</v>
      </c>
    </row>
    <row r="625" spans="1:9">
      <c r="A625" s="286">
        <v>56</v>
      </c>
      <c r="B625" s="344">
        <v>0.25</v>
      </c>
      <c r="D625" s="286" t="s">
        <v>597</v>
      </c>
      <c r="F625" s="286" t="s">
        <v>624</v>
      </c>
      <c r="H625" s="290"/>
      <c r="I625" s="290"/>
    </row>
    <row r="626" spans="1:9">
      <c r="A626" s="286">
        <v>57</v>
      </c>
      <c r="B626" s="344">
        <v>0.25</v>
      </c>
      <c r="D626" s="286" t="s">
        <v>644</v>
      </c>
      <c r="F626" s="286" t="s">
        <v>598</v>
      </c>
      <c r="G626" s="286">
        <v>26</v>
      </c>
      <c r="H626" s="290">
        <v>11514.869999999999</v>
      </c>
      <c r="I626" s="290">
        <v>437.68999999999988</v>
      </c>
    </row>
    <row r="627" spans="1:9">
      <c r="A627" s="286">
        <v>57</v>
      </c>
      <c r="B627" s="344">
        <v>0.25</v>
      </c>
      <c r="D627" s="286" t="s">
        <v>644</v>
      </c>
      <c r="F627" s="286" t="s">
        <v>599</v>
      </c>
      <c r="H627" s="290"/>
      <c r="I627" s="290"/>
    </row>
    <row r="628" spans="1:9">
      <c r="A628" s="286">
        <v>57</v>
      </c>
      <c r="B628" s="344">
        <v>0.25</v>
      </c>
      <c r="D628" s="286" t="s">
        <v>644</v>
      </c>
      <c r="F628" s="286" t="s">
        <v>605</v>
      </c>
      <c r="H628" s="290">
        <v>1447.39</v>
      </c>
      <c r="I628" s="290">
        <v>55.11999999999999</v>
      </c>
    </row>
    <row r="629" spans="1:9">
      <c r="A629" s="286">
        <v>57</v>
      </c>
      <c r="B629" s="344">
        <v>0.25</v>
      </c>
      <c r="D629" s="286" t="s">
        <v>644</v>
      </c>
      <c r="F629" s="286" t="s">
        <v>608</v>
      </c>
      <c r="H629" s="290">
        <v>404.40999999999997</v>
      </c>
      <c r="I629" s="290">
        <v>15.429999999999998</v>
      </c>
    </row>
    <row r="630" spans="1:9">
      <c r="A630" s="286">
        <v>57</v>
      </c>
      <c r="B630" s="344">
        <v>0.25</v>
      </c>
      <c r="D630" s="286" t="s">
        <v>644</v>
      </c>
      <c r="F630" s="286" t="s">
        <v>602</v>
      </c>
      <c r="H630" s="290"/>
      <c r="I630" s="290"/>
    </row>
    <row r="631" spans="1:9">
      <c r="A631" s="286">
        <v>57</v>
      </c>
      <c r="B631" s="344">
        <v>0.25</v>
      </c>
      <c r="D631" s="286" t="s">
        <v>644</v>
      </c>
      <c r="F631" s="286" t="s">
        <v>610</v>
      </c>
      <c r="H631" s="290">
        <v>158.06</v>
      </c>
      <c r="I631" s="290">
        <v>6.0299999999999994</v>
      </c>
    </row>
    <row r="632" spans="1:9">
      <c r="A632" s="286">
        <v>57</v>
      </c>
      <c r="B632" s="344">
        <v>0.25</v>
      </c>
      <c r="D632" s="286" t="s">
        <v>644</v>
      </c>
      <c r="F632" s="286" t="s">
        <v>612</v>
      </c>
      <c r="H632" s="290"/>
      <c r="I632" s="290"/>
    </row>
    <row r="633" spans="1:9">
      <c r="A633" s="286">
        <v>57</v>
      </c>
      <c r="B633" s="344">
        <v>0.25</v>
      </c>
      <c r="D633" s="286" t="s">
        <v>644</v>
      </c>
      <c r="F633" s="286" t="s">
        <v>617</v>
      </c>
      <c r="H633" s="290"/>
      <c r="I633" s="290"/>
    </row>
    <row r="634" spans="1:9">
      <c r="A634" s="286">
        <v>57</v>
      </c>
      <c r="B634" s="344">
        <v>0.25</v>
      </c>
      <c r="D634" s="286" t="s">
        <v>644</v>
      </c>
      <c r="F634" s="286" t="s">
        <v>614</v>
      </c>
      <c r="H634" s="290"/>
      <c r="I634" s="290"/>
    </row>
    <row r="635" spans="1:9">
      <c r="A635" s="286">
        <v>57</v>
      </c>
      <c r="B635" s="344">
        <v>0.25</v>
      </c>
      <c r="D635" s="286" t="s">
        <v>644</v>
      </c>
      <c r="F635" s="286" t="s">
        <v>616</v>
      </c>
      <c r="H635" s="290"/>
      <c r="I635" s="290"/>
    </row>
    <row r="636" spans="1:9">
      <c r="A636" s="286">
        <v>59</v>
      </c>
      <c r="B636" s="344">
        <v>0.25</v>
      </c>
      <c r="D636" s="286" t="s">
        <v>644</v>
      </c>
      <c r="F636" s="286" t="s">
        <v>598</v>
      </c>
      <c r="G636" s="286">
        <v>18</v>
      </c>
      <c r="H636" s="290">
        <v>4753.6899999999987</v>
      </c>
      <c r="I636" s="290">
        <v>316.56</v>
      </c>
    </row>
    <row r="637" spans="1:9">
      <c r="A637" s="286">
        <v>59</v>
      </c>
      <c r="B637" s="344">
        <v>0.25</v>
      </c>
      <c r="D637" s="286" t="s">
        <v>644</v>
      </c>
      <c r="F637" s="286" t="s">
        <v>599</v>
      </c>
      <c r="H637" s="290"/>
      <c r="I637" s="290"/>
    </row>
    <row r="638" spans="1:9">
      <c r="A638" s="286">
        <v>59</v>
      </c>
      <c r="B638" s="344">
        <v>0.25</v>
      </c>
      <c r="D638" s="286" t="s">
        <v>644</v>
      </c>
      <c r="F638" s="286" t="s">
        <v>605</v>
      </c>
      <c r="H638" s="290">
        <v>267.34999999999997</v>
      </c>
      <c r="I638" s="290">
        <v>17.690000000000001</v>
      </c>
    </row>
    <row r="639" spans="1:9">
      <c r="A639" s="286">
        <v>59</v>
      </c>
      <c r="B639" s="344">
        <v>0.25</v>
      </c>
      <c r="D639" s="286" t="s">
        <v>644</v>
      </c>
      <c r="F639" s="286" t="s">
        <v>608</v>
      </c>
      <c r="H639" s="290">
        <v>265.98</v>
      </c>
      <c r="I639" s="290">
        <v>17.75</v>
      </c>
    </row>
    <row r="640" spans="1:9">
      <c r="A640" s="286">
        <v>59</v>
      </c>
      <c r="B640" s="344">
        <v>0.25</v>
      </c>
      <c r="D640" s="286" t="s">
        <v>644</v>
      </c>
      <c r="F640" s="286" t="s">
        <v>610</v>
      </c>
      <c r="H640" s="290">
        <v>88.7</v>
      </c>
      <c r="I640" s="290">
        <v>5.9999999999999991</v>
      </c>
    </row>
    <row r="641" spans="1:9">
      <c r="A641" s="286">
        <v>59</v>
      </c>
      <c r="B641" s="344">
        <v>0.25</v>
      </c>
      <c r="D641" s="286" t="s">
        <v>644</v>
      </c>
      <c r="F641" s="286" t="s">
        <v>638</v>
      </c>
      <c r="H641" s="290">
        <v>30.33</v>
      </c>
      <c r="I641" s="290">
        <v>2</v>
      </c>
    </row>
    <row r="642" spans="1:9">
      <c r="A642" s="286">
        <v>59</v>
      </c>
      <c r="B642" s="344">
        <v>0.25</v>
      </c>
      <c r="D642" s="286" t="s">
        <v>644</v>
      </c>
      <c r="F642" s="286" t="s">
        <v>614</v>
      </c>
      <c r="H642" s="290"/>
      <c r="I642" s="290"/>
    </row>
    <row r="643" spans="1:9">
      <c r="A643" s="286">
        <v>59</v>
      </c>
      <c r="B643" s="344">
        <v>0.25</v>
      </c>
      <c r="D643" s="286" t="s">
        <v>644</v>
      </c>
      <c r="F643" s="286" t="s">
        <v>616</v>
      </c>
      <c r="H643" s="290"/>
      <c r="I643" s="290"/>
    </row>
    <row r="644" spans="1:9">
      <c r="A644" s="286">
        <v>59</v>
      </c>
      <c r="B644" s="344">
        <v>0.25</v>
      </c>
      <c r="D644" s="286" t="s">
        <v>644</v>
      </c>
      <c r="F644" s="286" t="s">
        <v>666</v>
      </c>
      <c r="H644" s="290">
        <v>-88.33</v>
      </c>
      <c r="I644" s="290">
        <v>-6</v>
      </c>
    </row>
    <row r="645" spans="1:9">
      <c r="A645" s="286">
        <v>59</v>
      </c>
      <c r="B645" s="344">
        <v>0.25</v>
      </c>
      <c r="D645" s="286" t="s">
        <v>644</v>
      </c>
      <c r="F645" s="286" t="s">
        <v>643</v>
      </c>
      <c r="H645" s="290">
        <v>-1.47</v>
      </c>
      <c r="I645" s="290">
        <v>-0.1</v>
      </c>
    </row>
    <row r="646" spans="1:9">
      <c r="A646" s="286">
        <v>59</v>
      </c>
      <c r="B646" s="344">
        <v>0.25</v>
      </c>
      <c r="D646" s="286" t="s">
        <v>644</v>
      </c>
      <c r="F646" s="286" t="s">
        <v>632</v>
      </c>
      <c r="H646" s="290"/>
      <c r="I646" s="290"/>
    </row>
    <row r="647" spans="1:9">
      <c r="A647" s="286">
        <v>61</v>
      </c>
      <c r="B647" s="344">
        <v>0.25</v>
      </c>
      <c r="D647" s="286" t="s">
        <v>650</v>
      </c>
      <c r="F647" s="286" t="s">
        <v>598</v>
      </c>
      <c r="G647" s="286">
        <v>26</v>
      </c>
      <c r="H647" s="290">
        <v>23189.98</v>
      </c>
      <c r="I647" s="290">
        <v>470.13</v>
      </c>
    </row>
    <row r="648" spans="1:9">
      <c r="A648" s="286">
        <v>61</v>
      </c>
      <c r="D648" s="286" t="s">
        <v>650</v>
      </c>
      <c r="F648" s="286" t="s">
        <v>605</v>
      </c>
      <c r="H648" s="290">
        <v>1330.01</v>
      </c>
      <c r="I648" s="290">
        <v>27.009999999999998</v>
      </c>
    </row>
    <row r="649" spans="1:9">
      <c r="A649" s="286">
        <v>61</v>
      </c>
      <c r="D649" s="286" t="s">
        <v>650</v>
      </c>
      <c r="F649" s="286" t="s">
        <v>608</v>
      </c>
      <c r="H649" s="290">
        <v>988.02</v>
      </c>
      <c r="I649" s="290">
        <v>20.020000000000003</v>
      </c>
    </row>
    <row r="650" spans="1:9">
      <c r="A650" s="286">
        <v>61</v>
      </c>
      <c r="D650" s="286" t="s">
        <v>650</v>
      </c>
      <c r="F650" s="286" t="s">
        <v>610</v>
      </c>
      <c r="H650" s="290">
        <v>142.03</v>
      </c>
      <c r="I650" s="290">
        <v>2.88</v>
      </c>
    </row>
    <row r="651" spans="1:9">
      <c r="A651" s="286">
        <v>61</v>
      </c>
      <c r="D651" s="286" t="s">
        <v>650</v>
      </c>
      <c r="F651" s="286" t="s">
        <v>624</v>
      </c>
      <c r="H651" s="290"/>
      <c r="I651" s="290"/>
    </row>
    <row r="652" spans="1:9">
      <c r="A652" s="286">
        <v>64</v>
      </c>
      <c r="B652" s="344">
        <v>0.25</v>
      </c>
      <c r="D652" s="286" t="s">
        <v>644</v>
      </c>
      <c r="F652" s="286" t="s">
        <v>598</v>
      </c>
      <c r="G652" s="286">
        <v>26</v>
      </c>
      <c r="H652" s="290">
        <v>7245.9399999999987</v>
      </c>
      <c r="I652" s="290">
        <v>478.4</v>
      </c>
    </row>
    <row r="653" spans="1:9">
      <c r="A653" s="286">
        <v>64</v>
      </c>
      <c r="B653" s="344">
        <v>0.25</v>
      </c>
      <c r="D653" s="286" t="s">
        <v>644</v>
      </c>
      <c r="F653" s="286" t="s">
        <v>599</v>
      </c>
      <c r="H653" s="290"/>
      <c r="I653" s="290"/>
    </row>
    <row r="654" spans="1:9">
      <c r="A654" s="286">
        <v>64</v>
      </c>
      <c r="B654" s="344">
        <v>0.25</v>
      </c>
      <c r="D654" s="286" t="s">
        <v>644</v>
      </c>
      <c r="F654" s="286" t="s">
        <v>605</v>
      </c>
      <c r="H654" s="290">
        <v>295.71999999999991</v>
      </c>
      <c r="I654" s="290">
        <v>19.5</v>
      </c>
    </row>
    <row r="655" spans="1:9">
      <c r="A655" s="286">
        <v>64</v>
      </c>
      <c r="B655" s="344">
        <v>0.25</v>
      </c>
      <c r="D655" s="286" t="s">
        <v>644</v>
      </c>
      <c r="F655" s="286" t="s">
        <v>608</v>
      </c>
      <c r="H655" s="290">
        <v>251.71999999999997</v>
      </c>
      <c r="I655" s="290">
        <v>16.63</v>
      </c>
    </row>
    <row r="656" spans="1:9">
      <c r="A656" s="286">
        <v>64</v>
      </c>
      <c r="B656" s="344">
        <v>0.25</v>
      </c>
      <c r="D656" s="286" t="s">
        <v>644</v>
      </c>
      <c r="F656" s="286" t="s">
        <v>610</v>
      </c>
      <c r="H656" s="290">
        <v>83.1</v>
      </c>
      <c r="I656" s="290">
        <v>5.48</v>
      </c>
    </row>
    <row r="657" spans="1:9">
      <c r="A657" s="286">
        <v>64</v>
      </c>
      <c r="B657" s="344">
        <v>0.25</v>
      </c>
      <c r="D657" s="286" t="s">
        <v>644</v>
      </c>
      <c r="F657" s="286" t="s">
        <v>614</v>
      </c>
      <c r="H657" s="290"/>
      <c r="I657" s="290"/>
    </row>
    <row r="658" spans="1:9">
      <c r="A658" s="286">
        <v>64</v>
      </c>
      <c r="B658" s="344">
        <v>0.25</v>
      </c>
      <c r="D658" s="286" t="s">
        <v>644</v>
      </c>
      <c r="F658" s="286" t="s">
        <v>616</v>
      </c>
      <c r="H658" s="290"/>
      <c r="I658" s="290"/>
    </row>
    <row r="659" spans="1:9">
      <c r="A659" s="286">
        <v>66</v>
      </c>
      <c r="B659" s="344">
        <v>0.25</v>
      </c>
      <c r="D659" s="286" t="s">
        <v>644</v>
      </c>
      <c r="F659" s="286" t="s">
        <v>598</v>
      </c>
      <c r="G659" s="286">
        <v>26</v>
      </c>
      <c r="H659" s="290">
        <v>2293.9</v>
      </c>
      <c r="I659" s="290">
        <v>113.5</v>
      </c>
    </row>
    <row r="660" spans="1:9">
      <c r="A660" s="286">
        <v>66</v>
      </c>
      <c r="B660" s="344">
        <v>0.25</v>
      </c>
      <c r="D660" s="286" t="s">
        <v>644</v>
      </c>
      <c r="F660" s="286" t="s">
        <v>599</v>
      </c>
      <c r="H660" s="290"/>
      <c r="I660" s="290"/>
    </row>
    <row r="661" spans="1:9">
      <c r="A661" s="286">
        <v>66</v>
      </c>
      <c r="B661" s="344">
        <v>0.25</v>
      </c>
      <c r="D661" s="286" t="s">
        <v>644</v>
      </c>
      <c r="F661" s="286" t="s">
        <v>605</v>
      </c>
      <c r="H661" s="290">
        <v>151.78</v>
      </c>
      <c r="I661" s="290">
        <v>7.5</v>
      </c>
    </row>
    <row r="662" spans="1:9">
      <c r="A662" s="286">
        <v>66</v>
      </c>
      <c r="B662" s="344">
        <v>0.25</v>
      </c>
      <c r="D662" s="286" t="s">
        <v>644</v>
      </c>
      <c r="F662" s="286" t="s">
        <v>608</v>
      </c>
      <c r="H662" s="290">
        <v>151.50000000000003</v>
      </c>
      <c r="I662" s="290">
        <v>7.5</v>
      </c>
    </row>
    <row r="663" spans="1:9">
      <c r="A663" s="286">
        <v>66</v>
      </c>
      <c r="B663" s="344">
        <v>0.25</v>
      </c>
      <c r="D663" s="286" t="s">
        <v>644</v>
      </c>
      <c r="F663" s="286" t="s">
        <v>610</v>
      </c>
      <c r="H663" s="290">
        <v>30.36</v>
      </c>
      <c r="I663" s="290">
        <v>1.5</v>
      </c>
    </row>
    <row r="664" spans="1:9">
      <c r="A664" s="286">
        <v>66</v>
      </c>
      <c r="B664" s="344">
        <v>0.25</v>
      </c>
      <c r="D664" s="286" t="s">
        <v>644</v>
      </c>
      <c r="F664" s="286" t="s">
        <v>614</v>
      </c>
      <c r="H664" s="290"/>
      <c r="I664" s="290"/>
    </row>
    <row r="665" spans="1:9">
      <c r="A665" s="286">
        <v>66</v>
      </c>
      <c r="B665" s="344">
        <v>0.25</v>
      </c>
      <c r="D665" s="286" t="s">
        <v>644</v>
      </c>
      <c r="F665" s="286" t="s">
        <v>616</v>
      </c>
      <c r="H665" s="290"/>
      <c r="I665" s="290"/>
    </row>
    <row r="666" spans="1:9">
      <c r="A666" s="286">
        <v>71</v>
      </c>
      <c r="B666" s="344">
        <v>0.25</v>
      </c>
      <c r="D666" s="286" t="s">
        <v>644</v>
      </c>
      <c r="F666" s="286" t="s">
        <v>598</v>
      </c>
      <c r="G666" s="286">
        <v>17</v>
      </c>
      <c r="H666" s="290">
        <v>4261.4000000000005</v>
      </c>
      <c r="I666" s="290">
        <v>294.39</v>
      </c>
    </row>
    <row r="667" spans="1:9">
      <c r="A667" s="286">
        <v>71</v>
      </c>
      <c r="B667" s="344">
        <v>0.25</v>
      </c>
      <c r="D667" s="286" t="s">
        <v>644</v>
      </c>
      <c r="F667" s="286" t="s">
        <v>599</v>
      </c>
      <c r="H667" s="290"/>
      <c r="I667" s="290"/>
    </row>
    <row r="668" spans="1:9">
      <c r="A668" s="286">
        <v>71</v>
      </c>
      <c r="B668" s="344">
        <v>0.25</v>
      </c>
      <c r="D668" s="286" t="s">
        <v>644</v>
      </c>
      <c r="F668" s="286" t="s">
        <v>605</v>
      </c>
      <c r="H668" s="290">
        <v>144.99</v>
      </c>
      <c r="I668" s="290">
        <v>10</v>
      </c>
    </row>
    <row r="669" spans="1:9">
      <c r="A669" s="286">
        <v>71</v>
      </c>
      <c r="B669" s="344">
        <v>0.25</v>
      </c>
      <c r="D669" s="286" t="s">
        <v>644</v>
      </c>
      <c r="F669" s="286" t="s">
        <v>608</v>
      </c>
      <c r="H669" s="290">
        <v>286.37</v>
      </c>
      <c r="I669" s="290">
        <v>19.75</v>
      </c>
    </row>
    <row r="670" spans="1:9">
      <c r="A670" s="286">
        <v>71</v>
      </c>
      <c r="B670" s="344">
        <v>0.25</v>
      </c>
      <c r="D670" s="286" t="s">
        <v>644</v>
      </c>
      <c r="F670" s="286" t="s">
        <v>610</v>
      </c>
      <c r="H670" s="290">
        <v>143.31</v>
      </c>
      <c r="I670" s="290">
        <v>10.01</v>
      </c>
    </row>
    <row r="671" spans="1:9">
      <c r="A671" s="286">
        <v>71</v>
      </c>
      <c r="B671" s="344">
        <v>0.25</v>
      </c>
      <c r="D671" s="286" t="s">
        <v>644</v>
      </c>
      <c r="F671" s="286" t="s">
        <v>638</v>
      </c>
      <c r="H671" s="290">
        <v>85.19</v>
      </c>
      <c r="I671" s="290">
        <v>5.88</v>
      </c>
    </row>
    <row r="672" spans="1:9">
      <c r="A672" s="286">
        <v>71</v>
      </c>
      <c r="B672" s="344">
        <v>0.25</v>
      </c>
      <c r="D672" s="286" t="s">
        <v>644</v>
      </c>
      <c r="F672" s="286" t="s">
        <v>643</v>
      </c>
      <c r="H672" s="290">
        <v>-92.43</v>
      </c>
      <c r="I672" s="290">
        <v>-6.38</v>
      </c>
    </row>
    <row r="673" spans="1:9">
      <c r="A673" s="286">
        <v>74</v>
      </c>
      <c r="B673" s="344">
        <v>0.25</v>
      </c>
      <c r="D673" s="286" t="s">
        <v>644</v>
      </c>
      <c r="F673" s="286" t="s">
        <v>598</v>
      </c>
      <c r="G673" s="286">
        <v>26</v>
      </c>
      <c r="H673" s="290">
        <v>8310.2200000000012</v>
      </c>
      <c r="I673" s="290">
        <v>434.75</v>
      </c>
    </row>
    <row r="674" spans="1:9">
      <c r="A674" s="286">
        <v>74</v>
      </c>
      <c r="B674" s="344">
        <v>0.25</v>
      </c>
      <c r="D674" s="286" t="s">
        <v>644</v>
      </c>
      <c r="F674" s="286" t="s">
        <v>599</v>
      </c>
      <c r="H674" s="290"/>
      <c r="I674" s="290"/>
    </row>
    <row r="675" spans="1:9">
      <c r="A675" s="286">
        <v>74</v>
      </c>
      <c r="B675" s="344">
        <v>0.25</v>
      </c>
      <c r="D675" s="286" t="s">
        <v>644</v>
      </c>
      <c r="F675" s="286" t="s">
        <v>605</v>
      </c>
      <c r="H675" s="290">
        <v>1009.4499999999998</v>
      </c>
      <c r="I675" s="290">
        <v>52.82</v>
      </c>
    </row>
    <row r="676" spans="1:9">
      <c r="A676" s="286">
        <v>74</v>
      </c>
      <c r="B676" s="344">
        <v>0.25</v>
      </c>
      <c r="D676" s="286" t="s">
        <v>644</v>
      </c>
      <c r="F676" s="286" t="s">
        <v>608</v>
      </c>
      <c r="H676" s="290">
        <v>463.18999999999983</v>
      </c>
      <c r="I676" s="290">
        <v>23.94</v>
      </c>
    </row>
    <row r="677" spans="1:9">
      <c r="A677" s="286">
        <v>74</v>
      </c>
      <c r="B677" s="344">
        <v>0.25</v>
      </c>
      <c r="D677" s="286" t="s">
        <v>644</v>
      </c>
      <c r="F677" s="286" t="s">
        <v>646</v>
      </c>
      <c r="H677" s="290">
        <v>46.76</v>
      </c>
      <c r="I677" s="290">
        <v>2.5</v>
      </c>
    </row>
    <row r="678" spans="1:9">
      <c r="A678" s="286">
        <v>74</v>
      </c>
      <c r="B678" s="344">
        <v>0.25</v>
      </c>
      <c r="D678" s="286" t="s">
        <v>644</v>
      </c>
      <c r="F678" s="286" t="s">
        <v>610</v>
      </c>
      <c r="H678" s="290">
        <v>113.62999999999998</v>
      </c>
      <c r="I678" s="290">
        <v>5.9999999999999991</v>
      </c>
    </row>
    <row r="679" spans="1:9">
      <c r="A679" s="286">
        <v>74</v>
      </c>
      <c r="B679" s="344">
        <v>0.25</v>
      </c>
      <c r="D679" s="286" t="s">
        <v>644</v>
      </c>
      <c r="F679" s="286" t="s">
        <v>614</v>
      </c>
      <c r="H679" s="290"/>
      <c r="I679" s="290"/>
    </row>
    <row r="680" spans="1:9">
      <c r="A680" s="286">
        <v>74</v>
      </c>
      <c r="B680" s="344">
        <v>0.25</v>
      </c>
      <c r="D680" s="286" t="s">
        <v>644</v>
      </c>
      <c r="F680" s="286" t="s">
        <v>616</v>
      </c>
      <c r="H680" s="290"/>
      <c r="I680" s="290"/>
    </row>
    <row r="681" spans="1:9">
      <c r="A681" s="286">
        <v>74</v>
      </c>
      <c r="B681" s="344">
        <v>0.25</v>
      </c>
      <c r="D681" s="286" t="s">
        <v>644</v>
      </c>
      <c r="F681" s="286" t="s">
        <v>671</v>
      </c>
      <c r="H681" s="290">
        <v>-28.05</v>
      </c>
      <c r="I681" s="290">
        <v>-1.5</v>
      </c>
    </row>
    <row r="682" spans="1:9">
      <c r="A682" s="286">
        <v>75</v>
      </c>
      <c r="B682" s="344">
        <v>1</v>
      </c>
      <c r="D682" s="286" t="s">
        <v>619</v>
      </c>
      <c r="E682" s="286" t="s">
        <v>686</v>
      </c>
      <c r="F682" s="286" t="s">
        <v>621</v>
      </c>
      <c r="G682" s="286">
        <v>27</v>
      </c>
      <c r="H682" s="290">
        <v>10780.659999999998</v>
      </c>
      <c r="I682" s="290">
        <v>424</v>
      </c>
    </row>
    <row r="683" spans="1:9">
      <c r="A683" s="286">
        <v>75</v>
      </c>
      <c r="B683" s="344">
        <v>1</v>
      </c>
      <c r="D683" s="286" t="s">
        <v>619</v>
      </c>
      <c r="E683" s="286" t="s">
        <v>686</v>
      </c>
      <c r="F683" s="286" t="s">
        <v>599</v>
      </c>
      <c r="H683" s="290"/>
      <c r="I683" s="290"/>
    </row>
    <row r="684" spans="1:9">
      <c r="A684" s="286">
        <v>75</v>
      </c>
      <c r="B684" s="344">
        <v>1</v>
      </c>
      <c r="D684" s="286" t="s">
        <v>619</v>
      </c>
      <c r="E684" s="286" t="s">
        <v>686</v>
      </c>
      <c r="F684" s="286" t="s">
        <v>600</v>
      </c>
      <c r="H684" s="290"/>
      <c r="I684" s="290"/>
    </row>
    <row r="685" spans="1:9">
      <c r="A685" s="286">
        <v>75</v>
      </c>
      <c r="B685" s="344">
        <v>1</v>
      </c>
      <c r="D685" s="286" t="s">
        <v>619</v>
      </c>
      <c r="E685" s="286" t="s">
        <v>686</v>
      </c>
      <c r="F685" s="286" t="s">
        <v>627</v>
      </c>
      <c r="H685" s="290">
        <v>546.69999999999993</v>
      </c>
      <c r="I685" s="290">
        <v>22</v>
      </c>
    </row>
    <row r="686" spans="1:9">
      <c r="A686" s="286">
        <v>75</v>
      </c>
      <c r="B686" s="344">
        <v>1</v>
      </c>
      <c r="D686" s="286" t="s">
        <v>619</v>
      </c>
      <c r="E686" s="286" t="s">
        <v>686</v>
      </c>
      <c r="F686" s="286" t="s">
        <v>630</v>
      </c>
      <c r="H686" s="290">
        <v>749.04000000000008</v>
      </c>
      <c r="I686" s="290">
        <v>30</v>
      </c>
    </row>
    <row r="687" spans="1:9">
      <c r="A687" s="286">
        <v>75</v>
      </c>
      <c r="B687" s="344">
        <v>1</v>
      </c>
      <c r="D687" s="286" t="s">
        <v>619</v>
      </c>
      <c r="E687" s="286" t="s">
        <v>686</v>
      </c>
      <c r="F687" s="286" t="s">
        <v>633</v>
      </c>
      <c r="H687" s="290">
        <v>713.50000000000011</v>
      </c>
      <c r="I687" s="290">
        <v>28</v>
      </c>
    </row>
    <row r="688" spans="1:9">
      <c r="A688" s="286">
        <v>75</v>
      </c>
      <c r="B688" s="344">
        <v>1</v>
      </c>
      <c r="D688" s="286" t="s">
        <v>619</v>
      </c>
      <c r="E688" s="286" t="s">
        <v>686</v>
      </c>
      <c r="F688" s="286" t="s">
        <v>604</v>
      </c>
      <c r="H688" s="290"/>
      <c r="I688" s="290"/>
    </row>
    <row r="689" spans="1:9">
      <c r="A689" s="286">
        <v>75</v>
      </c>
      <c r="B689" s="344">
        <v>1</v>
      </c>
      <c r="D689" s="286" t="s">
        <v>619</v>
      </c>
      <c r="E689" s="286" t="s">
        <v>686</v>
      </c>
      <c r="F689" s="286" t="s">
        <v>634</v>
      </c>
      <c r="H689" s="290">
        <v>159.72</v>
      </c>
      <c r="I689" s="290">
        <v>6</v>
      </c>
    </row>
    <row r="690" spans="1:9">
      <c r="A690" s="286">
        <v>75</v>
      </c>
      <c r="B690" s="344">
        <v>1</v>
      </c>
      <c r="D690" s="286" t="s">
        <v>619</v>
      </c>
      <c r="E690" s="286" t="s">
        <v>686</v>
      </c>
      <c r="F690" s="286" t="s">
        <v>623</v>
      </c>
      <c r="H690" s="290"/>
      <c r="I690" s="290"/>
    </row>
    <row r="691" spans="1:9">
      <c r="A691" s="286">
        <v>75</v>
      </c>
      <c r="B691" s="344">
        <v>1</v>
      </c>
      <c r="D691" s="286" t="s">
        <v>619</v>
      </c>
      <c r="E691" s="286" t="s">
        <v>686</v>
      </c>
      <c r="F691" s="286" t="s">
        <v>625</v>
      </c>
      <c r="H691" s="290"/>
      <c r="I691" s="290"/>
    </row>
    <row r="692" spans="1:9">
      <c r="A692" s="286">
        <v>75</v>
      </c>
      <c r="B692" s="344">
        <v>1</v>
      </c>
      <c r="D692" s="286" t="s">
        <v>619</v>
      </c>
      <c r="E692" s="286" t="s">
        <v>686</v>
      </c>
      <c r="F692" s="286" t="s">
        <v>626</v>
      </c>
      <c r="H692" s="290"/>
      <c r="I692" s="290"/>
    </row>
    <row r="693" spans="1:9">
      <c r="A693" s="286">
        <v>75</v>
      </c>
      <c r="B693" s="344">
        <v>1</v>
      </c>
      <c r="D693" s="286" t="s">
        <v>619</v>
      </c>
      <c r="E693" s="286" t="s">
        <v>686</v>
      </c>
      <c r="F693" s="286" t="s">
        <v>632</v>
      </c>
      <c r="H693" s="290"/>
      <c r="I693" s="290"/>
    </row>
    <row r="694" spans="1:9">
      <c r="A694" s="286">
        <v>76</v>
      </c>
      <c r="B694" s="344">
        <v>0.25</v>
      </c>
      <c r="D694" s="286" t="s">
        <v>644</v>
      </c>
      <c r="F694" s="286" t="s">
        <v>598</v>
      </c>
      <c r="G694" s="286">
        <v>4</v>
      </c>
      <c r="H694" s="290">
        <v>964.18000000000006</v>
      </c>
      <c r="I694" s="290">
        <v>66.5</v>
      </c>
    </row>
    <row r="695" spans="1:9">
      <c r="A695" s="286">
        <v>76</v>
      </c>
      <c r="B695" s="344">
        <v>0.25</v>
      </c>
      <c r="D695" s="286" t="s">
        <v>644</v>
      </c>
      <c r="F695" s="286" t="s">
        <v>599</v>
      </c>
      <c r="H695" s="290"/>
      <c r="I695" s="290"/>
    </row>
    <row r="696" spans="1:9">
      <c r="A696" s="286">
        <v>76</v>
      </c>
      <c r="B696" s="344">
        <v>0.25</v>
      </c>
      <c r="D696" s="286" t="s">
        <v>644</v>
      </c>
      <c r="F696" s="286" t="s">
        <v>610</v>
      </c>
      <c r="H696" s="290">
        <v>50.760000000000005</v>
      </c>
      <c r="I696" s="290">
        <v>3.5</v>
      </c>
    </row>
    <row r="697" spans="1:9">
      <c r="A697" s="286">
        <v>79</v>
      </c>
      <c r="B697" s="344">
        <v>0.25</v>
      </c>
      <c r="D697" s="286" t="s">
        <v>644</v>
      </c>
      <c r="F697" s="286" t="s">
        <v>598</v>
      </c>
      <c r="G697" s="286">
        <v>26</v>
      </c>
      <c r="H697" s="290">
        <v>7366.9200000000019</v>
      </c>
      <c r="I697" s="290">
        <v>467.01</v>
      </c>
    </row>
    <row r="698" spans="1:9">
      <c r="A698" s="286">
        <v>79</v>
      </c>
      <c r="B698" s="344">
        <v>0.25</v>
      </c>
      <c r="D698" s="286" t="s">
        <v>644</v>
      </c>
      <c r="F698" s="286" t="s">
        <v>599</v>
      </c>
      <c r="H698" s="290"/>
      <c r="I698" s="290"/>
    </row>
    <row r="699" spans="1:9">
      <c r="A699" s="286">
        <v>79</v>
      </c>
      <c r="B699" s="344">
        <v>0.25</v>
      </c>
      <c r="D699" s="286" t="s">
        <v>644</v>
      </c>
      <c r="F699" s="286" t="s">
        <v>605</v>
      </c>
      <c r="H699" s="290">
        <v>386.97999999999996</v>
      </c>
      <c r="I699" s="290">
        <v>24.5</v>
      </c>
    </row>
    <row r="700" spans="1:9">
      <c r="A700" s="286">
        <v>79</v>
      </c>
      <c r="B700" s="344">
        <v>0.25</v>
      </c>
      <c r="D700" s="286" t="s">
        <v>644</v>
      </c>
      <c r="F700" s="286" t="s">
        <v>608</v>
      </c>
      <c r="H700" s="290">
        <v>230.02</v>
      </c>
      <c r="I700" s="290">
        <v>14.56</v>
      </c>
    </row>
    <row r="701" spans="1:9">
      <c r="A701" s="286">
        <v>79</v>
      </c>
      <c r="B701" s="344">
        <v>0.25</v>
      </c>
      <c r="D701" s="286" t="s">
        <v>644</v>
      </c>
      <c r="F701" s="286" t="s">
        <v>646</v>
      </c>
      <c r="H701" s="290">
        <v>122.41</v>
      </c>
      <c r="I701" s="290">
        <v>7.75</v>
      </c>
    </row>
    <row r="702" spans="1:9">
      <c r="A702" s="286">
        <v>79</v>
      </c>
      <c r="B702" s="344">
        <v>0.25</v>
      </c>
      <c r="D702" s="286" t="s">
        <v>644</v>
      </c>
      <c r="F702" s="286" t="s">
        <v>610</v>
      </c>
      <c r="H702" s="290">
        <v>97.600000000000009</v>
      </c>
      <c r="I702" s="290">
        <v>6.1899999999999995</v>
      </c>
    </row>
    <row r="703" spans="1:9">
      <c r="A703" s="286">
        <v>79</v>
      </c>
      <c r="B703" s="344">
        <v>0.25</v>
      </c>
      <c r="D703" s="286" t="s">
        <v>644</v>
      </c>
      <c r="F703" s="286" t="s">
        <v>614</v>
      </c>
      <c r="H703" s="290"/>
      <c r="I703" s="290"/>
    </row>
    <row r="704" spans="1:9">
      <c r="A704" s="286">
        <v>79</v>
      </c>
      <c r="B704" s="344">
        <v>0.25</v>
      </c>
      <c r="D704" s="286" t="s">
        <v>644</v>
      </c>
      <c r="F704" s="286" t="s">
        <v>616</v>
      </c>
      <c r="H704" s="290"/>
      <c r="I704" s="290"/>
    </row>
    <row r="705" spans="1:9">
      <c r="A705" s="286">
        <v>81</v>
      </c>
      <c r="B705" s="344">
        <v>0.25</v>
      </c>
      <c r="D705" s="286" t="s">
        <v>644</v>
      </c>
      <c r="F705" s="286" t="s">
        <v>598</v>
      </c>
      <c r="G705" s="286">
        <v>26</v>
      </c>
      <c r="H705" s="290">
        <v>9059.2199999999975</v>
      </c>
      <c r="I705" s="290">
        <v>432.84000000000003</v>
      </c>
    </row>
    <row r="706" spans="1:9">
      <c r="A706" s="286">
        <v>81</v>
      </c>
      <c r="B706" s="344">
        <v>0.25</v>
      </c>
      <c r="D706" s="286" t="s">
        <v>644</v>
      </c>
      <c r="F706" s="286" t="s">
        <v>599</v>
      </c>
      <c r="H706" s="290"/>
      <c r="I706" s="290"/>
    </row>
    <row r="707" spans="1:9">
      <c r="A707" s="286">
        <v>81</v>
      </c>
      <c r="B707" s="344">
        <v>0.25</v>
      </c>
      <c r="D707" s="286" t="s">
        <v>644</v>
      </c>
      <c r="F707" s="286" t="s">
        <v>605</v>
      </c>
      <c r="H707" s="290">
        <v>1242.75</v>
      </c>
      <c r="I707" s="290">
        <v>59.75</v>
      </c>
    </row>
    <row r="708" spans="1:9">
      <c r="A708" s="286">
        <v>81</v>
      </c>
      <c r="B708" s="344">
        <v>0.25</v>
      </c>
      <c r="D708" s="286" t="s">
        <v>644</v>
      </c>
      <c r="F708" s="286" t="s">
        <v>608</v>
      </c>
      <c r="H708" s="290">
        <v>444.97</v>
      </c>
      <c r="I708" s="290">
        <v>21.259999999999998</v>
      </c>
    </row>
    <row r="709" spans="1:9">
      <c r="A709" s="286">
        <v>81</v>
      </c>
      <c r="B709" s="344">
        <v>0.25</v>
      </c>
      <c r="D709" s="286" t="s">
        <v>644</v>
      </c>
      <c r="F709" s="286" t="s">
        <v>610</v>
      </c>
      <c r="H709" s="290">
        <v>129.20000000000002</v>
      </c>
      <c r="I709" s="290">
        <v>6.18</v>
      </c>
    </row>
    <row r="710" spans="1:9">
      <c r="A710" s="286">
        <v>81</v>
      </c>
      <c r="B710" s="344">
        <v>0.25</v>
      </c>
      <c r="D710" s="286" t="s">
        <v>644</v>
      </c>
      <c r="F710" s="286" t="s">
        <v>614</v>
      </c>
      <c r="H710" s="290"/>
      <c r="I710" s="290"/>
    </row>
    <row r="711" spans="1:9">
      <c r="A711" s="286">
        <v>81</v>
      </c>
      <c r="B711" s="344">
        <v>0.25</v>
      </c>
      <c r="D711" s="286" t="s">
        <v>644</v>
      </c>
      <c r="F711" s="286" t="s">
        <v>616</v>
      </c>
      <c r="H711" s="290"/>
      <c r="I711" s="290"/>
    </row>
    <row r="712" spans="1:9">
      <c r="A712" s="286">
        <v>87</v>
      </c>
      <c r="B712" s="344">
        <v>0.25</v>
      </c>
      <c r="D712" s="286" t="s">
        <v>644</v>
      </c>
      <c r="F712" s="286" t="s">
        <v>598</v>
      </c>
      <c r="G712" s="286">
        <v>26</v>
      </c>
      <c r="H712" s="290">
        <v>7303.9500000000025</v>
      </c>
      <c r="I712" s="290">
        <v>463.02</v>
      </c>
    </row>
    <row r="713" spans="1:9">
      <c r="A713" s="286">
        <v>87</v>
      </c>
      <c r="B713" s="344">
        <v>0.25</v>
      </c>
      <c r="D713" s="286" t="s">
        <v>644</v>
      </c>
      <c r="F713" s="286" t="s">
        <v>599</v>
      </c>
      <c r="H713" s="290"/>
      <c r="I713" s="290"/>
    </row>
    <row r="714" spans="1:9">
      <c r="A714" s="286">
        <v>87</v>
      </c>
      <c r="B714" s="344">
        <v>0.25</v>
      </c>
      <c r="D714" s="286" t="s">
        <v>644</v>
      </c>
      <c r="F714" s="286" t="s">
        <v>605</v>
      </c>
      <c r="H714" s="290">
        <v>425.12</v>
      </c>
      <c r="I714" s="290">
        <v>26.95</v>
      </c>
    </row>
    <row r="715" spans="1:9">
      <c r="A715" s="286">
        <v>87</v>
      </c>
      <c r="B715" s="344">
        <v>0.25</v>
      </c>
      <c r="D715" s="286" t="s">
        <v>644</v>
      </c>
      <c r="F715" s="286" t="s">
        <v>608</v>
      </c>
      <c r="H715" s="290">
        <v>370.20999999999992</v>
      </c>
      <c r="I715" s="290">
        <v>23.439999999999998</v>
      </c>
    </row>
    <row r="716" spans="1:9">
      <c r="A716" s="286">
        <v>87</v>
      </c>
      <c r="B716" s="344">
        <v>0.25</v>
      </c>
      <c r="D716" s="286" t="s">
        <v>644</v>
      </c>
      <c r="F716" s="286" t="s">
        <v>646</v>
      </c>
      <c r="H716" s="290">
        <v>9.8699999999999992</v>
      </c>
      <c r="I716" s="290">
        <v>0.63</v>
      </c>
    </row>
    <row r="717" spans="1:9">
      <c r="A717" s="286">
        <v>87</v>
      </c>
      <c r="B717" s="344">
        <v>0.25</v>
      </c>
      <c r="D717" s="286" t="s">
        <v>644</v>
      </c>
      <c r="F717" s="286" t="s">
        <v>610</v>
      </c>
      <c r="H717" s="290">
        <v>94.77</v>
      </c>
      <c r="I717" s="290">
        <v>6</v>
      </c>
    </row>
    <row r="718" spans="1:9">
      <c r="A718" s="286">
        <v>87</v>
      </c>
      <c r="B718" s="344">
        <v>0.25</v>
      </c>
      <c r="D718" s="286" t="s">
        <v>644</v>
      </c>
      <c r="F718" s="286" t="s">
        <v>612</v>
      </c>
      <c r="H718" s="290"/>
      <c r="I718" s="290"/>
    </row>
    <row r="719" spans="1:9">
      <c r="A719" s="286">
        <v>87</v>
      </c>
      <c r="B719" s="344">
        <v>0.25</v>
      </c>
      <c r="D719" s="286" t="s">
        <v>644</v>
      </c>
      <c r="F719" s="286" t="s">
        <v>614</v>
      </c>
      <c r="H719" s="290"/>
      <c r="I719" s="290"/>
    </row>
    <row r="720" spans="1:9">
      <c r="A720" s="286">
        <v>87</v>
      </c>
      <c r="B720" s="344">
        <v>0.25</v>
      </c>
      <c r="D720" s="286" t="s">
        <v>644</v>
      </c>
      <c r="F720" s="286" t="s">
        <v>616</v>
      </c>
      <c r="H720" s="290"/>
      <c r="I720" s="290"/>
    </row>
    <row r="721" spans="1:9">
      <c r="A721" s="286">
        <v>87</v>
      </c>
      <c r="B721" s="344">
        <v>0.25</v>
      </c>
      <c r="D721" s="286" t="s">
        <v>644</v>
      </c>
      <c r="F721" s="286" t="s">
        <v>636</v>
      </c>
      <c r="H721" s="290">
        <v>-71.06</v>
      </c>
      <c r="I721" s="290">
        <v>0</v>
      </c>
    </row>
    <row r="722" spans="1:9">
      <c r="A722" s="286">
        <v>90</v>
      </c>
      <c r="B722" s="344">
        <v>0.25</v>
      </c>
      <c r="D722" s="286" t="s">
        <v>644</v>
      </c>
      <c r="F722" s="286" t="s">
        <v>598</v>
      </c>
      <c r="G722" s="286">
        <v>4</v>
      </c>
      <c r="H722" s="287">
        <v>970.49999999999989</v>
      </c>
      <c r="I722" s="287">
        <v>64</v>
      </c>
    </row>
    <row r="723" spans="1:9">
      <c r="A723" s="286">
        <v>90</v>
      </c>
      <c r="B723" s="344">
        <v>0.25</v>
      </c>
      <c r="D723" s="286" t="s">
        <v>644</v>
      </c>
      <c r="F723" s="286" t="s">
        <v>599</v>
      </c>
      <c r="H723" s="287"/>
      <c r="I723" s="287"/>
    </row>
    <row r="724" spans="1:9">
      <c r="A724" s="286">
        <v>90</v>
      </c>
      <c r="B724" s="344">
        <v>0.25</v>
      </c>
      <c r="D724" s="286" t="s">
        <v>644</v>
      </c>
      <c r="F724" s="286" t="s">
        <v>610</v>
      </c>
      <c r="H724" s="287">
        <v>90.99</v>
      </c>
      <c r="I724" s="287">
        <v>6</v>
      </c>
    </row>
    <row r="725" spans="1:9">
      <c r="A725" s="286">
        <v>92</v>
      </c>
      <c r="B725" s="344">
        <v>0.25</v>
      </c>
      <c r="D725" s="286" t="s">
        <v>644</v>
      </c>
      <c r="F725" s="286" t="s">
        <v>598</v>
      </c>
      <c r="G725" s="286">
        <v>26</v>
      </c>
      <c r="H725" s="290">
        <v>6876.119999999999</v>
      </c>
      <c r="I725" s="290">
        <v>454.03999999999996</v>
      </c>
    </row>
    <row r="726" spans="1:9">
      <c r="A726" s="286">
        <v>92</v>
      </c>
      <c r="B726" s="344">
        <v>0.25</v>
      </c>
      <c r="D726" s="286" t="s">
        <v>644</v>
      </c>
      <c r="F726" s="286" t="s">
        <v>599</v>
      </c>
      <c r="H726" s="290"/>
      <c r="I726" s="290"/>
    </row>
    <row r="727" spans="1:9">
      <c r="A727" s="286">
        <v>92</v>
      </c>
      <c r="B727" s="344">
        <v>0.25</v>
      </c>
      <c r="D727" s="286" t="s">
        <v>644</v>
      </c>
      <c r="F727" s="286" t="s">
        <v>605</v>
      </c>
      <c r="H727" s="290">
        <v>319.86</v>
      </c>
      <c r="I727" s="290">
        <v>21.14</v>
      </c>
    </row>
    <row r="728" spans="1:9">
      <c r="A728" s="286">
        <v>92</v>
      </c>
      <c r="B728" s="344">
        <v>0.25</v>
      </c>
      <c r="D728" s="286" t="s">
        <v>644</v>
      </c>
      <c r="F728" s="286" t="s">
        <v>608</v>
      </c>
      <c r="H728" s="290">
        <v>498.56000000000006</v>
      </c>
      <c r="I728" s="290">
        <v>32.89</v>
      </c>
    </row>
    <row r="729" spans="1:9">
      <c r="A729" s="286">
        <v>92</v>
      </c>
      <c r="B729" s="344">
        <v>0.25</v>
      </c>
      <c r="D729" s="286" t="s">
        <v>644</v>
      </c>
      <c r="F729" s="286" t="s">
        <v>610</v>
      </c>
      <c r="H729" s="290">
        <v>90.99</v>
      </c>
      <c r="I729" s="290">
        <v>6</v>
      </c>
    </row>
    <row r="730" spans="1:9">
      <c r="A730" s="286">
        <v>92</v>
      </c>
      <c r="B730" s="344">
        <v>0.25</v>
      </c>
      <c r="D730" s="286" t="s">
        <v>644</v>
      </c>
      <c r="F730" s="286" t="s">
        <v>638</v>
      </c>
      <c r="H730" s="290">
        <v>90.99</v>
      </c>
      <c r="I730" s="290">
        <v>6</v>
      </c>
    </row>
    <row r="731" spans="1:9">
      <c r="A731" s="286">
        <v>92</v>
      </c>
      <c r="B731" s="344">
        <v>0.25</v>
      </c>
      <c r="D731" s="286" t="s">
        <v>644</v>
      </c>
      <c r="F731" s="286" t="s">
        <v>614</v>
      </c>
      <c r="H731" s="290"/>
      <c r="I731" s="290"/>
    </row>
    <row r="732" spans="1:9">
      <c r="A732" s="286">
        <v>92</v>
      </c>
      <c r="B732" s="344">
        <v>0.25</v>
      </c>
      <c r="D732" s="286" t="s">
        <v>644</v>
      </c>
      <c r="F732" s="286" t="s">
        <v>616</v>
      </c>
      <c r="H732" s="290"/>
      <c r="I732" s="290"/>
    </row>
    <row r="733" spans="1:9">
      <c r="A733" s="286">
        <v>92</v>
      </c>
      <c r="B733" s="344">
        <v>0.25</v>
      </c>
      <c r="D733" s="286" t="s">
        <v>644</v>
      </c>
      <c r="F733" s="286" t="s">
        <v>643</v>
      </c>
      <c r="H733" s="290">
        <v>-145.94999999999999</v>
      </c>
      <c r="I733" s="290">
        <v>-9.629999999999999</v>
      </c>
    </row>
    <row r="734" spans="1:9">
      <c r="A734" s="286">
        <v>92</v>
      </c>
      <c r="B734" s="344">
        <v>0.25</v>
      </c>
      <c r="D734" s="286" t="s">
        <v>644</v>
      </c>
      <c r="F734" s="286" t="s">
        <v>671</v>
      </c>
      <c r="H734" s="290">
        <v>-83.41</v>
      </c>
      <c r="I734" s="290">
        <v>-5.51</v>
      </c>
    </row>
    <row r="735" spans="1:9">
      <c r="A735" s="286">
        <v>92</v>
      </c>
      <c r="B735" s="344">
        <v>0.25</v>
      </c>
      <c r="D735" s="286" t="s">
        <v>644</v>
      </c>
      <c r="F735" s="286" t="s">
        <v>676</v>
      </c>
      <c r="H735" s="290">
        <v>-34.119999999999997</v>
      </c>
      <c r="I735" s="290">
        <v>-2.25</v>
      </c>
    </row>
    <row r="736" spans="1:9">
      <c r="A736" s="286">
        <v>94</v>
      </c>
      <c r="B736" s="344">
        <v>1</v>
      </c>
      <c r="D736" s="286" t="s">
        <v>619</v>
      </c>
      <c r="E736" s="286" t="s">
        <v>686</v>
      </c>
      <c r="F736" s="286" t="s">
        <v>621</v>
      </c>
      <c r="G736" s="286">
        <v>27</v>
      </c>
      <c r="H736" s="290">
        <v>10308.269999999995</v>
      </c>
      <c r="I736" s="290">
        <v>405.84000000000003</v>
      </c>
    </row>
    <row r="737" spans="1:9">
      <c r="A737" s="286">
        <v>94</v>
      </c>
      <c r="B737" s="344">
        <v>1</v>
      </c>
      <c r="D737" s="286" t="s">
        <v>619</v>
      </c>
      <c r="E737" s="286" t="s">
        <v>686</v>
      </c>
      <c r="F737" s="286" t="s">
        <v>599</v>
      </c>
      <c r="H737" s="290"/>
      <c r="I737" s="290"/>
    </row>
    <row r="738" spans="1:9">
      <c r="A738" s="286">
        <v>94</v>
      </c>
      <c r="B738" s="344">
        <v>1</v>
      </c>
      <c r="D738" s="286" t="s">
        <v>619</v>
      </c>
      <c r="E738" s="286" t="s">
        <v>686</v>
      </c>
      <c r="F738" s="286" t="s">
        <v>627</v>
      </c>
      <c r="H738" s="290">
        <v>1195.4100000000001</v>
      </c>
      <c r="I738" s="290">
        <v>47.25</v>
      </c>
    </row>
    <row r="739" spans="1:9">
      <c r="A739" s="286">
        <v>94</v>
      </c>
      <c r="B739" s="344">
        <v>1</v>
      </c>
      <c r="D739" s="286" t="s">
        <v>619</v>
      </c>
      <c r="E739" s="286" t="s">
        <v>686</v>
      </c>
      <c r="F739" s="286" t="s">
        <v>630</v>
      </c>
      <c r="H739" s="290">
        <v>798.47</v>
      </c>
      <c r="I739" s="290">
        <v>31.310000000000002</v>
      </c>
    </row>
    <row r="740" spans="1:9">
      <c r="A740" s="286">
        <v>94</v>
      </c>
      <c r="B740" s="344">
        <v>1</v>
      </c>
      <c r="D740" s="286" t="s">
        <v>619</v>
      </c>
      <c r="E740" s="286" t="s">
        <v>686</v>
      </c>
      <c r="F740" s="286" t="s">
        <v>633</v>
      </c>
      <c r="H740" s="290">
        <v>713.50000000000011</v>
      </c>
      <c r="I740" s="290">
        <v>28</v>
      </c>
    </row>
    <row r="741" spans="1:9">
      <c r="A741" s="286">
        <v>94</v>
      </c>
      <c r="B741" s="344">
        <v>1</v>
      </c>
      <c r="D741" s="286" t="s">
        <v>619</v>
      </c>
      <c r="E741" s="286" t="s">
        <v>686</v>
      </c>
      <c r="F741" s="286" t="s">
        <v>634</v>
      </c>
      <c r="H741" s="290">
        <v>136.68</v>
      </c>
      <c r="I741" s="290">
        <v>5.5</v>
      </c>
    </row>
    <row r="742" spans="1:9">
      <c r="A742" s="286">
        <v>94</v>
      </c>
      <c r="B742" s="344">
        <v>1</v>
      </c>
      <c r="D742" s="286" t="s">
        <v>619</v>
      </c>
      <c r="E742" s="286" t="s">
        <v>686</v>
      </c>
      <c r="F742" s="286" t="s">
        <v>635</v>
      </c>
      <c r="H742" s="290">
        <v>49.7</v>
      </c>
      <c r="I742" s="290">
        <v>2</v>
      </c>
    </row>
    <row r="743" spans="1:9">
      <c r="A743" s="286">
        <v>94</v>
      </c>
      <c r="B743" s="344">
        <v>1</v>
      </c>
      <c r="D743" s="286" t="s">
        <v>619</v>
      </c>
      <c r="E743" s="286" t="s">
        <v>686</v>
      </c>
      <c r="F743" s="286" t="s">
        <v>623</v>
      </c>
      <c r="H743" s="290"/>
      <c r="I743" s="290"/>
    </row>
    <row r="744" spans="1:9">
      <c r="A744" s="286">
        <v>94</v>
      </c>
      <c r="B744" s="344">
        <v>1</v>
      </c>
      <c r="D744" s="286" t="s">
        <v>619</v>
      </c>
      <c r="E744" s="286" t="s">
        <v>686</v>
      </c>
      <c r="F744" s="286" t="s">
        <v>625</v>
      </c>
      <c r="H744" s="290"/>
      <c r="I744" s="290"/>
    </row>
    <row r="745" spans="1:9">
      <c r="A745" s="286">
        <v>94</v>
      </c>
      <c r="B745" s="344">
        <v>1</v>
      </c>
      <c r="D745" s="286" t="s">
        <v>619</v>
      </c>
      <c r="E745" s="286" t="s">
        <v>686</v>
      </c>
      <c r="F745" s="286" t="s">
        <v>626</v>
      </c>
      <c r="H745" s="290"/>
      <c r="I745" s="290"/>
    </row>
    <row r="746" spans="1:9">
      <c r="A746" s="286">
        <v>94</v>
      </c>
      <c r="B746" s="344">
        <v>1</v>
      </c>
      <c r="D746" s="286" t="s">
        <v>619</v>
      </c>
      <c r="E746" s="286" t="s">
        <v>686</v>
      </c>
      <c r="F746" s="286" t="s">
        <v>632</v>
      </c>
      <c r="H746" s="290"/>
      <c r="I746" s="290"/>
    </row>
    <row r="747" spans="1:9">
      <c r="A747" s="286">
        <v>96</v>
      </c>
      <c r="B747" s="344">
        <v>0.25</v>
      </c>
      <c r="D747" s="286" t="s">
        <v>644</v>
      </c>
      <c r="F747" s="286" t="s">
        <v>598</v>
      </c>
      <c r="G747" s="286">
        <v>26</v>
      </c>
      <c r="H747" s="290">
        <v>7149.4799999999987</v>
      </c>
      <c r="I747" s="290">
        <v>472</v>
      </c>
    </row>
    <row r="748" spans="1:9">
      <c r="A748" s="286">
        <v>96</v>
      </c>
      <c r="B748" s="344">
        <v>0.25</v>
      </c>
      <c r="D748" s="286" t="s">
        <v>644</v>
      </c>
      <c r="F748" s="286" t="s">
        <v>599</v>
      </c>
      <c r="H748" s="290"/>
      <c r="I748" s="290"/>
    </row>
    <row r="749" spans="1:9">
      <c r="A749" s="286">
        <v>96</v>
      </c>
      <c r="B749" s="344">
        <v>0.25</v>
      </c>
      <c r="D749" s="286" t="s">
        <v>644</v>
      </c>
      <c r="F749" s="286" t="s">
        <v>605</v>
      </c>
      <c r="H749" s="290">
        <v>252.11999999999995</v>
      </c>
      <c r="I749" s="290">
        <v>16.63</v>
      </c>
    </row>
    <row r="750" spans="1:9">
      <c r="A750" s="286">
        <v>96</v>
      </c>
      <c r="B750" s="344">
        <v>0.25</v>
      </c>
      <c r="D750" s="286" t="s">
        <v>644</v>
      </c>
      <c r="F750" s="286" t="s">
        <v>608</v>
      </c>
      <c r="H750" s="290">
        <v>390.85999999999996</v>
      </c>
      <c r="I750" s="290">
        <v>25.830000000000002</v>
      </c>
    </row>
    <row r="751" spans="1:9">
      <c r="A751" s="286">
        <v>96</v>
      </c>
      <c r="B751" s="344">
        <v>0.25</v>
      </c>
      <c r="D751" s="286" t="s">
        <v>644</v>
      </c>
      <c r="F751" s="286" t="s">
        <v>610</v>
      </c>
      <c r="H751" s="290">
        <v>84.02</v>
      </c>
      <c r="I751" s="290">
        <v>5.5600000000000005</v>
      </c>
    </row>
    <row r="752" spans="1:9">
      <c r="A752" s="286">
        <v>96</v>
      </c>
      <c r="B752" s="344">
        <v>0.25</v>
      </c>
      <c r="D752" s="286" t="s">
        <v>644</v>
      </c>
      <c r="F752" s="286" t="s">
        <v>616</v>
      </c>
      <c r="H752" s="290"/>
      <c r="I752" s="290"/>
    </row>
    <row r="753" spans="1:9">
      <c r="A753" s="286">
        <v>97</v>
      </c>
      <c r="B753" s="344">
        <v>0.25</v>
      </c>
      <c r="D753" s="286" t="s">
        <v>644</v>
      </c>
      <c r="F753" s="286" t="s">
        <v>598</v>
      </c>
      <c r="G753" s="286">
        <v>4</v>
      </c>
      <c r="H753" s="287">
        <v>1091.8</v>
      </c>
      <c r="I753" s="287">
        <v>72.009999999999991</v>
      </c>
    </row>
    <row r="754" spans="1:9">
      <c r="A754" s="286">
        <v>97</v>
      </c>
      <c r="B754" s="344">
        <v>0.25</v>
      </c>
      <c r="D754" s="286" t="s">
        <v>644</v>
      </c>
      <c r="F754" s="286" t="s">
        <v>599</v>
      </c>
      <c r="H754" s="287"/>
      <c r="I754" s="287"/>
    </row>
    <row r="755" spans="1:9">
      <c r="A755" s="286">
        <v>97</v>
      </c>
      <c r="B755" s="344">
        <v>0.25</v>
      </c>
      <c r="D755" s="286" t="s">
        <v>644</v>
      </c>
      <c r="F755" s="286" t="s">
        <v>610</v>
      </c>
      <c r="H755" s="290">
        <v>90.990000000000009</v>
      </c>
      <c r="I755" s="290">
        <v>6.01</v>
      </c>
    </row>
    <row r="756" spans="1:9">
      <c r="A756" s="286">
        <v>97</v>
      </c>
      <c r="B756" s="344">
        <v>0.25</v>
      </c>
      <c r="D756" s="286" t="s">
        <v>644</v>
      </c>
      <c r="F756" s="286" t="s">
        <v>643</v>
      </c>
      <c r="H756" s="290">
        <v>-16.3</v>
      </c>
      <c r="I756" s="290">
        <v>-1.08</v>
      </c>
    </row>
    <row r="757" spans="1:9">
      <c r="A757" s="286">
        <v>99</v>
      </c>
      <c r="B757" s="344">
        <v>0.25</v>
      </c>
      <c r="D757" s="286" t="s">
        <v>597</v>
      </c>
      <c r="F757" s="286" t="s">
        <v>598</v>
      </c>
      <c r="G757" s="286">
        <v>26</v>
      </c>
      <c r="H757" s="290">
        <v>12508.889999999994</v>
      </c>
      <c r="I757" s="290">
        <v>432.13</v>
      </c>
    </row>
    <row r="758" spans="1:9">
      <c r="A758" s="286">
        <v>99</v>
      </c>
      <c r="B758" s="344">
        <v>0.25</v>
      </c>
      <c r="D758" s="286" t="s">
        <v>597</v>
      </c>
      <c r="F758" s="286" t="s">
        <v>605</v>
      </c>
      <c r="H758" s="290">
        <v>1355.74</v>
      </c>
      <c r="I758" s="290">
        <v>46.75</v>
      </c>
    </row>
    <row r="759" spans="1:9">
      <c r="A759" s="286">
        <v>99</v>
      </c>
      <c r="B759" s="344">
        <v>0.25</v>
      </c>
      <c r="D759" s="286" t="s">
        <v>597</v>
      </c>
      <c r="F759" s="286" t="s">
        <v>608</v>
      </c>
      <c r="H759" s="290">
        <v>605.37</v>
      </c>
      <c r="I759" s="290">
        <v>20.880000000000003</v>
      </c>
    </row>
    <row r="760" spans="1:9">
      <c r="A760" s="286">
        <v>99</v>
      </c>
      <c r="B760" s="344">
        <v>0.25</v>
      </c>
      <c r="D760" s="286" t="s">
        <v>597</v>
      </c>
      <c r="F760" s="286" t="s">
        <v>602</v>
      </c>
      <c r="H760" s="290"/>
      <c r="I760" s="290"/>
    </row>
    <row r="761" spans="1:9">
      <c r="A761" s="286">
        <v>99</v>
      </c>
      <c r="B761" s="344">
        <v>0.25</v>
      </c>
      <c r="D761" s="286" t="s">
        <v>597</v>
      </c>
      <c r="F761" s="286" t="s">
        <v>646</v>
      </c>
      <c r="H761" s="290">
        <v>297.24</v>
      </c>
      <c r="I761" s="290">
        <v>10.25</v>
      </c>
    </row>
    <row r="762" spans="1:9">
      <c r="A762" s="286">
        <v>99</v>
      </c>
      <c r="B762" s="344">
        <v>0.25</v>
      </c>
      <c r="D762" s="286" t="s">
        <v>597</v>
      </c>
      <c r="F762" s="286" t="s">
        <v>610</v>
      </c>
      <c r="H762" s="290">
        <v>174</v>
      </c>
      <c r="I762" s="290">
        <v>6</v>
      </c>
    </row>
    <row r="763" spans="1:9">
      <c r="A763" s="286">
        <v>99</v>
      </c>
      <c r="B763" s="344">
        <v>0.25</v>
      </c>
      <c r="D763" s="286" t="s">
        <v>597</v>
      </c>
      <c r="F763" s="286" t="s">
        <v>612</v>
      </c>
      <c r="H763" s="290"/>
      <c r="I763" s="290"/>
    </row>
    <row r="764" spans="1:9">
      <c r="A764" s="286">
        <v>99</v>
      </c>
      <c r="B764" s="344">
        <v>0.25</v>
      </c>
      <c r="D764" s="286" t="s">
        <v>597</v>
      </c>
      <c r="F764" s="286" t="s">
        <v>624</v>
      </c>
      <c r="H764" s="290"/>
      <c r="I764" s="290"/>
    </row>
    <row r="765" spans="1:9">
      <c r="A765" s="286">
        <v>101</v>
      </c>
      <c r="B765" s="344">
        <v>0.25</v>
      </c>
      <c r="D765" s="286" t="s">
        <v>644</v>
      </c>
      <c r="F765" s="286" t="s">
        <v>598</v>
      </c>
      <c r="G765" s="286">
        <v>23</v>
      </c>
      <c r="H765" s="290">
        <v>6356.39</v>
      </c>
      <c r="I765" s="290">
        <v>375.21</v>
      </c>
    </row>
    <row r="766" spans="1:9">
      <c r="A766" s="286">
        <v>101</v>
      </c>
      <c r="B766" s="344">
        <v>0.25</v>
      </c>
      <c r="D766" s="286" t="s">
        <v>644</v>
      </c>
      <c r="F766" s="286" t="s">
        <v>599</v>
      </c>
      <c r="H766" s="290"/>
      <c r="I766" s="290"/>
    </row>
    <row r="767" spans="1:9">
      <c r="A767" s="286">
        <v>101</v>
      </c>
      <c r="B767" s="344">
        <v>0.25</v>
      </c>
      <c r="D767" s="286" t="s">
        <v>644</v>
      </c>
      <c r="F767" s="286" t="s">
        <v>605</v>
      </c>
      <c r="H767" s="290">
        <v>858.13000000000011</v>
      </c>
      <c r="I767" s="290">
        <v>51.75</v>
      </c>
    </row>
    <row r="768" spans="1:9">
      <c r="A768" s="286">
        <v>101</v>
      </c>
      <c r="B768" s="344">
        <v>0.25</v>
      </c>
      <c r="D768" s="286" t="s">
        <v>644</v>
      </c>
      <c r="F768" s="286" t="s">
        <v>608</v>
      </c>
      <c r="H768" s="290">
        <v>317.55</v>
      </c>
      <c r="I768" s="290">
        <v>18.810000000000002</v>
      </c>
    </row>
    <row r="769" spans="1:9">
      <c r="A769" s="286">
        <v>101</v>
      </c>
      <c r="B769" s="344">
        <v>0.25</v>
      </c>
      <c r="D769" s="286" t="s">
        <v>644</v>
      </c>
      <c r="F769" s="286" t="s">
        <v>665</v>
      </c>
      <c r="H769" s="290">
        <v>222.69</v>
      </c>
      <c r="I769" s="290">
        <v>13.03</v>
      </c>
    </row>
    <row r="770" spans="1:9">
      <c r="A770" s="286">
        <v>101</v>
      </c>
      <c r="B770" s="344">
        <v>0.25</v>
      </c>
      <c r="D770" s="286" t="s">
        <v>644</v>
      </c>
      <c r="F770" s="286" t="s">
        <v>610</v>
      </c>
      <c r="H770" s="290">
        <v>138.46</v>
      </c>
      <c r="I770" s="290">
        <v>8.25</v>
      </c>
    </row>
    <row r="771" spans="1:9">
      <c r="A771" s="286">
        <v>101</v>
      </c>
      <c r="B771" s="344">
        <v>0.25</v>
      </c>
      <c r="D771" s="286" t="s">
        <v>644</v>
      </c>
      <c r="F771" s="286" t="s">
        <v>614</v>
      </c>
      <c r="H771" s="290"/>
      <c r="I771" s="290"/>
    </row>
    <row r="772" spans="1:9">
      <c r="A772" s="286">
        <v>101</v>
      </c>
      <c r="B772" s="344">
        <v>0.25</v>
      </c>
      <c r="D772" s="286" t="s">
        <v>644</v>
      </c>
      <c r="F772" s="286" t="s">
        <v>616</v>
      </c>
      <c r="H772" s="290"/>
      <c r="I772" s="290"/>
    </row>
    <row r="773" spans="1:9">
      <c r="A773" s="286">
        <v>101</v>
      </c>
      <c r="B773" s="344">
        <v>0.25</v>
      </c>
      <c r="D773" s="286" t="s">
        <v>644</v>
      </c>
      <c r="F773" s="286" t="s">
        <v>632</v>
      </c>
      <c r="H773" s="290"/>
      <c r="I773" s="290"/>
    </row>
    <row r="774" spans="1:9">
      <c r="A774" s="286">
        <v>105</v>
      </c>
      <c r="B774" s="344">
        <v>0.25</v>
      </c>
      <c r="D774" s="286" t="s">
        <v>644</v>
      </c>
      <c r="F774" s="286" t="s">
        <v>598</v>
      </c>
      <c r="G774" s="286">
        <v>26</v>
      </c>
      <c r="H774" s="290">
        <v>8081.6500000000024</v>
      </c>
      <c r="I774" s="290">
        <v>469.75</v>
      </c>
    </row>
    <row r="775" spans="1:9">
      <c r="A775" s="286">
        <v>105</v>
      </c>
      <c r="B775" s="344">
        <v>0.25</v>
      </c>
      <c r="D775" s="286" t="s">
        <v>644</v>
      </c>
      <c r="F775" s="286" t="s">
        <v>599</v>
      </c>
      <c r="H775" s="290"/>
      <c r="I775" s="290"/>
    </row>
    <row r="776" spans="1:9">
      <c r="A776" s="286">
        <v>105</v>
      </c>
      <c r="B776" s="344">
        <v>0.25</v>
      </c>
      <c r="D776" s="286" t="s">
        <v>644</v>
      </c>
      <c r="F776" s="286" t="s">
        <v>605</v>
      </c>
      <c r="H776" s="290">
        <v>516.77</v>
      </c>
      <c r="I776" s="290">
        <v>30</v>
      </c>
    </row>
    <row r="777" spans="1:9">
      <c r="A777" s="286">
        <v>105</v>
      </c>
      <c r="B777" s="344">
        <v>0.25</v>
      </c>
      <c r="D777" s="286" t="s">
        <v>644</v>
      </c>
      <c r="F777" s="286" t="s">
        <v>608</v>
      </c>
      <c r="H777" s="290">
        <v>245.46999999999997</v>
      </c>
      <c r="I777" s="290">
        <v>14.25</v>
      </c>
    </row>
    <row r="778" spans="1:9">
      <c r="A778" s="286">
        <v>105</v>
      </c>
      <c r="B778" s="344">
        <v>0.25</v>
      </c>
      <c r="D778" s="286" t="s">
        <v>644</v>
      </c>
      <c r="F778" s="286" t="s">
        <v>610</v>
      </c>
      <c r="H778" s="290">
        <v>103.35000000000001</v>
      </c>
      <c r="I778" s="290">
        <v>6</v>
      </c>
    </row>
    <row r="779" spans="1:9">
      <c r="A779" s="286">
        <v>105</v>
      </c>
      <c r="B779" s="344">
        <v>0.25</v>
      </c>
      <c r="D779" s="286" t="s">
        <v>644</v>
      </c>
      <c r="F779" s="286" t="s">
        <v>612</v>
      </c>
      <c r="H779" s="290"/>
      <c r="I779" s="290"/>
    </row>
    <row r="780" spans="1:9">
      <c r="A780" s="286">
        <v>105</v>
      </c>
      <c r="B780" s="344">
        <v>0.25</v>
      </c>
      <c r="D780" s="286" t="s">
        <v>644</v>
      </c>
      <c r="F780" s="286" t="s">
        <v>614</v>
      </c>
      <c r="H780" s="290"/>
      <c r="I780" s="290"/>
    </row>
    <row r="781" spans="1:9">
      <c r="A781" s="286">
        <v>105</v>
      </c>
      <c r="B781" s="344">
        <v>0.25</v>
      </c>
      <c r="D781" s="286" t="s">
        <v>644</v>
      </c>
      <c r="F781" s="286" t="s">
        <v>616</v>
      </c>
      <c r="H781" s="290"/>
      <c r="I781" s="290"/>
    </row>
    <row r="782" spans="1:9">
      <c r="A782" s="286">
        <v>115</v>
      </c>
      <c r="B782" s="344">
        <v>0.25</v>
      </c>
      <c r="D782" s="286" t="s">
        <v>644</v>
      </c>
      <c r="F782" s="286" t="s">
        <v>598</v>
      </c>
      <c r="G782" s="286">
        <v>26</v>
      </c>
      <c r="H782" s="290">
        <v>7081.8599999999969</v>
      </c>
      <c r="I782" s="290">
        <v>467.25</v>
      </c>
    </row>
    <row r="783" spans="1:9">
      <c r="A783" s="286">
        <v>115</v>
      </c>
      <c r="B783" s="344">
        <v>0.25</v>
      </c>
      <c r="D783" s="286" t="s">
        <v>644</v>
      </c>
      <c r="F783" s="286" t="s">
        <v>599</v>
      </c>
      <c r="H783" s="290"/>
      <c r="I783" s="290"/>
    </row>
    <row r="784" spans="1:9">
      <c r="A784" s="286">
        <v>115</v>
      </c>
      <c r="B784" s="344">
        <v>0.25</v>
      </c>
      <c r="D784" s="286" t="s">
        <v>644</v>
      </c>
      <c r="F784" s="286" t="s">
        <v>605</v>
      </c>
      <c r="H784" s="290">
        <v>297.7</v>
      </c>
      <c r="I784" s="290">
        <v>19.920000000000002</v>
      </c>
    </row>
    <row r="785" spans="1:9">
      <c r="A785" s="286">
        <v>115</v>
      </c>
      <c r="B785" s="344">
        <v>0.25</v>
      </c>
      <c r="D785" s="286" t="s">
        <v>644</v>
      </c>
      <c r="F785" s="286" t="s">
        <v>608</v>
      </c>
      <c r="H785" s="290">
        <v>223.67000000000002</v>
      </c>
      <c r="I785" s="290">
        <v>14.75</v>
      </c>
    </row>
    <row r="786" spans="1:9">
      <c r="A786" s="286">
        <v>115</v>
      </c>
      <c r="B786" s="344">
        <v>0.25</v>
      </c>
      <c r="D786" s="286" t="s">
        <v>644</v>
      </c>
      <c r="F786" s="286" t="s">
        <v>610</v>
      </c>
      <c r="H786" s="290">
        <v>121.61</v>
      </c>
      <c r="I786" s="290">
        <v>8.08</v>
      </c>
    </row>
    <row r="787" spans="1:9">
      <c r="A787" s="286">
        <v>115</v>
      </c>
      <c r="B787" s="344">
        <v>0.25</v>
      </c>
      <c r="D787" s="286" t="s">
        <v>644</v>
      </c>
      <c r="F787" s="286" t="s">
        <v>638</v>
      </c>
      <c r="H787" s="290">
        <v>151.63999999999999</v>
      </c>
      <c r="I787" s="290">
        <v>10</v>
      </c>
    </row>
    <row r="788" spans="1:9">
      <c r="A788" s="286">
        <v>115</v>
      </c>
      <c r="B788" s="344">
        <v>0.25</v>
      </c>
      <c r="D788" s="286" t="s">
        <v>644</v>
      </c>
      <c r="F788" s="286" t="s">
        <v>614</v>
      </c>
      <c r="H788" s="290"/>
      <c r="I788" s="290"/>
    </row>
    <row r="789" spans="1:9">
      <c r="A789" s="286">
        <v>115</v>
      </c>
      <c r="B789" s="344">
        <v>0.25</v>
      </c>
      <c r="D789" s="286" t="s">
        <v>644</v>
      </c>
      <c r="F789" s="286" t="s">
        <v>616</v>
      </c>
      <c r="H789" s="290"/>
      <c r="I789" s="290"/>
    </row>
    <row r="790" spans="1:9">
      <c r="A790" s="286">
        <v>116</v>
      </c>
      <c r="B790" s="344">
        <v>0.25</v>
      </c>
      <c r="D790" s="286" t="s">
        <v>644</v>
      </c>
      <c r="F790" s="286" t="s">
        <v>598</v>
      </c>
      <c r="G790" s="286">
        <v>26</v>
      </c>
      <c r="H790" s="290">
        <v>4991.07</v>
      </c>
      <c r="I790" s="290">
        <v>232.43</v>
      </c>
    </row>
    <row r="791" spans="1:9">
      <c r="A791" s="286">
        <v>116</v>
      </c>
      <c r="B791" s="344">
        <v>0.25</v>
      </c>
      <c r="D791" s="286" t="s">
        <v>644</v>
      </c>
      <c r="F791" s="286" t="s">
        <v>599</v>
      </c>
      <c r="H791" s="290"/>
      <c r="I791" s="290"/>
    </row>
    <row r="792" spans="1:9">
      <c r="A792" s="286">
        <v>116</v>
      </c>
      <c r="B792" s="344">
        <v>0.25</v>
      </c>
      <c r="D792" s="286" t="s">
        <v>644</v>
      </c>
      <c r="F792" s="286" t="s">
        <v>601</v>
      </c>
      <c r="H792" s="290"/>
      <c r="I792" s="290"/>
    </row>
    <row r="793" spans="1:9">
      <c r="A793" s="286">
        <v>116</v>
      </c>
      <c r="B793" s="344">
        <v>0.25</v>
      </c>
      <c r="D793" s="286" t="s">
        <v>644</v>
      </c>
      <c r="F793" s="286" t="s">
        <v>605</v>
      </c>
      <c r="H793" s="290">
        <v>301.01</v>
      </c>
      <c r="I793" s="290">
        <v>14</v>
      </c>
    </row>
    <row r="794" spans="1:9">
      <c r="A794" s="286">
        <v>116</v>
      </c>
      <c r="B794" s="344">
        <v>0.25</v>
      </c>
      <c r="D794" s="286" t="s">
        <v>644</v>
      </c>
      <c r="F794" s="286" t="s">
        <v>608</v>
      </c>
      <c r="H794" s="290">
        <v>233.76999999999998</v>
      </c>
      <c r="I794" s="290">
        <v>10.900000000000002</v>
      </c>
    </row>
    <row r="795" spans="1:9">
      <c r="A795" s="286">
        <v>116</v>
      </c>
      <c r="B795" s="344">
        <v>0.25</v>
      </c>
      <c r="D795" s="286" t="s">
        <v>644</v>
      </c>
      <c r="F795" s="286" t="s">
        <v>610</v>
      </c>
      <c r="H795" s="290">
        <v>58.41</v>
      </c>
      <c r="I795" s="290">
        <v>2.7199999999999998</v>
      </c>
    </row>
    <row r="796" spans="1:9">
      <c r="A796" s="286">
        <v>116</v>
      </c>
      <c r="B796" s="344">
        <v>0.25</v>
      </c>
      <c r="D796" s="286" t="s">
        <v>644</v>
      </c>
      <c r="F796" s="286" t="s">
        <v>613</v>
      </c>
      <c r="H796" s="290"/>
      <c r="I796" s="290"/>
    </row>
    <row r="797" spans="1:9">
      <c r="A797" s="286">
        <v>116</v>
      </c>
      <c r="B797" s="344">
        <v>0.25</v>
      </c>
      <c r="D797" s="286" t="s">
        <v>644</v>
      </c>
      <c r="F797" s="286" t="s">
        <v>614</v>
      </c>
      <c r="H797" s="290"/>
      <c r="I797" s="290"/>
    </row>
    <row r="798" spans="1:9">
      <c r="A798" s="286">
        <v>116</v>
      </c>
      <c r="B798" s="344">
        <v>0.25</v>
      </c>
      <c r="D798" s="286" t="s">
        <v>644</v>
      </c>
      <c r="F798" s="286" t="s">
        <v>616</v>
      </c>
      <c r="H798" s="290"/>
      <c r="I798" s="290"/>
    </row>
    <row r="799" spans="1:9">
      <c r="A799" s="286">
        <v>116</v>
      </c>
      <c r="B799" s="344">
        <v>0.25</v>
      </c>
      <c r="D799" s="286" t="s">
        <v>644</v>
      </c>
      <c r="F799" s="286" t="s">
        <v>618</v>
      </c>
      <c r="H799" s="290"/>
      <c r="I799" s="290"/>
    </row>
    <row r="800" spans="1:9">
      <c r="A800" s="286">
        <v>119</v>
      </c>
      <c r="B800" s="344">
        <v>0.25</v>
      </c>
      <c r="D800" s="286" t="s">
        <v>644</v>
      </c>
      <c r="F800" s="286" t="s">
        <v>598</v>
      </c>
      <c r="G800" s="286">
        <v>19</v>
      </c>
      <c r="H800" s="290">
        <v>2428.8699999999994</v>
      </c>
      <c r="I800" s="290">
        <v>160.38999999999999</v>
      </c>
    </row>
    <row r="801" spans="1:9">
      <c r="A801" s="286">
        <v>119</v>
      </c>
      <c r="B801" s="344">
        <v>0.25</v>
      </c>
      <c r="D801" s="286" t="s">
        <v>644</v>
      </c>
      <c r="F801" s="286" t="s">
        <v>599</v>
      </c>
      <c r="H801" s="290"/>
      <c r="I801" s="290"/>
    </row>
    <row r="802" spans="1:9">
      <c r="A802" s="286">
        <v>119</v>
      </c>
      <c r="B802" s="344">
        <v>0.25</v>
      </c>
      <c r="D802" s="286" t="s">
        <v>644</v>
      </c>
      <c r="F802" s="286" t="s">
        <v>605</v>
      </c>
      <c r="H802" s="290">
        <v>225.25</v>
      </c>
      <c r="I802" s="290">
        <v>15</v>
      </c>
    </row>
    <row r="803" spans="1:9">
      <c r="A803" s="286">
        <v>119</v>
      </c>
      <c r="B803" s="344">
        <v>0.25</v>
      </c>
      <c r="D803" s="286" t="s">
        <v>644</v>
      </c>
      <c r="F803" s="286" t="s">
        <v>608</v>
      </c>
      <c r="H803" s="290">
        <v>172.48</v>
      </c>
      <c r="I803" s="290">
        <v>11.630000000000003</v>
      </c>
    </row>
    <row r="804" spans="1:9">
      <c r="A804" s="286">
        <v>119</v>
      </c>
      <c r="B804" s="344">
        <v>0.25</v>
      </c>
      <c r="D804" s="286" t="s">
        <v>644</v>
      </c>
      <c r="F804" s="286" t="s">
        <v>610</v>
      </c>
      <c r="H804" s="290">
        <v>44.17</v>
      </c>
      <c r="I804" s="290">
        <v>3</v>
      </c>
    </row>
    <row r="805" spans="1:9">
      <c r="A805" s="286">
        <v>119</v>
      </c>
      <c r="B805" s="344">
        <v>0.25</v>
      </c>
      <c r="D805" s="286" t="s">
        <v>644</v>
      </c>
      <c r="F805" s="286" t="s">
        <v>614</v>
      </c>
      <c r="H805" s="290"/>
      <c r="I805" s="290"/>
    </row>
    <row r="806" spans="1:9">
      <c r="A806" s="286">
        <v>119</v>
      </c>
      <c r="B806" s="344">
        <v>0.25</v>
      </c>
      <c r="D806" s="286" t="s">
        <v>644</v>
      </c>
      <c r="F806" s="286" t="s">
        <v>616</v>
      </c>
      <c r="H806" s="290"/>
      <c r="I806" s="290"/>
    </row>
    <row r="807" spans="1:9">
      <c r="A807" s="286">
        <v>119</v>
      </c>
      <c r="B807" s="344">
        <v>0.25</v>
      </c>
      <c r="D807" s="286" t="s">
        <v>644</v>
      </c>
      <c r="F807" s="286" t="s">
        <v>643</v>
      </c>
      <c r="H807" s="290">
        <v>-21.8</v>
      </c>
      <c r="I807" s="290">
        <v>-1.44</v>
      </c>
    </row>
    <row r="808" spans="1:9">
      <c r="A808" s="286">
        <v>127</v>
      </c>
      <c r="B808" s="344">
        <v>0.25</v>
      </c>
      <c r="D808" s="286" t="s">
        <v>644</v>
      </c>
      <c r="F808" s="286" t="s">
        <v>598</v>
      </c>
      <c r="G808" s="286">
        <v>26</v>
      </c>
      <c r="H808" s="290">
        <v>9835.4000000000015</v>
      </c>
      <c r="I808" s="290">
        <v>446.09</v>
      </c>
    </row>
    <row r="809" spans="1:9">
      <c r="A809" s="286">
        <v>127</v>
      </c>
      <c r="B809" s="344">
        <v>0.25</v>
      </c>
      <c r="D809" s="286" t="s">
        <v>644</v>
      </c>
      <c r="F809" s="286" t="s">
        <v>599</v>
      </c>
      <c r="H809" s="290"/>
      <c r="I809" s="290"/>
    </row>
    <row r="810" spans="1:9">
      <c r="A810" s="286">
        <v>127</v>
      </c>
      <c r="B810" s="344">
        <v>0.25</v>
      </c>
      <c r="D810" s="286" t="s">
        <v>644</v>
      </c>
      <c r="F810" s="286" t="s">
        <v>605</v>
      </c>
      <c r="H810" s="290">
        <v>1055.24</v>
      </c>
      <c r="I810" s="290">
        <v>48</v>
      </c>
    </row>
    <row r="811" spans="1:9">
      <c r="A811" s="286">
        <v>127</v>
      </c>
      <c r="B811" s="344">
        <v>0.25</v>
      </c>
      <c r="D811" s="286" t="s">
        <v>644</v>
      </c>
      <c r="F811" s="286" t="s">
        <v>608</v>
      </c>
      <c r="H811" s="290">
        <v>262.02</v>
      </c>
      <c r="I811" s="290">
        <v>11.97</v>
      </c>
    </row>
    <row r="812" spans="1:9">
      <c r="A812" s="286">
        <v>127</v>
      </c>
      <c r="B812" s="344">
        <v>0.25</v>
      </c>
      <c r="D812" s="286" t="s">
        <v>644</v>
      </c>
      <c r="F812" s="286" t="s">
        <v>602</v>
      </c>
      <c r="H812" s="290"/>
      <c r="I812" s="290"/>
    </row>
    <row r="813" spans="1:9">
      <c r="A813" s="286">
        <v>127</v>
      </c>
      <c r="B813" s="344">
        <v>0.25</v>
      </c>
      <c r="D813" s="286" t="s">
        <v>644</v>
      </c>
      <c r="F813" s="286" t="s">
        <v>610</v>
      </c>
      <c r="H813" s="290">
        <v>175.23000000000002</v>
      </c>
      <c r="I813" s="290">
        <v>8</v>
      </c>
    </row>
    <row r="814" spans="1:9">
      <c r="A814" s="286">
        <v>127</v>
      </c>
      <c r="B814" s="344">
        <v>0.25</v>
      </c>
      <c r="D814" s="286" t="s">
        <v>644</v>
      </c>
      <c r="F814" s="286" t="s">
        <v>612</v>
      </c>
      <c r="H814" s="290"/>
      <c r="I814" s="290"/>
    </row>
    <row r="815" spans="1:9">
      <c r="A815" s="286">
        <v>127</v>
      </c>
      <c r="B815" s="344">
        <v>0.25</v>
      </c>
      <c r="D815" s="286" t="s">
        <v>644</v>
      </c>
      <c r="F815" s="286" t="s">
        <v>614</v>
      </c>
      <c r="H815" s="290"/>
      <c r="I815" s="290"/>
    </row>
    <row r="816" spans="1:9">
      <c r="A816" s="286">
        <v>127</v>
      </c>
      <c r="B816" s="344">
        <v>0.25</v>
      </c>
      <c r="D816" s="286" t="s">
        <v>644</v>
      </c>
      <c r="F816" s="286" t="s">
        <v>616</v>
      </c>
      <c r="H816" s="290"/>
      <c r="I816" s="290"/>
    </row>
    <row r="817" spans="1:9">
      <c r="A817" s="286">
        <v>131</v>
      </c>
      <c r="B817" s="344">
        <v>0.25</v>
      </c>
      <c r="D817" s="286" t="s">
        <v>644</v>
      </c>
      <c r="F817" s="286" t="s">
        <v>598</v>
      </c>
      <c r="G817" s="286">
        <v>26</v>
      </c>
      <c r="H817" s="290">
        <v>7653.1900000000005</v>
      </c>
      <c r="I817" s="290">
        <v>475.08</v>
      </c>
    </row>
    <row r="818" spans="1:9">
      <c r="A818" s="286">
        <v>131</v>
      </c>
      <c r="B818" s="344">
        <v>0.25</v>
      </c>
      <c r="D818" s="286" t="s">
        <v>644</v>
      </c>
      <c r="F818" s="286" t="s">
        <v>599</v>
      </c>
      <c r="H818" s="290"/>
      <c r="I818" s="290"/>
    </row>
    <row r="819" spans="1:9">
      <c r="A819" s="286">
        <v>131</v>
      </c>
      <c r="B819" s="344">
        <v>0.25</v>
      </c>
      <c r="D819" s="286" t="s">
        <v>644</v>
      </c>
      <c r="F819" s="286" t="s">
        <v>605</v>
      </c>
      <c r="H819" s="290">
        <v>490.64</v>
      </c>
      <c r="I819" s="290">
        <v>30</v>
      </c>
    </row>
    <row r="820" spans="1:9">
      <c r="A820" s="286">
        <v>131</v>
      </c>
      <c r="B820" s="344">
        <v>0.25</v>
      </c>
      <c r="D820" s="286" t="s">
        <v>644</v>
      </c>
      <c r="F820" s="286" t="s">
        <v>608</v>
      </c>
      <c r="H820" s="290">
        <v>46.41</v>
      </c>
      <c r="I820" s="290">
        <v>2.95</v>
      </c>
    </row>
    <row r="821" spans="1:9">
      <c r="A821" s="286">
        <v>131</v>
      </c>
      <c r="B821" s="344">
        <v>0.25</v>
      </c>
      <c r="D821" s="286" t="s">
        <v>644</v>
      </c>
      <c r="F821" s="286" t="s">
        <v>602</v>
      </c>
      <c r="H821" s="290"/>
      <c r="I821" s="290"/>
    </row>
    <row r="822" spans="1:9">
      <c r="A822" s="286">
        <v>131</v>
      </c>
      <c r="B822" s="344">
        <v>0.25</v>
      </c>
      <c r="D822" s="286" t="s">
        <v>644</v>
      </c>
      <c r="F822" s="286" t="s">
        <v>610</v>
      </c>
      <c r="H822" s="290">
        <v>97.35</v>
      </c>
      <c r="I822" s="290">
        <v>6</v>
      </c>
    </row>
    <row r="823" spans="1:9">
      <c r="A823" s="286">
        <v>131</v>
      </c>
      <c r="B823" s="344">
        <v>0.25</v>
      </c>
      <c r="D823" s="286" t="s">
        <v>644</v>
      </c>
      <c r="F823" s="286" t="s">
        <v>614</v>
      </c>
      <c r="H823" s="290"/>
      <c r="I823" s="290"/>
    </row>
    <row r="824" spans="1:9">
      <c r="A824" s="286">
        <v>131</v>
      </c>
      <c r="B824" s="344">
        <v>0.25</v>
      </c>
      <c r="D824" s="286" t="s">
        <v>644</v>
      </c>
      <c r="F824" s="286" t="s">
        <v>616</v>
      </c>
      <c r="H824" s="290"/>
      <c r="I824" s="290"/>
    </row>
    <row r="825" spans="1:9">
      <c r="A825" s="286">
        <v>133</v>
      </c>
      <c r="B825" s="344">
        <v>0.25</v>
      </c>
      <c r="D825" s="286" t="s">
        <v>644</v>
      </c>
      <c r="F825" s="286" t="s">
        <v>598</v>
      </c>
      <c r="G825" s="286">
        <v>22</v>
      </c>
      <c r="H825" s="290">
        <v>5845.55</v>
      </c>
      <c r="I825" s="290">
        <v>422</v>
      </c>
    </row>
    <row r="826" spans="1:9">
      <c r="A826" s="286">
        <v>133</v>
      </c>
      <c r="B826" s="344">
        <v>0.25</v>
      </c>
      <c r="D826" s="286" t="s">
        <v>644</v>
      </c>
      <c r="F826" s="286" t="s">
        <v>599</v>
      </c>
      <c r="H826" s="290"/>
      <c r="I826" s="290"/>
    </row>
    <row r="827" spans="1:9">
      <c r="A827" s="286">
        <v>133</v>
      </c>
      <c r="B827" s="344">
        <v>0.25</v>
      </c>
      <c r="D827" s="286" t="s">
        <v>644</v>
      </c>
      <c r="F827" s="286" t="s">
        <v>608</v>
      </c>
      <c r="H827" s="290">
        <v>110.82</v>
      </c>
      <c r="I827" s="290">
        <v>8</v>
      </c>
    </row>
    <row r="828" spans="1:9">
      <c r="A828" s="286">
        <v>133</v>
      </c>
      <c r="B828" s="344">
        <v>0.25</v>
      </c>
      <c r="D828" s="286" t="s">
        <v>644</v>
      </c>
      <c r="F828" s="286" t="s">
        <v>610</v>
      </c>
      <c r="H828" s="290">
        <v>55.4</v>
      </c>
      <c r="I828" s="290">
        <v>4</v>
      </c>
    </row>
    <row r="829" spans="1:9">
      <c r="A829" s="286">
        <v>133</v>
      </c>
      <c r="B829" s="344">
        <v>0.25</v>
      </c>
      <c r="D829" s="286" t="s">
        <v>644</v>
      </c>
      <c r="F829" s="286" t="s">
        <v>612</v>
      </c>
      <c r="H829" s="290"/>
      <c r="I829" s="290"/>
    </row>
    <row r="830" spans="1:9">
      <c r="A830" s="286">
        <v>134</v>
      </c>
      <c r="B830" s="344">
        <v>0.25</v>
      </c>
      <c r="D830" s="286" t="s">
        <v>644</v>
      </c>
      <c r="F830" s="286" t="s">
        <v>598</v>
      </c>
      <c r="G830" s="286">
        <v>26</v>
      </c>
      <c r="H830" s="290">
        <v>7117.4999999999991</v>
      </c>
      <c r="I830" s="290">
        <v>469.96</v>
      </c>
    </row>
    <row r="831" spans="1:9">
      <c r="A831" s="286">
        <v>134</v>
      </c>
      <c r="B831" s="344">
        <v>0.25</v>
      </c>
      <c r="D831" s="286" t="s">
        <v>644</v>
      </c>
      <c r="F831" s="286" t="s">
        <v>599</v>
      </c>
      <c r="H831" s="290"/>
      <c r="I831" s="290"/>
    </row>
    <row r="832" spans="1:9">
      <c r="A832" s="286">
        <v>134</v>
      </c>
      <c r="B832" s="344">
        <v>0.25</v>
      </c>
      <c r="D832" s="286" t="s">
        <v>644</v>
      </c>
      <c r="F832" s="286" t="s">
        <v>605</v>
      </c>
      <c r="H832" s="290">
        <v>217.99</v>
      </c>
      <c r="I832" s="290">
        <v>14.379999999999999</v>
      </c>
    </row>
    <row r="833" spans="1:9">
      <c r="A833" s="286">
        <v>134</v>
      </c>
      <c r="B833" s="344">
        <v>0.25</v>
      </c>
      <c r="D833" s="286" t="s">
        <v>644</v>
      </c>
      <c r="F833" s="286" t="s">
        <v>608</v>
      </c>
      <c r="H833" s="290">
        <v>394.28999999999991</v>
      </c>
      <c r="I833" s="290">
        <v>26.019999999999996</v>
      </c>
    </row>
    <row r="834" spans="1:9">
      <c r="A834" s="286">
        <v>134</v>
      </c>
      <c r="B834" s="344">
        <v>0.25</v>
      </c>
      <c r="D834" s="286" t="s">
        <v>644</v>
      </c>
      <c r="F834" s="286" t="s">
        <v>610</v>
      </c>
      <c r="H834" s="290">
        <v>86.050000000000011</v>
      </c>
      <c r="I834" s="290">
        <v>5.6899999999999995</v>
      </c>
    </row>
    <row r="835" spans="1:9">
      <c r="A835" s="286">
        <v>134</v>
      </c>
      <c r="B835" s="344">
        <v>0.25</v>
      </c>
      <c r="D835" s="286" t="s">
        <v>644</v>
      </c>
      <c r="F835" s="286" t="s">
        <v>638</v>
      </c>
      <c r="H835" s="290">
        <v>60.66</v>
      </c>
      <c r="I835" s="290">
        <v>4</v>
      </c>
    </row>
    <row r="836" spans="1:9">
      <c r="A836" s="286">
        <v>134</v>
      </c>
      <c r="B836" s="344">
        <v>0.25</v>
      </c>
      <c r="D836" s="286" t="s">
        <v>644</v>
      </c>
      <c r="F836" s="286" t="s">
        <v>616</v>
      </c>
      <c r="H836" s="290"/>
      <c r="I836" s="290"/>
    </row>
    <row r="837" spans="1:9">
      <c r="A837" s="286">
        <v>135</v>
      </c>
      <c r="B837" s="344">
        <v>0.25</v>
      </c>
      <c r="D837" s="286" t="s">
        <v>644</v>
      </c>
      <c r="F837" s="286" t="s">
        <v>598</v>
      </c>
      <c r="G837" s="286">
        <v>26</v>
      </c>
      <c r="H837" s="290">
        <v>7193.199999999998</v>
      </c>
      <c r="I837" s="290">
        <v>474.94</v>
      </c>
    </row>
    <row r="838" spans="1:9">
      <c r="A838" s="286">
        <v>135</v>
      </c>
      <c r="B838" s="344">
        <v>0.25</v>
      </c>
      <c r="D838" s="286" t="s">
        <v>644</v>
      </c>
      <c r="F838" s="286" t="s">
        <v>599</v>
      </c>
      <c r="H838" s="290"/>
      <c r="I838" s="290"/>
    </row>
    <row r="839" spans="1:9">
      <c r="A839" s="286">
        <v>135</v>
      </c>
      <c r="B839" s="344">
        <v>0.25</v>
      </c>
      <c r="D839" s="286" t="s">
        <v>644</v>
      </c>
      <c r="F839" s="286" t="s">
        <v>605</v>
      </c>
      <c r="H839" s="290">
        <v>303.27999999999997</v>
      </c>
      <c r="I839" s="290">
        <v>20</v>
      </c>
    </row>
    <row r="840" spans="1:9">
      <c r="A840" s="286">
        <v>135</v>
      </c>
      <c r="B840" s="344">
        <v>0.25</v>
      </c>
      <c r="D840" s="286" t="s">
        <v>644</v>
      </c>
      <c r="F840" s="286" t="s">
        <v>608</v>
      </c>
      <c r="H840" s="290">
        <v>255.89999999999995</v>
      </c>
      <c r="I840" s="290">
        <v>16.89</v>
      </c>
    </row>
    <row r="841" spans="1:9">
      <c r="A841" s="286">
        <v>135</v>
      </c>
      <c r="B841" s="344">
        <v>0.25</v>
      </c>
      <c r="D841" s="286" t="s">
        <v>644</v>
      </c>
      <c r="F841" s="286" t="s">
        <v>610</v>
      </c>
      <c r="H841" s="290">
        <v>93.75</v>
      </c>
      <c r="I841" s="290">
        <v>6.1899999999999995</v>
      </c>
    </row>
    <row r="842" spans="1:9">
      <c r="A842" s="286">
        <v>135</v>
      </c>
      <c r="B842" s="344">
        <v>0.25</v>
      </c>
      <c r="D842" s="286" t="s">
        <v>644</v>
      </c>
      <c r="F842" s="286" t="s">
        <v>638</v>
      </c>
      <c r="H842" s="290">
        <v>30.33</v>
      </c>
      <c r="I842" s="290">
        <v>2</v>
      </c>
    </row>
    <row r="843" spans="1:9">
      <c r="A843" s="286">
        <v>135</v>
      </c>
      <c r="B843" s="344">
        <v>0.25</v>
      </c>
      <c r="D843" s="286" t="s">
        <v>644</v>
      </c>
      <c r="F843" s="286" t="s">
        <v>614</v>
      </c>
      <c r="H843" s="290"/>
      <c r="I843" s="290"/>
    </row>
    <row r="844" spans="1:9">
      <c r="A844" s="286">
        <v>135</v>
      </c>
      <c r="B844" s="344">
        <v>0.25</v>
      </c>
      <c r="D844" s="286" t="s">
        <v>644</v>
      </c>
      <c r="F844" s="286" t="s">
        <v>616</v>
      </c>
      <c r="H844" s="290"/>
      <c r="I844" s="290"/>
    </row>
    <row r="845" spans="1:9">
      <c r="A845" s="286">
        <v>136</v>
      </c>
      <c r="B845" s="344">
        <v>0.25</v>
      </c>
      <c r="D845" s="286" t="s">
        <v>644</v>
      </c>
      <c r="F845" s="286" t="s">
        <v>598</v>
      </c>
      <c r="G845" s="286">
        <v>26</v>
      </c>
      <c r="H845" s="290">
        <v>6966.3499999999995</v>
      </c>
      <c r="I845" s="290">
        <v>459.82</v>
      </c>
    </row>
    <row r="846" spans="1:9">
      <c r="A846" s="286">
        <v>136</v>
      </c>
      <c r="B846" s="344">
        <v>0.25</v>
      </c>
      <c r="D846" s="286" t="s">
        <v>644</v>
      </c>
      <c r="F846" s="286" t="s">
        <v>599</v>
      </c>
      <c r="H846" s="290"/>
      <c r="I846" s="290"/>
    </row>
    <row r="847" spans="1:9">
      <c r="A847" s="286">
        <v>136</v>
      </c>
      <c r="B847" s="344">
        <v>0.25</v>
      </c>
      <c r="D847" s="286" t="s">
        <v>644</v>
      </c>
      <c r="F847" s="286" t="s">
        <v>605</v>
      </c>
      <c r="H847" s="290">
        <v>317.83</v>
      </c>
      <c r="I847" s="290">
        <v>20.99</v>
      </c>
    </row>
    <row r="848" spans="1:9">
      <c r="A848" s="286">
        <v>136</v>
      </c>
      <c r="B848" s="344">
        <v>0.25</v>
      </c>
      <c r="D848" s="286" t="s">
        <v>644</v>
      </c>
      <c r="F848" s="286" t="s">
        <v>608</v>
      </c>
      <c r="H848" s="290">
        <v>501.3</v>
      </c>
      <c r="I848" s="290">
        <v>33.199999999999996</v>
      </c>
    </row>
    <row r="849" spans="1:9">
      <c r="A849" s="286">
        <v>136</v>
      </c>
      <c r="B849" s="344">
        <v>0.25</v>
      </c>
      <c r="D849" s="286" t="s">
        <v>644</v>
      </c>
      <c r="F849" s="286" t="s">
        <v>610</v>
      </c>
      <c r="H849" s="290">
        <v>90.99</v>
      </c>
      <c r="I849" s="290">
        <v>6</v>
      </c>
    </row>
    <row r="850" spans="1:9">
      <c r="A850" s="286">
        <v>136</v>
      </c>
      <c r="B850" s="344">
        <v>0.25</v>
      </c>
      <c r="D850" s="286" t="s">
        <v>644</v>
      </c>
      <c r="F850" s="286" t="s">
        <v>612</v>
      </c>
      <c r="H850" s="290"/>
      <c r="I850" s="290"/>
    </row>
    <row r="851" spans="1:9">
      <c r="A851" s="286">
        <v>136</v>
      </c>
      <c r="B851" s="344">
        <v>0.25</v>
      </c>
      <c r="D851" s="286" t="s">
        <v>644</v>
      </c>
      <c r="F851" s="286" t="s">
        <v>614</v>
      </c>
      <c r="H851" s="290"/>
      <c r="I851" s="290"/>
    </row>
    <row r="852" spans="1:9">
      <c r="A852" s="286">
        <v>136</v>
      </c>
      <c r="B852" s="344">
        <v>0.25</v>
      </c>
      <c r="D852" s="286" t="s">
        <v>644</v>
      </c>
      <c r="F852" s="286" t="s">
        <v>616</v>
      </c>
      <c r="H852" s="290"/>
      <c r="I852" s="290"/>
    </row>
    <row r="853" spans="1:9">
      <c r="A853" s="286">
        <v>137</v>
      </c>
      <c r="B853" s="344">
        <v>0.25</v>
      </c>
      <c r="D853" s="286" t="s">
        <v>644</v>
      </c>
      <c r="F853" s="286" t="s">
        <v>598</v>
      </c>
      <c r="G853" s="286">
        <v>26</v>
      </c>
      <c r="H853" s="290">
        <v>8100.8900000000031</v>
      </c>
      <c r="I853" s="290">
        <v>470.75</v>
      </c>
    </row>
    <row r="854" spans="1:9">
      <c r="A854" s="286">
        <v>137</v>
      </c>
      <c r="B854" s="344">
        <v>0.25</v>
      </c>
      <c r="D854" s="286" t="s">
        <v>644</v>
      </c>
      <c r="F854" s="286" t="s">
        <v>599</v>
      </c>
      <c r="H854" s="290"/>
      <c r="I854" s="290"/>
    </row>
    <row r="855" spans="1:9">
      <c r="A855" s="286">
        <v>137</v>
      </c>
      <c r="B855" s="344">
        <v>0.25</v>
      </c>
      <c r="D855" s="286" t="s">
        <v>644</v>
      </c>
      <c r="F855" s="286" t="s">
        <v>605</v>
      </c>
      <c r="H855" s="290">
        <v>597.65000000000009</v>
      </c>
      <c r="I855" s="290">
        <v>34.81</v>
      </c>
    </row>
    <row r="856" spans="1:9">
      <c r="A856" s="286">
        <v>137</v>
      </c>
      <c r="B856" s="344">
        <v>0.25</v>
      </c>
      <c r="D856" s="286" t="s">
        <v>644</v>
      </c>
      <c r="F856" s="286" t="s">
        <v>608</v>
      </c>
      <c r="H856" s="290">
        <v>7.54</v>
      </c>
      <c r="I856" s="290">
        <v>0.44</v>
      </c>
    </row>
    <row r="857" spans="1:9">
      <c r="A857" s="286">
        <v>137</v>
      </c>
      <c r="B857" s="344">
        <v>0.25</v>
      </c>
      <c r="D857" s="286" t="s">
        <v>644</v>
      </c>
      <c r="F857" s="286" t="s">
        <v>602</v>
      </c>
      <c r="H857" s="290"/>
      <c r="I857" s="290"/>
    </row>
    <row r="858" spans="1:9">
      <c r="A858" s="286">
        <v>137</v>
      </c>
      <c r="B858" s="344">
        <v>0.25</v>
      </c>
      <c r="D858" s="286" t="s">
        <v>644</v>
      </c>
      <c r="F858" s="286" t="s">
        <v>610</v>
      </c>
      <c r="H858" s="290">
        <v>103.35000000000001</v>
      </c>
      <c r="I858" s="290">
        <v>6</v>
      </c>
    </row>
    <row r="859" spans="1:9">
      <c r="A859" s="286">
        <v>137</v>
      </c>
      <c r="B859" s="344">
        <v>0.25</v>
      </c>
      <c r="D859" s="286" t="s">
        <v>644</v>
      </c>
      <c r="F859" s="286" t="s">
        <v>638</v>
      </c>
      <c r="H859" s="290">
        <v>34.450000000000003</v>
      </c>
      <c r="I859" s="290">
        <v>2</v>
      </c>
    </row>
    <row r="860" spans="1:9">
      <c r="A860" s="286">
        <v>137</v>
      </c>
      <c r="B860" s="344">
        <v>0.25</v>
      </c>
      <c r="D860" s="286" t="s">
        <v>644</v>
      </c>
      <c r="F860" s="286" t="s">
        <v>614</v>
      </c>
      <c r="H860" s="290"/>
      <c r="I860" s="290"/>
    </row>
    <row r="861" spans="1:9">
      <c r="A861" s="286">
        <v>137</v>
      </c>
      <c r="B861" s="344">
        <v>0.25</v>
      </c>
      <c r="D861" s="286" t="s">
        <v>644</v>
      </c>
      <c r="F861" s="286" t="s">
        <v>616</v>
      </c>
      <c r="H861" s="290"/>
      <c r="I861" s="290"/>
    </row>
    <row r="862" spans="1:9">
      <c r="A862" s="286">
        <v>5</v>
      </c>
      <c r="B862" s="344">
        <v>0.25</v>
      </c>
      <c r="D862" s="286" t="s">
        <v>597</v>
      </c>
      <c r="F862" s="286" t="s">
        <v>598</v>
      </c>
      <c r="G862" s="286">
        <v>26</v>
      </c>
      <c r="H862" s="290">
        <v>5856.7999999999984</v>
      </c>
      <c r="I862" s="290">
        <v>208.07000000000002</v>
      </c>
    </row>
    <row r="863" spans="1:9">
      <c r="A863" s="286">
        <v>5</v>
      </c>
      <c r="B863" s="344">
        <v>0.25</v>
      </c>
      <c r="D863" s="286" t="s">
        <v>597</v>
      </c>
      <c r="F863" s="286" t="s">
        <v>599</v>
      </c>
      <c r="H863" s="290"/>
      <c r="I863" s="290"/>
    </row>
    <row r="864" spans="1:9">
      <c r="A864" s="286">
        <v>5</v>
      </c>
      <c r="B864" s="344">
        <v>0.25</v>
      </c>
      <c r="D864" s="286" t="s">
        <v>597</v>
      </c>
      <c r="F864" s="286" t="s">
        <v>605</v>
      </c>
      <c r="H864" s="290">
        <v>192.66</v>
      </c>
      <c r="I864" s="290">
        <v>6.81</v>
      </c>
    </row>
    <row r="865" spans="1:9">
      <c r="A865" s="286">
        <v>5</v>
      </c>
      <c r="B865" s="344">
        <v>0.25</v>
      </c>
      <c r="D865" s="286" t="s">
        <v>597</v>
      </c>
      <c r="F865" s="286" t="s">
        <v>608</v>
      </c>
      <c r="H865" s="290">
        <v>1030.5900000000001</v>
      </c>
      <c r="I865" s="290">
        <v>36.97</v>
      </c>
    </row>
    <row r="866" spans="1:9">
      <c r="A866" s="286">
        <v>5</v>
      </c>
      <c r="B866" s="344">
        <v>0.25</v>
      </c>
      <c r="D866" s="286" t="s">
        <v>597</v>
      </c>
      <c r="F866" s="286" t="s">
        <v>610</v>
      </c>
      <c r="H866" s="290">
        <v>81.87</v>
      </c>
      <c r="I866" s="290">
        <v>2.94</v>
      </c>
    </row>
    <row r="867" spans="1:9">
      <c r="A867" s="286">
        <v>5</v>
      </c>
      <c r="B867" s="344">
        <v>0.25</v>
      </c>
      <c r="D867" s="286" t="s">
        <v>597</v>
      </c>
      <c r="F867" s="286" t="s">
        <v>624</v>
      </c>
      <c r="H867" s="290"/>
      <c r="I867" s="290"/>
    </row>
    <row r="868" spans="1:9">
      <c r="A868" s="286">
        <v>9</v>
      </c>
      <c r="B868" s="344">
        <v>0.25</v>
      </c>
      <c r="D868" s="286" t="s">
        <v>597</v>
      </c>
      <c r="F868" s="286" t="s">
        <v>598</v>
      </c>
      <c r="G868" s="286">
        <v>26</v>
      </c>
      <c r="H868" s="290">
        <v>8935.2900000000009</v>
      </c>
      <c r="I868" s="290">
        <v>322.39999999999992</v>
      </c>
    </row>
    <row r="869" spans="1:9">
      <c r="A869" s="286">
        <v>9</v>
      </c>
      <c r="B869" s="344">
        <v>0.25</v>
      </c>
      <c r="D869" s="286" t="s">
        <v>597</v>
      </c>
      <c r="F869" s="286" t="s">
        <v>605</v>
      </c>
      <c r="H869" s="290">
        <v>325.81</v>
      </c>
      <c r="I869" s="290">
        <v>11.700000000000001</v>
      </c>
    </row>
    <row r="870" spans="1:9">
      <c r="A870" s="286">
        <v>9</v>
      </c>
      <c r="B870" s="344">
        <v>0.25</v>
      </c>
      <c r="D870" s="286" t="s">
        <v>597</v>
      </c>
      <c r="F870" s="286" t="s">
        <v>610</v>
      </c>
      <c r="H870" s="290">
        <v>108.60000000000001</v>
      </c>
      <c r="I870" s="290">
        <v>3.9000000000000004</v>
      </c>
    </row>
    <row r="871" spans="1:9">
      <c r="A871" s="286">
        <v>9</v>
      </c>
      <c r="B871" s="344">
        <v>0.25</v>
      </c>
      <c r="D871" s="286" t="s">
        <v>597</v>
      </c>
      <c r="F871" s="286" t="s">
        <v>624</v>
      </c>
      <c r="H871" s="290"/>
      <c r="I871" s="290"/>
    </row>
    <row r="872" spans="1:9">
      <c r="A872" s="286">
        <v>9</v>
      </c>
      <c r="B872" s="344">
        <v>0.25</v>
      </c>
      <c r="D872" s="286" t="s">
        <v>597</v>
      </c>
      <c r="F872" s="286" t="s">
        <v>636</v>
      </c>
      <c r="H872" s="290">
        <v>-4.88</v>
      </c>
      <c r="I872" s="290">
        <v>0</v>
      </c>
    </row>
    <row r="873" spans="1:9">
      <c r="A873" s="286">
        <v>11</v>
      </c>
      <c r="B873" s="344">
        <v>0.25</v>
      </c>
      <c r="D873" s="286" t="s">
        <v>597</v>
      </c>
      <c r="F873" s="286" t="s">
        <v>598</v>
      </c>
      <c r="G873" s="286">
        <v>14</v>
      </c>
      <c r="H873" s="290">
        <v>2388.6900000000005</v>
      </c>
      <c r="I873" s="290">
        <v>108</v>
      </c>
    </row>
    <row r="874" spans="1:9">
      <c r="A874" s="286">
        <v>15</v>
      </c>
      <c r="B874" s="344">
        <v>0.25</v>
      </c>
      <c r="D874" s="286" t="s">
        <v>597</v>
      </c>
      <c r="F874" s="286" t="s">
        <v>598</v>
      </c>
      <c r="G874" s="286">
        <v>14</v>
      </c>
      <c r="H874" s="290">
        <v>4487.67</v>
      </c>
      <c r="I874" s="290">
        <v>161.19999999999999</v>
      </c>
    </row>
    <row r="875" spans="1:9">
      <c r="A875" s="286">
        <v>15</v>
      </c>
      <c r="B875" s="344">
        <v>0.25</v>
      </c>
      <c r="D875" s="286" t="s">
        <v>597</v>
      </c>
      <c r="F875" s="286" t="s">
        <v>610</v>
      </c>
      <c r="H875" s="290">
        <v>253.4</v>
      </c>
      <c r="I875" s="290">
        <v>9.1</v>
      </c>
    </row>
    <row r="876" spans="1:9">
      <c r="A876" s="286">
        <v>15</v>
      </c>
      <c r="B876" s="344">
        <v>0.25</v>
      </c>
      <c r="D876" s="286" t="s">
        <v>597</v>
      </c>
      <c r="F876" s="286" t="s">
        <v>649</v>
      </c>
      <c r="H876" s="290">
        <v>-181.01</v>
      </c>
      <c r="I876" s="290">
        <v>-6.5</v>
      </c>
    </row>
    <row r="877" spans="1:9">
      <c r="A877" s="286">
        <v>17</v>
      </c>
      <c r="B877" s="344">
        <v>0.25</v>
      </c>
      <c r="D877" s="286" t="s">
        <v>597</v>
      </c>
      <c r="F877" s="286" t="s">
        <v>598</v>
      </c>
      <c r="G877" s="286">
        <v>26</v>
      </c>
      <c r="H877" s="290">
        <v>10813.470000000001</v>
      </c>
      <c r="I877" s="290">
        <v>309.40000000000003</v>
      </c>
    </row>
    <row r="878" spans="1:9">
      <c r="A878" s="286">
        <v>17</v>
      </c>
      <c r="B878" s="344">
        <v>0.25</v>
      </c>
      <c r="D878" s="286" t="s">
        <v>597</v>
      </c>
      <c r="F878" s="286" t="s">
        <v>605</v>
      </c>
      <c r="H878" s="290">
        <v>492.87</v>
      </c>
      <c r="I878" s="290">
        <v>14.3</v>
      </c>
    </row>
    <row r="879" spans="1:9">
      <c r="A879" s="286">
        <v>17</v>
      </c>
      <c r="B879" s="344">
        <v>0.25</v>
      </c>
      <c r="D879" s="286" t="s">
        <v>597</v>
      </c>
      <c r="F879" s="286" t="s">
        <v>600</v>
      </c>
      <c r="H879" s="290"/>
      <c r="I879" s="290"/>
    </row>
    <row r="880" spans="1:9">
      <c r="A880" s="286">
        <v>17</v>
      </c>
      <c r="B880" s="344">
        <v>0.25</v>
      </c>
      <c r="D880" s="286" t="s">
        <v>597</v>
      </c>
      <c r="F880" s="286" t="s">
        <v>608</v>
      </c>
      <c r="H880" s="290">
        <v>45.44</v>
      </c>
      <c r="I880" s="290">
        <v>1.3</v>
      </c>
    </row>
    <row r="881" spans="1:9">
      <c r="A881" s="286">
        <v>17</v>
      </c>
      <c r="B881" s="344">
        <v>0.25</v>
      </c>
      <c r="D881" s="286" t="s">
        <v>597</v>
      </c>
      <c r="F881" s="286" t="s">
        <v>602</v>
      </c>
      <c r="H881" s="290"/>
      <c r="I881" s="290"/>
    </row>
    <row r="882" spans="1:9">
      <c r="A882" s="286">
        <v>17</v>
      </c>
      <c r="B882" s="344">
        <v>0.25</v>
      </c>
      <c r="D882" s="286" t="s">
        <v>597</v>
      </c>
      <c r="F882" s="286" t="s">
        <v>610</v>
      </c>
      <c r="H882" s="290">
        <v>267.42</v>
      </c>
      <c r="I882" s="290">
        <v>7.8</v>
      </c>
    </row>
    <row r="883" spans="1:9">
      <c r="A883" s="286">
        <v>17</v>
      </c>
      <c r="B883" s="344">
        <v>0.25</v>
      </c>
      <c r="D883" s="286" t="s">
        <v>597</v>
      </c>
      <c r="F883" s="286" t="s">
        <v>624</v>
      </c>
      <c r="H883" s="290"/>
      <c r="I883" s="290"/>
    </row>
    <row r="884" spans="1:9">
      <c r="A884" s="286">
        <v>18</v>
      </c>
      <c r="B884" s="344">
        <v>0.25</v>
      </c>
      <c r="D884" s="286" t="s">
        <v>650</v>
      </c>
      <c r="F884" s="286" t="s">
        <v>598</v>
      </c>
      <c r="G884" s="286">
        <v>26</v>
      </c>
      <c r="H884" s="290">
        <v>12551.529999999999</v>
      </c>
      <c r="I884" s="290">
        <v>308.26</v>
      </c>
    </row>
    <row r="885" spans="1:9">
      <c r="A885" s="286">
        <v>18</v>
      </c>
      <c r="D885" s="286" t="s">
        <v>650</v>
      </c>
      <c r="F885" s="286" t="s">
        <v>605</v>
      </c>
      <c r="H885" s="290">
        <v>737.6</v>
      </c>
      <c r="I885" s="290">
        <v>18.2</v>
      </c>
    </row>
    <row r="886" spans="1:9">
      <c r="A886" s="286">
        <v>18</v>
      </c>
      <c r="D886" s="286" t="s">
        <v>650</v>
      </c>
      <c r="F886" s="286" t="s">
        <v>608</v>
      </c>
      <c r="H886" s="290">
        <v>185.43</v>
      </c>
      <c r="I886" s="290">
        <v>4.55</v>
      </c>
    </row>
    <row r="887" spans="1:9">
      <c r="A887" s="286">
        <v>18</v>
      </c>
      <c r="D887" s="286" t="s">
        <v>650</v>
      </c>
      <c r="F887" s="286" t="s">
        <v>610</v>
      </c>
      <c r="H887" s="290">
        <v>278.64</v>
      </c>
      <c r="I887" s="290">
        <v>6.9899999999999993</v>
      </c>
    </row>
    <row r="888" spans="1:9">
      <c r="A888" s="286">
        <v>18</v>
      </c>
      <c r="D888" s="286" t="s">
        <v>650</v>
      </c>
      <c r="F888" s="286" t="s">
        <v>624</v>
      </c>
      <c r="H888" s="290"/>
      <c r="I888" s="290"/>
    </row>
    <row r="889" spans="1:9">
      <c r="A889" s="286">
        <v>22</v>
      </c>
      <c r="B889" s="344">
        <v>0.25</v>
      </c>
      <c r="D889" s="286" t="s">
        <v>597</v>
      </c>
      <c r="F889" s="286" t="s">
        <v>598</v>
      </c>
      <c r="G889" s="286">
        <v>26</v>
      </c>
      <c r="H889" s="287">
        <v>6965.4500000000007</v>
      </c>
      <c r="I889" s="287">
        <v>213.9</v>
      </c>
    </row>
    <row r="890" spans="1:9">
      <c r="A890" s="286">
        <v>22</v>
      </c>
      <c r="B890" s="344">
        <v>0.25</v>
      </c>
      <c r="D890" s="286" t="s">
        <v>597</v>
      </c>
      <c r="F890" s="286" t="s">
        <v>605</v>
      </c>
      <c r="H890" s="287">
        <v>908.92000000000007</v>
      </c>
      <c r="I890" s="287">
        <v>28</v>
      </c>
    </row>
    <row r="891" spans="1:9">
      <c r="A891" s="286">
        <v>22</v>
      </c>
      <c r="B891" s="344">
        <v>0.25</v>
      </c>
      <c r="D891" s="286" t="s">
        <v>597</v>
      </c>
      <c r="F891" s="286" t="s">
        <v>608</v>
      </c>
      <c r="H891" s="287">
        <v>424.82000000000005</v>
      </c>
      <c r="I891" s="287">
        <v>13.13</v>
      </c>
    </row>
    <row r="892" spans="1:9">
      <c r="A892" s="286">
        <v>22</v>
      </c>
      <c r="B892" s="344">
        <v>0.25</v>
      </c>
      <c r="D892" s="286" t="s">
        <v>597</v>
      </c>
      <c r="F892" s="286" t="s">
        <v>602</v>
      </c>
      <c r="H892" s="287"/>
      <c r="I892" s="287"/>
    </row>
    <row r="893" spans="1:9">
      <c r="A893" s="286">
        <v>22</v>
      </c>
      <c r="B893" s="344">
        <v>0.25</v>
      </c>
      <c r="D893" s="286" t="s">
        <v>597</v>
      </c>
      <c r="F893" s="286" t="s">
        <v>610</v>
      </c>
      <c r="H893" s="287">
        <v>97.800000000000011</v>
      </c>
      <c r="I893" s="287">
        <v>3</v>
      </c>
    </row>
    <row r="894" spans="1:9">
      <c r="A894" s="286">
        <v>22</v>
      </c>
      <c r="B894" s="344">
        <v>0.25</v>
      </c>
      <c r="D894" s="286" t="s">
        <v>597</v>
      </c>
      <c r="F894" s="286" t="s">
        <v>612</v>
      </c>
      <c r="H894" s="287"/>
      <c r="I894" s="287"/>
    </row>
    <row r="895" spans="1:9">
      <c r="A895" s="286">
        <v>22</v>
      </c>
      <c r="B895" s="344">
        <v>0.25</v>
      </c>
      <c r="D895" s="286" t="s">
        <v>597</v>
      </c>
      <c r="F895" s="286" t="s">
        <v>624</v>
      </c>
      <c r="H895" s="287"/>
      <c r="I895" s="287"/>
    </row>
    <row r="896" spans="1:9">
      <c r="A896" s="286">
        <v>25</v>
      </c>
      <c r="B896" s="344">
        <v>0.25</v>
      </c>
      <c r="D896" s="286" t="s">
        <v>597</v>
      </c>
      <c r="F896" s="286" t="s">
        <v>598</v>
      </c>
      <c r="G896" s="286">
        <v>26</v>
      </c>
      <c r="H896" s="287">
        <v>7108.22</v>
      </c>
      <c r="I896" s="287">
        <v>210.67999999999998</v>
      </c>
    </row>
    <row r="897" spans="1:9">
      <c r="A897" s="286">
        <v>25</v>
      </c>
      <c r="B897" s="344">
        <v>0.25</v>
      </c>
      <c r="D897" s="286" t="s">
        <v>597</v>
      </c>
      <c r="F897" s="286" t="s">
        <v>605</v>
      </c>
      <c r="H897" s="287">
        <v>938.29999999999984</v>
      </c>
      <c r="I897" s="287">
        <v>27.959999999999997</v>
      </c>
    </row>
    <row r="898" spans="1:9">
      <c r="A898" s="286">
        <v>25</v>
      </c>
      <c r="B898" s="344">
        <v>0.25</v>
      </c>
      <c r="D898" s="286" t="s">
        <v>597</v>
      </c>
      <c r="F898" s="286" t="s">
        <v>608</v>
      </c>
      <c r="H898" s="290">
        <v>620.32000000000005</v>
      </c>
      <c r="I898" s="290">
        <v>18.41</v>
      </c>
    </row>
    <row r="899" spans="1:9">
      <c r="A899" s="286">
        <v>25</v>
      </c>
      <c r="B899" s="344">
        <v>0.25</v>
      </c>
      <c r="D899" s="286" t="s">
        <v>597</v>
      </c>
      <c r="F899" s="286" t="s">
        <v>610</v>
      </c>
      <c r="H899" s="290">
        <v>101.32000000000001</v>
      </c>
      <c r="I899" s="290">
        <v>3.01</v>
      </c>
    </row>
    <row r="900" spans="1:9">
      <c r="A900" s="286">
        <v>25</v>
      </c>
      <c r="B900" s="344">
        <v>0.25</v>
      </c>
      <c r="D900" s="286" t="s">
        <v>597</v>
      </c>
      <c r="F900" s="286" t="s">
        <v>624</v>
      </c>
      <c r="H900" s="290"/>
      <c r="I900" s="290"/>
    </row>
    <row r="901" spans="1:9">
      <c r="A901" s="286">
        <v>29</v>
      </c>
      <c r="B901" s="344">
        <v>0.25</v>
      </c>
      <c r="D901" s="286" t="s">
        <v>597</v>
      </c>
      <c r="F901" s="286" t="s">
        <v>598</v>
      </c>
      <c r="G901" s="286">
        <v>26</v>
      </c>
      <c r="H901" s="290">
        <v>8565.9600000000028</v>
      </c>
      <c r="I901" s="290">
        <v>308.09999999999997</v>
      </c>
    </row>
    <row r="902" spans="1:9">
      <c r="A902" s="286">
        <v>29</v>
      </c>
      <c r="B902" s="344">
        <v>0.25</v>
      </c>
      <c r="D902" s="286" t="s">
        <v>597</v>
      </c>
      <c r="F902" s="286" t="s">
        <v>605</v>
      </c>
      <c r="H902" s="290">
        <v>398.21999999999997</v>
      </c>
      <c r="I902" s="290">
        <v>14.3</v>
      </c>
    </row>
    <row r="903" spans="1:9">
      <c r="A903" s="286">
        <v>29</v>
      </c>
      <c r="B903" s="344">
        <v>0.25</v>
      </c>
      <c r="D903" s="286" t="s">
        <v>597</v>
      </c>
      <c r="F903" s="286" t="s">
        <v>608</v>
      </c>
      <c r="H903" s="290">
        <v>289.59999999999997</v>
      </c>
      <c r="I903" s="290">
        <v>10.4</v>
      </c>
    </row>
    <row r="904" spans="1:9">
      <c r="A904" s="286">
        <v>29</v>
      </c>
      <c r="B904" s="344">
        <v>0.25</v>
      </c>
      <c r="D904" s="286" t="s">
        <v>597</v>
      </c>
      <c r="F904" s="286" t="s">
        <v>610</v>
      </c>
      <c r="H904" s="290">
        <v>108.60000000000001</v>
      </c>
      <c r="I904" s="290">
        <v>3.9000000000000004</v>
      </c>
    </row>
    <row r="905" spans="1:9">
      <c r="A905" s="286">
        <v>29</v>
      </c>
      <c r="B905" s="344">
        <v>0.25</v>
      </c>
      <c r="D905" s="286" t="s">
        <v>597</v>
      </c>
      <c r="F905" s="286" t="s">
        <v>638</v>
      </c>
      <c r="H905" s="290">
        <v>36.200000000000003</v>
      </c>
      <c r="I905" s="290">
        <v>1.3</v>
      </c>
    </row>
    <row r="906" spans="1:9">
      <c r="A906" s="286">
        <v>29</v>
      </c>
      <c r="B906" s="344">
        <v>0.25</v>
      </c>
      <c r="D906" s="286" t="s">
        <v>597</v>
      </c>
      <c r="F906" s="286" t="s">
        <v>624</v>
      </c>
      <c r="H906" s="290"/>
      <c r="I906" s="290"/>
    </row>
    <row r="907" spans="1:9">
      <c r="A907" s="286">
        <v>29</v>
      </c>
      <c r="B907" s="344">
        <v>0.25</v>
      </c>
      <c r="D907" s="286" t="s">
        <v>597</v>
      </c>
      <c r="F907" s="286" t="s">
        <v>636</v>
      </c>
      <c r="H907" s="290">
        <v>4.88</v>
      </c>
      <c r="I907" s="290">
        <v>0</v>
      </c>
    </row>
    <row r="908" spans="1:9">
      <c r="A908" s="286">
        <v>32</v>
      </c>
      <c r="B908" s="344">
        <v>0.25</v>
      </c>
      <c r="D908" s="286" t="s">
        <v>597</v>
      </c>
      <c r="F908" s="286" t="s">
        <v>598</v>
      </c>
      <c r="G908" s="286">
        <v>26</v>
      </c>
      <c r="H908" s="290">
        <v>4334.8999999999996</v>
      </c>
      <c r="I908" s="290">
        <v>179.77999999999994</v>
      </c>
    </row>
    <row r="909" spans="1:9">
      <c r="A909" s="286">
        <v>32</v>
      </c>
      <c r="B909" s="344">
        <v>0.25</v>
      </c>
      <c r="D909" s="286" t="s">
        <v>597</v>
      </c>
      <c r="F909" s="286" t="s">
        <v>605</v>
      </c>
      <c r="H909" s="290">
        <v>221.91000000000003</v>
      </c>
      <c r="I909" s="290">
        <v>8.8800000000000008</v>
      </c>
    </row>
    <row r="910" spans="1:9">
      <c r="A910" s="286">
        <v>32</v>
      </c>
      <c r="B910" s="344">
        <v>0.25</v>
      </c>
      <c r="D910" s="286" t="s">
        <v>597</v>
      </c>
      <c r="F910" s="286" t="s">
        <v>608</v>
      </c>
      <c r="H910" s="290">
        <v>140.57</v>
      </c>
      <c r="I910" s="290">
        <v>6.1999999999999993</v>
      </c>
    </row>
    <row r="911" spans="1:9">
      <c r="A911" s="286">
        <v>32</v>
      </c>
      <c r="B911" s="344">
        <v>0.25</v>
      </c>
      <c r="D911" s="286" t="s">
        <v>597</v>
      </c>
      <c r="F911" s="286" t="s">
        <v>610</v>
      </c>
      <c r="H911" s="290">
        <v>53.080000000000005</v>
      </c>
      <c r="I911" s="290">
        <v>2.1799999999999997</v>
      </c>
    </row>
    <row r="912" spans="1:9">
      <c r="A912" s="286">
        <v>32</v>
      </c>
      <c r="B912" s="344">
        <v>0.25</v>
      </c>
      <c r="D912" s="286" t="s">
        <v>597</v>
      </c>
      <c r="F912" s="286" t="s">
        <v>624</v>
      </c>
      <c r="H912" s="290"/>
      <c r="I912" s="290"/>
    </row>
    <row r="913" spans="1:9">
      <c r="A913" s="286">
        <v>34</v>
      </c>
      <c r="B913" s="344">
        <v>0.25</v>
      </c>
      <c r="D913" s="286" t="s">
        <v>650</v>
      </c>
      <c r="F913" s="286" t="s">
        <v>598</v>
      </c>
      <c r="G913" s="286">
        <v>26</v>
      </c>
      <c r="H913" s="290">
        <v>3800.1900000000023</v>
      </c>
      <c r="I913" s="290">
        <v>97.2</v>
      </c>
    </row>
    <row r="914" spans="1:9">
      <c r="A914" s="286">
        <v>34</v>
      </c>
      <c r="D914" s="286" t="s">
        <v>650</v>
      </c>
      <c r="F914" s="286" t="s">
        <v>605</v>
      </c>
      <c r="H914" s="290">
        <v>137.85</v>
      </c>
      <c r="I914" s="290">
        <v>3.6</v>
      </c>
    </row>
    <row r="915" spans="1:9">
      <c r="A915" s="286">
        <v>34</v>
      </c>
      <c r="D915" s="286" t="s">
        <v>650</v>
      </c>
      <c r="F915" s="286" t="s">
        <v>608</v>
      </c>
      <c r="H915" s="290">
        <v>15.65</v>
      </c>
      <c r="I915" s="290">
        <v>0.4</v>
      </c>
    </row>
    <row r="916" spans="1:9">
      <c r="A916" s="286">
        <v>34</v>
      </c>
      <c r="D916" s="286" t="s">
        <v>650</v>
      </c>
      <c r="F916" s="286" t="s">
        <v>602</v>
      </c>
      <c r="H916" s="290"/>
      <c r="I916" s="290"/>
    </row>
    <row r="917" spans="1:9">
      <c r="A917" s="286">
        <v>34</v>
      </c>
      <c r="D917" s="286" t="s">
        <v>650</v>
      </c>
      <c r="F917" s="286" t="s">
        <v>610</v>
      </c>
      <c r="H917" s="290">
        <v>46.95</v>
      </c>
      <c r="I917" s="290">
        <v>1.2000000000000002</v>
      </c>
    </row>
    <row r="918" spans="1:9">
      <c r="A918" s="286">
        <v>34</v>
      </c>
      <c r="D918" s="286" t="s">
        <v>650</v>
      </c>
      <c r="F918" s="286" t="s">
        <v>638</v>
      </c>
      <c r="H918" s="290">
        <v>31.3</v>
      </c>
      <c r="I918" s="290">
        <v>0.8</v>
      </c>
    </row>
    <row r="919" spans="1:9">
      <c r="A919" s="286">
        <v>34</v>
      </c>
      <c r="D919" s="286" t="s">
        <v>650</v>
      </c>
      <c r="F919" s="286" t="s">
        <v>612</v>
      </c>
      <c r="H919" s="290"/>
      <c r="I919" s="290"/>
    </row>
    <row r="920" spans="1:9">
      <c r="A920" s="286">
        <v>34</v>
      </c>
      <c r="D920" s="286" t="s">
        <v>650</v>
      </c>
      <c r="F920" s="286" t="s">
        <v>624</v>
      </c>
      <c r="H920" s="290"/>
      <c r="I920" s="290"/>
    </row>
    <row r="921" spans="1:9">
      <c r="A921" s="286">
        <v>37</v>
      </c>
      <c r="B921" s="344">
        <v>0.25</v>
      </c>
      <c r="D921" s="286" t="s">
        <v>650</v>
      </c>
      <c r="F921" s="286" t="s">
        <v>598</v>
      </c>
      <c r="G921" s="286">
        <v>26</v>
      </c>
      <c r="H921" s="290">
        <v>16102.429999999993</v>
      </c>
      <c r="I921" s="290">
        <v>336.7</v>
      </c>
    </row>
    <row r="922" spans="1:9">
      <c r="A922" s="286">
        <v>37</v>
      </c>
      <c r="D922" s="286" t="s">
        <v>650</v>
      </c>
      <c r="F922" s="286" t="s">
        <v>600</v>
      </c>
      <c r="H922" s="290"/>
      <c r="I922" s="290"/>
    </row>
    <row r="923" spans="1:9">
      <c r="A923" s="286">
        <v>37</v>
      </c>
      <c r="D923" s="286" t="s">
        <v>650</v>
      </c>
      <c r="F923" s="286" t="s">
        <v>602</v>
      </c>
      <c r="H923" s="290"/>
      <c r="I923" s="290"/>
    </row>
    <row r="924" spans="1:9">
      <c r="A924" s="286">
        <v>37</v>
      </c>
      <c r="D924" s="286" t="s">
        <v>650</v>
      </c>
      <c r="F924" s="286" t="s">
        <v>624</v>
      </c>
      <c r="H924" s="290"/>
      <c r="I924" s="290"/>
    </row>
    <row r="925" spans="1:9">
      <c r="A925" s="286">
        <v>43</v>
      </c>
      <c r="B925" s="344">
        <v>0.25</v>
      </c>
      <c r="D925" s="286" t="s">
        <v>650</v>
      </c>
      <c r="F925" s="286" t="s">
        <v>598</v>
      </c>
      <c r="G925" s="286">
        <v>26</v>
      </c>
      <c r="H925" s="290">
        <v>8667.94</v>
      </c>
      <c r="I925" s="290">
        <v>235</v>
      </c>
    </row>
    <row r="926" spans="1:9">
      <c r="A926" s="286">
        <v>43</v>
      </c>
      <c r="D926" s="286" t="s">
        <v>650</v>
      </c>
      <c r="F926" s="286" t="s">
        <v>605</v>
      </c>
      <c r="H926" s="290">
        <v>548.12000000000012</v>
      </c>
      <c r="I926" s="290">
        <v>15</v>
      </c>
    </row>
    <row r="927" spans="1:9">
      <c r="A927" s="286">
        <v>43</v>
      </c>
      <c r="D927" s="286" t="s">
        <v>650</v>
      </c>
      <c r="F927" s="286" t="s">
        <v>608</v>
      </c>
      <c r="H927" s="290">
        <v>110.76</v>
      </c>
      <c r="I927" s="290">
        <v>3</v>
      </c>
    </row>
    <row r="928" spans="1:9">
      <c r="A928" s="286">
        <v>43</v>
      </c>
      <c r="D928" s="286" t="s">
        <v>650</v>
      </c>
      <c r="F928" s="286" t="s">
        <v>602</v>
      </c>
      <c r="H928" s="290"/>
      <c r="I928" s="290"/>
    </row>
    <row r="929" spans="1:9">
      <c r="A929" s="286">
        <v>43</v>
      </c>
      <c r="D929" s="286" t="s">
        <v>650</v>
      </c>
      <c r="F929" s="286" t="s">
        <v>610</v>
      </c>
      <c r="H929" s="290">
        <v>73.84</v>
      </c>
      <c r="I929" s="290">
        <v>2</v>
      </c>
    </row>
    <row r="930" spans="1:9">
      <c r="A930" s="286">
        <v>43</v>
      </c>
      <c r="D930" s="286" t="s">
        <v>650</v>
      </c>
      <c r="F930" s="286" t="s">
        <v>638</v>
      </c>
      <c r="H930" s="290">
        <v>110.76</v>
      </c>
      <c r="I930" s="290">
        <v>3</v>
      </c>
    </row>
    <row r="931" spans="1:9">
      <c r="A931" s="286">
        <v>43</v>
      </c>
      <c r="D931" s="286" t="s">
        <v>650</v>
      </c>
      <c r="F931" s="286" t="s">
        <v>624</v>
      </c>
      <c r="H931" s="290"/>
      <c r="I931" s="290"/>
    </row>
    <row r="932" spans="1:9">
      <c r="A932" s="286">
        <v>48</v>
      </c>
      <c r="B932" s="344">
        <v>0.25</v>
      </c>
      <c r="D932" s="286" t="s">
        <v>597</v>
      </c>
      <c r="F932" s="286" t="s">
        <v>598</v>
      </c>
      <c r="G932" s="286">
        <v>7</v>
      </c>
      <c r="H932" s="290">
        <v>2106.02</v>
      </c>
      <c r="I932" s="290">
        <v>122.5</v>
      </c>
    </row>
    <row r="933" spans="1:9">
      <c r="A933" s="286">
        <v>48</v>
      </c>
      <c r="B933" s="344">
        <v>0.25</v>
      </c>
      <c r="D933" s="286" t="s">
        <v>597</v>
      </c>
      <c r="F933" s="286" t="s">
        <v>599</v>
      </c>
      <c r="H933" s="290"/>
      <c r="I933" s="290"/>
    </row>
    <row r="934" spans="1:9">
      <c r="A934" s="286">
        <v>48</v>
      </c>
      <c r="B934" s="344">
        <v>0.25</v>
      </c>
      <c r="D934" s="286" t="s">
        <v>597</v>
      </c>
      <c r="F934" s="286" t="s">
        <v>664</v>
      </c>
      <c r="H934" s="290">
        <v>172.73</v>
      </c>
      <c r="I934" s="290">
        <v>10</v>
      </c>
    </row>
    <row r="935" spans="1:9">
      <c r="A935" s="286">
        <v>48</v>
      </c>
      <c r="B935" s="344">
        <v>0.25</v>
      </c>
      <c r="D935" s="286" t="s">
        <v>597</v>
      </c>
      <c r="F935" s="286" t="s">
        <v>608</v>
      </c>
      <c r="H935" s="290">
        <v>199.31</v>
      </c>
      <c r="I935" s="290">
        <v>12</v>
      </c>
    </row>
    <row r="936" spans="1:9">
      <c r="A936" s="286">
        <v>48</v>
      </c>
      <c r="B936" s="344">
        <v>0.25</v>
      </c>
      <c r="D936" s="286" t="s">
        <v>597</v>
      </c>
      <c r="F936" s="286" t="s">
        <v>610</v>
      </c>
      <c r="H936" s="290">
        <v>91.36</v>
      </c>
      <c r="I936" s="290">
        <v>5.5</v>
      </c>
    </row>
    <row r="937" spans="1:9">
      <c r="A937" s="286">
        <v>49</v>
      </c>
      <c r="B937" s="344">
        <v>0.25</v>
      </c>
      <c r="D937" s="286" t="s">
        <v>597</v>
      </c>
      <c r="F937" s="286" t="s">
        <v>598</v>
      </c>
      <c r="G937" s="286">
        <v>17</v>
      </c>
      <c r="H937" s="290">
        <v>5339.43</v>
      </c>
      <c r="I937" s="290">
        <v>226.6</v>
      </c>
    </row>
    <row r="938" spans="1:9">
      <c r="A938" s="286">
        <v>49</v>
      </c>
      <c r="B938" s="344">
        <v>0.25</v>
      </c>
      <c r="D938" s="286" t="s">
        <v>597</v>
      </c>
      <c r="F938" s="286" t="s">
        <v>605</v>
      </c>
      <c r="H938" s="290">
        <v>431.15</v>
      </c>
      <c r="I938" s="290">
        <v>18.380000000000003</v>
      </c>
    </row>
    <row r="939" spans="1:9">
      <c r="A939" s="286">
        <v>49</v>
      </c>
      <c r="B939" s="344">
        <v>0.25</v>
      </c>
      <c r="D939" s="286" t="s">
        <v>597</v>
      </c>
      <c r="F939" s="286" t="s">
        <v>664</v>
      </c>
      <c r="H939" s="290">
        <v>522.41999999999996</v>
      </c>
      <c r="I939" s="290">
        <v>22.13</v>
      </c>
    </row>
    <row r="940" spans="1:9">
      <c r="A940" s="286">
        <v>49</v>
      </c>
      <c r="B940" s="344">
        <v>0.25</v>
      </c>
      <c r="D940" s="286" t="s">
        <v>597</v>
      </c>
      <c r="F940" s="286" t="s">
        <v>608</v>
      </c>
      <c r="H940" s="290">
        <v>59.77</v>
      </c>
      <c r="I940" s="290">
        <v>2.5300000000000002</v>
      </c>
    </row>
    <row r="941" spans="1:9">
      <c r="A941" s="286">
        <v>49</v>
      </c>
      <c r="B941" s="344">
        <v>0.25</v>
      </c>
      <c r="D941" s="286" t="s">
        <v>597</v>
      </c>
      <c r="F941" s="286" t="s">
        <v>665</v>
      </c>
      <c r="H941" s="290">
        <v>2135.71</v>
      </c>
      <c r="I941" s="290">
        <v>90.45</v>
      </c>
    </row>
    <row r="942" spans="1:9">
      <c r="A942" s="286">
        <v>49</v>
      </c>
      <c r="B942" s="344">
        <v>0.25</v>
      </c>
      <c r="D942" s="286" t="s">
        <v>597</v>
      </c>
      <c r="F942" s="286" t="s">
        <v>602</v>
      </c>
      <c r="H942" s="290"/>
      <c r="I942" s="290"/>
    </row>
    <row r="943" spans="1:9">
      <c r="A943" s="286">
        <v>49</v>
      </c>
      <c r="B943" s="344">
        <v>0.25</v>
      </c>
      <c r="D943" s="286" t="s">
        <v>597</v>
      </c>
      <c r="F943" s="286" t="s">
        <v>610</v>
      </c>
      <c r="H943" s="290">
        <v>106.26</v>
      </c>
      <c r="I943" s="290">
        <v>4.5</v>
      </c>
    </row>
    <row r="944" spans="1:9">
      <c r="A944" s="286">
        <v>49</v>
      </c>
      <c r="B944" s="344">
        <v>0.25</v>
      </c>
      <c r="D944" s="286" t="s">
        <v>597</v>
      </c>
      <c r="F944" s="286" t="s">
        <v>612</v>
      </c>
      <c r="H944" s="290"/>
      <c r="I944" s="290"/>
    </row>
    <row r="945" spans="1:9">
      <c r="A945" s="286">
        <v>49</v>
      </c>
      <c r="B945" s="344">
        <v>0.25</v>
      </c>
      <c r="D945" s="286" t="s">
        <v>597</v>
      </c>
      <c r="F945" s="286" t="s">
        <v>624</v>
      </c>
      <c r="H945" s="290"/>
      <c r="I945" s="290"/>
    </row>
    <row r="946" spans="1:9">
      <c r="A946" s="286">
        <v>53</v>
      </c>
      <c r="B946" s="344">
        <v>0.25</v>
      </c>
      <c r="D946" s="286" t="s">
        <v>597</v>
      </c>
      <c r="F946" s="286" t="s">
        <v>598</v>
      </c>
      <c r="G946" s="286">
        <v>26</v>
      </c>
      <c r="H946" s="290">
        <v>8461.899999999996</v>
      </c>
      <c r="I946" s="290">
        <v>260</v>
      </c>
    </row>
    <row r="947" spans="1:9">
      <c r="A947" s="286">
        <v>53</v>
      </c>
      <c r="B947" s="344">
        <v>0.25</v>
      </c>
      <c r="D947" s="286" t="s">
        <v>597</v>
      </c>
      <c r="F947" s="286" t="s">
        <v>624</v>
      </c>
      <c r="H947" s="290"/>
      <c r="I947" s="290"/>
    </row>
    <row r="948" spans="1:9">
      <c r="A948" s="286">
        <v>58</v>
      </c>
      <c r="B948" s="344">
        <v>0.25</v>
      </c>
      <c r="D948" s="286" t="s">
        <v>597</v>
      </c>
      <c r="F948" s="286" t="s">
        <v>598</v>
      </c>
      <c r="G948" s="286">
        <v>26</v>
      </c>
      <c r="H948" s="290">
        <v>4843.6499999999996</v>
      </c>
      <c r="I948" s="290">
        <v>338</v>
      </c>
    </row>
    <row r="949" spans="1:9">
      <c r="A949" s="286">
        <v>65</v>
      </c>
      <c r="B949" s="344">
        <v>0.25</v>
      </c>
      <c r="D949" s="286" t="s">
        <v>597</v>
      </c>
      <c r="F949" s="286" t="s">
        <v>598</v>
      </c>
      <c r="G949" s="286">
        <v>26</v>
      </c>
      <c r="H949" s="290">
        <v>7910.800000000002</v>
      </c>
      <c r="I949" s="290">
        <v>226.5</v>
      </c>
    </row>
    <row r="950" spans="1:9">
      <c r="A950" s="286">
        <v>65</v>
      </c>
      <c r="B950" s="344">
        <v>0.25</v>
      </c>
      <c r="D950" s="286" t="s">
        <v>597</v>
      </c>
      <c r="F950" s="286" t="s">
        <v>605</v>
      </c>
      <c r="H950" s="290">
        <v>622.5</v>
      </c>
      <c r="I950" s="290">
        <v>18</v>
      </c>
    </row>
    <row r="951" spans="1:9">
      <c r="A951" s="286">
        <v>65</v>
      </c>
      <c r="B951" s="344">
        <v>0.25</v>
      </c>
      <c r="D951" s="286" t="s">
        <v>597</v>
      </c>
      <c r="F951" s="286" t="s">
        <v>600</v>
      </c>
      <c r="H951" s="290"/>
      <c r="I951" s="290"/>
    </row>
    <row r="952" spans="1:9">
      <c r="A952" s="286">
        <v>65</v>
      </c>
      <c r="B952" s="344">
        <v>0.25</v>
      </c>
      <c r="D952" s="286" t="s">
        <v>597</v>
      </c>
      <c r="F952" s="286" t="s">
        <v>608</v>
      </c>
      <c r="H952" s="290">
        <v>104.88</v>
      </c>
      <c r="I952" s="290">
        <v>3</v>
      </c>
    </row>
    <row r="953" spans="1:9">
      <c r="A953" s="286">
        <v>65</v>
      </c>
      <c r="B953" s="344">
        <v>0.25</v>
      </c>
      <c r="D953" s="286" t="s">
        <v>597</v>
      </c>
      <c r="F953" s="286" t="s">
        <v>602</v>
      </c>
      <c r="H953" s="290"/>
      <c r="I953" s="290"/>
    </row>
    <row r="954" spans="1:9">
      <c r="A954" s="286">
        <v>65</v>
      </c>
      <c r="B954" s="344">
        <v>0.25</v>
      </c>
      <c r="D954" s="286" t="s">
        <v>597</v>
      </c>
      <c r="F954" s="286" t="s">
        <v>610</v>
      </c>
      <c r="H954" s="290">
        <v>104.87</v>
      </c>
      <c r="I954" s="290">
        <v>3</v>
      </c>
    </row>
    <row r="955" spans="1:9">
      <c r="A955" s="286">
        <v>65</v>
      </c>
      <c r="B955" s="344">
        <v>0.25</v>
      </c>
      <c r="D955" s="286" t="s">
        <v>597</v>
      </c>
      <c r="F955" s="286" t="s">
        <v>638</v>
      </c>
      <c r="H955" s="290">
        <v>69.91</v>
      </c>
      <c r="I955" s="290">
        <v>2</v>
      </c>
    </row>
    <row r="956" spans="1:9">
      <c r="A956" s="286">
        <v>65</v>
      </c>
      <c r="B956" s="344">
        <v>0.25</v>
      </c>
      <c r="D956" s="286" t="s">
        <v>597</v>
      </c>
      <c r="F956" s="286" t="s">
        <v>624</v>
      </c>
      <c r="H956" s="290"/>
      <c r="I956" s="290"/>
    </row>
    <row r="957" spans="1:9">
      <c r="A957" s="286">
        <v>65</v>
      </c>
      <c r="B957" s="344">
        <v>0.25</v>
      </c>
      <c r="D957" s="286" t="s">
        <v>597</v>
      </c>
      <c r="F957" s="286" t="s">
        <v>669</v>
      </c>
      <c r="H957" s="290">
        <v>209.74</v>
      </c>
      <c r="I957" s="290">
        <v>6</v>
      </c>
    </row>
    <row r="958" spans="1:9">
      <c r="A958" s="286">
        <v>67</v>
      </c>
      <c r="B958" s="344">
        <v>0.25</v>
      </c>
      <c r="D958" s="286" t="s">
        <v>597</v>
      </c>
      <c r="F958" s="286" t="s">
        <v>598</v>
      </c>
      <c r="G958" s="286">
        <v>26</v>
      </c>
      <c r="H958" s="290">
        <v>4132.37</v>
      </c>
      <c r="I958" s="290">
        <v>180.23000000000002</v>
      </c>
    </row>
    <row r="959" spans="1:9">
      <c r="A959" s="286">
        <v>67</v>
      </c>
      <c r="B959" s="344">
        <v>0.25</v>
      </c>
      <c r="D959" s="286" t="s">
        <v>597</v>
      </c>
      <c r="F959" s="286" t="s">
        <v>599</v>
      </c>
      <c r="H959" s="290"/>
      <c r="I959" s="290"/>
    </row>
    <row r="960" spans="1:9">
      <c r="A960" s="286">
        <v>67</v>
      </c>
      <c r="B960" s="344">
        <v>0.25</v>
      </c>
      <c r="D960" s="286" t="s">
        <v>597</v>
      </c>
      <c r="F960" s="286" t="s">
        <v>605</v>
      </c>
      <c r="H960" s="290">
        <v>411.03000000000009</v>
      </c>
      <c r="I960" s="290">
        <v>17.900000000000002</v>
      </c>
    </row>
    <row r="961" spans="1:9">
      <c r="A961" s="286">
        <v>67</v>
      </c>
      <c r="B961" s="344">
        <v>0.25</v>
      </c>
      <c r="D961" s="286" t="s">
        <v>597</v>
      </c>
      <c r="F961" s="286" t="s">
        <v>608</v>
      </c>
      <c r="H961" s="290">
        <v>96.670000000000016</v>
      </c>
      <c r="I961" s="290">
        <v>4.21</v>
      </c>
    </row>
    <row r="962" spans="1:9">
      <c r="A962" s="286">
        <v>67</v>
      </c>
      <c r="B962" s="344">
        <v>0.25</v>
      </c>
      <c r="D962" s="286" t="s">
        <v>597</v>
      </c>
      <c r="F962" s="286" t="s">
        <v>602</v>
      </c>
      <c r="H962" s="290"/>
      <c r="I962" s="290"/>
    </row>
    <row r="963" spans="1:9">
      <c r="A963" s="286">
        <v>67</v>
      </c>
      <c r="B963" s="344">
        <v>0.25</v>
      </c>
      <c r="D963" s="286" t="s">
        <v>597</v>
      </c>
      <c r="F963" s="286" t="s">
        <v>610</v>
      </c>
      <c r="H963" s="290">
        <v>91.81</v>
      </c>
      <c r="I963" s="290">
        <v>4.0599999999999996</v>
      </c>
    </row>
    <row r="964" spans="1:9">
      <c r="A964" s="286">
        <v>67</v>
      </c>
      <c r="B964" s="344">
        <v>0.25</v>
      </c>
      <c r="D964" s="286" t="s">
        <v>597</v>
      </c>
      <c r="F964" s="286" t="s">
        <v>624</v>
      </c>
      <c r="H964" s="290"/>
      <c r="I964" s="290"/>
    </row>
    <row r="965" spans="1:9">
      <c r="A965" s="286">
        <v>69</v>
      </c>
      <c r="B965" s="344">
        <v>0.25</v>
      </c>
      <c r="D965" s="286" t="s">
        <v>597</v>
      </c>
      <c r="F965" s="286" t="s">
        <v>598</v>
      </c>
      <c r="G965" s="286">
        <v>26</v>
      </c>
      <c r="H965" s="290">
        <v>3387.21</v>
      </c>
      <c r="I965" s="290">
        <v>173.78000000000006</v>
      </c>
    </row>
    <row r="966" spans="1:9">
      <c r="A966" s="286">
        <v>69</v>
      </c>
      <c r="B966" s="344">
        <v>0.25</v>
      </c>
      <c r="D966" s="286" t="s">
        <v>597</v>
      </c>
      <c r="F966" s="286" t="s">
        <v>599</v>
      </c>
      <c r="H966" s="290"/>
      <c r="I966" s="290"/>
    </row>
    <row r="967" spans="1:9">
      <c r="A967" s="286">
        <v>69</v>
      </c>
      <c r="B967" s="344">
        <v>0.25</v>
      </c>
      <c r="D967" s="286" t="s">
        <v>597</v>
      </c>
      <c r="F967" s="286" t="s">
        <v>605</v>
      </c>
      <c r="H967" s="290">
        <v>236.88</v>
      </c>
      <c r="I967" s="290">
        <v>12.14</v>
      </c>
    </row>
    <row r="968" spans="1:9">
      <c r="A968" s="286">
        <v>69</v>
      </c>
      <c r="B968" s="344">
        <v>0.25</v>
      </c>
      <c r="D968" s="286" t="s">
        <v>597</v>
      </c>
      <c r="F968" s="286" t="s">
        <v>608</v>
      </c>
      <c r="H968" s="290">
        <v>384.93999999999994</v>
      </c>
      <c r="I968" s="290">
        <v>19.850000000000001</v>
      </c>
    </row>
    <row r="969" spans="1:9">
      <c r="A969" s="286">
        <v>69</v>
      </c>
      <c r="B969" s="344">
        <v>0.25</v>
      </c>
      <c r="D969" s="286" t="s">
        <v>597</v>
      </c>
      <c r="F969" s="286" t="s">
        <v>610</v>
      </c>
      <c r="H969" s="290">
        <v>43.519999999999996</v>
      </c>
      <c r="I969" s="290">
        <v>2.23</v>
      </c>
    </row>
    <row r="970" spans="1:9">
      <c r="A970" s="286">
        <v>69</v>
      </c>
      <c r="B970" s="344">
        <v>0.25</v>
      </c>
      <c r="D970" s="286" t="s">
        <v>597</v>
      </c>
      <c r="F970" s="286" t="s">
        <v>612</v>
      </c>
      <c r="H970" s="290"/>
      <c r="I970" s="290"/>
    </row>
    <row r="971" spans="1:9">
      <c r="A971" s="286">
        <v>69</v>
      </c>
      <c r="B971" s="344">
        <v>0.25</v>
      </c>
      <c r="D971" s="286" t="s">
        <v>597</v>
      </c>
      <c r="F971" s="286" t="s">
        <v>615</v>
      </c>
      <c r="H971" s="290"/>
      <c r="I971" s="290"/>
    </row>
    <row r="972" spans="1:9">
      <c r="A972" s="286">
        <v>72</v>
      </c>
      <c r="B972" s="344">
        <v>0.25</v>
      </c>
      <c r="D972" s="286" t="s">
        <v>597</v>
      </c>
      <c r="F972" s="286" t="s">
        <v>598</v>
      </c>
      <c r="G972" s="286">
        <v>26</v>
      </c>
      <c r="H972" s="290">
        <v>7081.1900000000005</v>
      </c>
      <c r="I972" s="290">
        <v>225.83000000000007</v>
      </c>
    </row>
    <row r="973" spans="1:9">
      <c r="A973" s="286">
        <v>72</v>
      </c>
      <c r="B973" s="344">
        <v>0.25</v>
      </c>
      <c r="D973" s="286" t="s">
        <v>597</v>
      </c>
      <c r="F973" s="286" t="s">
        <v>599</v>
      </c>
      <c r="H973" s="290"/>
      <c r="I973" s="290"/>
    </row>
    <row r="974" spans="1:9">
      <c r="A974" s="286">
        <v>72</v>
      </c>
      <c r="B974" s="344">
        <v>0.25</v>
      </c>
      <c r="D974" s="286" t="s">
        <v>597</v>
      </c>
      <c r="F974" s="286" t="s">
        <v>605</v>
      </c>
      <c r="H974" s="290">
        <v>596.28</v>
      </c>
      <c r="I974" s="290">
        <v>19</v>
      </c>
    </row>
    <row r="975" spans="1:9">
      <c r="A975" s="286">
        <v>72</v>
      </c>
      <c r="B975" s="344">
        <v>0.25</v>
      </c>
      <c r="D975" s="286" t="s">
        <v>597</v>
      </c>
      <c r="F975" s="286" t="s">
        <v>608</v>
      </c>
      <c r="H975" s="290">
        <v>158.39000000000001</v>
      </c>
      <c r="I975" s="290">
        <v>5.08</v>
      </c>
    </row>
    <row r="976" spans="1:9">
      <c r="A976" s="286">
        <v>72</v>
      </c>
      <c r="B976" s="344">
        <v>0.25</v>
      </c>
      <c r="D976" s="286" t="s">
        <v>597</v>
      </c>
      <c r="F976" s="286" t="s">
        <v>602</v>
      </c>
      <c r="H976" s="290"/>
      <c r="I976" s="290"/>
    </row>
    <row r="977" spans="1:9">
      <c r="A977" s="286">
        <v>72</v>
      </c>
      <c r="B977" s="344">
        <v>0.25</v>
      </c>
      <c r="D977" s="286" t="s">
        <v>597</v>
      </c>
      <c r="F977" s="286" t="s">
        <v>610</v>
      </c>
      <c r="H977" s="290">
        <v>92.330000000000013</v>
      </c>
      <c r="I977" s="290">
        <v>2.94</v>
      </c>
    </row>
    <row r="978" spans="1:9">
      <c r="A978" s="286">
        <v>72</v>
      </c>
      <c r="B978" s="344">
        <v>0.25</v>
      </c>
      <c r="D978" s="286" t="s">
        <v>597</v>
      </c>
      <c r="F978" s="286" t="s">
        <v>624</v>
      </c>
      <c r="H978" s="290"/>
      <c r="I978" s="290"/>
    </row>
    <row r="979" spans="1:9">
      <c r="A979" s="286">
        <v>84</v>
      </c>
      <c r="B979" s="344">
        <v>0.25</v>
      </c>
      <c r="D979" s="286" t="s">
        <v>597</v>
      </c>
      <c r="F979" s="286" t="s">
        <v>598</v>
      </c>
      <c r="G979" s="286">
        <v>26</v>
      </c>
      <c r="H979" s="290">
        <v>6910.02</v>
      </c>
      <c r="I979" s="290">
        <v>248.5</v>
      </c>
    </row>
    <row r="980" spans="1:9">
      <c r="A980" s="286">
        <v>84</v>
      </c>
      <c r="B980" s="344">
        <v>0.25</v>
      </c>
      <c r="D980" s="286" t="s">
        <v>597</v>
      </c>
      <c r="F980" s="286" t="s">
        <v>605</v>
      </c>
      <c r="H980" s="290">
        <v>139.25</v>
      </c>
      <c r="I980" s="290">
        <v>5</v>
      </c>
    </row>
    <row r="981" spans="1:9">
      <c r="A981" s="286">
        <v>84</v>
      </c>
      <c r="B981" s="344">
        <v>0.25</v>
      </c>
      <c r="D981" s="286" t="s">
        <v>597</v>
      </c>
      <c r="F981" s="286" t="s">
        <v>610</v>
      </c>
      <c r="H981" s="290">
        <v>97.47999999999999</v>
      </c>
      <c r="I981" s="290">
        <v>3.5</v>
      </c>
    </row>
    <row r="982" spans="1:9">
      <c r="A982" s="286">
        <v>84</v>
      </c>
      <c r="B982" s="344">
        <v>0.25</v>
      </c>
      <c r="D982" s="286" t="s">
        <v>597</v>
      </c>
      <c r="F982" s="286" t="s">
        <v>638</v>
      </c>
      <c r="H982" s="290">
        <v>83.55</v>
      </c>
      <c r="I982" s="290">
        <v>3</v>
      </c>
    </row>
    <row r="983" spans="1:9">
      <c r="A983" s="286">
        <v>84</v>
      </c>
      <c r="B983" s="344">
        <v>0.25</v>
      </c>
      <c r="D983" s="286" t="s">
        <v>597</v>
      </c>
      <c r="F983" s="286" t="s">
        <v>624</v>
      </c>
      <c r="H983" s="290"/>
      <c r="I983" s="290"/>
    </row>
    <row r="984" spans="1:9">
      <c r="A984" s="286">
        <v>103</v>
      </c>
      <c r="B984" s="344">
        <v>0.25</v>
      </c>
      <c r="D984" s="286" t="s">
        <v>597</v>
      </c>
      <c r="F984" s="286" t="s">
        <v>598</v>
      </c>
      <c r="G984" s="286">
        <v>26</v>
      </c>
      <c r="H984" s="290">
        <v>7606.4800000000014</v>
      </c>
      <c r="I984" s="290">
        <v>217.80999999999997</v>
      </c>
    </row>
    <row r="985" spans="1:9">
      <c r="A985" s="286">
        <v>103</v>
      </c>
      <c r="B985" s="344">
        <v>0.25</v>
      </c>
      <c r="D985" s="286" t="s">
        <v>597</v>
      </c>
      <c r="F985" s="286" t="s">
        <v>605</v>
      </c>
      <c r="H985" s="290">
        <v>873.16</v>
      </c>
      <c r="I985" s="290">
        <v>25.069999999999997</v>
      </c>
    </row>
    <row r="986" spans="1:9">
      <c r="A986" s="286">
        <v>103</v>
      </c>
      <c r="B986" s="344">
        <v>0.25</v>
      </c>
      <c r="D986" s="286" t="s">
        <v>597</v>
      </c>
      <c r="F986" s="286" t="s">
        <v>608</v>
      </c>
      <c r="H986" s="290">
        <v>394.38000000000005</v>
      </c>
      <c r="I986" s="290">
        <v>11.3</v>
      </c>
    </row>
    <row r="987" spans="1:9">
      <c r="A987" s="286">
        <v>103</v>
      </c>
      <c r="B987" s="344">
        <v>0.25</v>
      </c>
      <c r="D987" s="286" t="s">
        <v>597</v>
      </c>
      <c r="F987" s="286" t="s">
        <v>652</v>
      </c>
      <c r="H987" s="290">
        <v>-4.24</v>
      </c>
      <c r="I987" s="290">
        <v>0</v>
      </c>
    </row>
    <row r="988" spans="1:9">
      <c r="A988" s="286">
        <v>103</v>
      </c>
      <c r="B988" s="344">
        <v>0.25</v>
      </c>
      <c r="D988" s="286" t="s">
        <v>597</v>
      </c>
      <c r="F988" s="286" t="s">
        <v>602</v>
      </c>
      <c r="H988" s="290"/>
      <c r="I988" s="290"/>
    </row>
    <row r="989" spans="1:9">
      <c r="A989" s="286">
        <v>103</v>
      </c>
      <c r="B989" s="344">
        <v>0.25</v>
      </c>
      <c r="D989" s="286" t="s">
        <v>597</v>
      </c>
      <c r="F989" s="286" t="s">
        <v>646</v>
      </c>
      <c r="H989" s="290">
        <v>17.48</v>
      </c>
      <c r="I989" s="290">
        <v>0.5</v>
      </c>
    </row>
    <row r="990" spans="1:9">
      <c r="A990" s="286">
        <v>103</v>
      </c>
      <c r="B990" s="344">
        <v>0.25</v>
      </c>
      <c r="D990" s="286" t="s">
        <v>597</v>
      </c>
      <c r="F990" s="286" t="s">
        <v>610</v>
      </c>
      <c r="H990" s="290">
        <v>117.98</v>
      </c>
      <c r="I990" s="290">
        <v>3.38</v>
      </c>
    </row>
    <row r="991" spans="1:9">
      <c r="A991" s="286">
        <v>103</v>
      </c>
      <c r="B991" s="344">
        <v>0.25</v>
      </c>
      <c r="D991" s="286" t="s">
        <v>597</v>
      </c>
      <c r="F991" s="286" t="s">
        <v>612</v>
      </c>
      <c r="H991" s="290"/>
      <c r="I991" s="290"/>
    </row>
    <row r="992" spans="1:9">
      <c r="A992" s="286">
        <v>103</v>
      </c>
      <c r="B992" s="344">
        <v>0.25</v>
      </c>
      <c r="D992" s="286" t="s">
        <v>597</v>
      </c>
      <c r="F992" s="286" t="s">
        <v>624</v>
      </c>
      <c r="H992" s="290"/>
      <c r="I992" s="290"/>
    </row>
    <row r="993" spans="1:9">
      <c r="A993" s="286">
        <v>104</v>
      </c>
      <c r="B993" s="344">
        <v>0.25</v>
      </c>
      <c r="D993" s="286" t="s">
        <v>597</v>
      </c>
      <c r="F993" s="286" t="s">
        <v>598</v>
      </c>
      <c r="G993" s="286">
        <v>26</v>
      </c>
      <c r="H993" s="290">
        <v>17725.5</v>
      </c>
      <c r="I993" s="290">
        <v>338</v>
      </c>
    </row>
    <row r="994" spans="1:9">
      <c r="A994" s="286">
        <v>104</v>
      </c>
      <c r="B994" s="344">
        <v>0.25</v>
      </c>
      <c r="D994" s="286" t="s">
        <v>597</v>
      </c>
      <c r="F994" s="286" t="s">
        <v>624</v>
      </c>
      <c r="H994" s="290"/>
      <c r="I994" s="290"/>
    </row>
    <row r="995" spans="1:9">
      <c r="A995" s="286">
        <v>107</v>
      </c>
      <c r="B995" s="344">
        <v>0.25</v>
      </c>
      <c r="D995" s="286" t="s">
        <v>650</v>
      </c>
      <c r="F995" s="286" t="s">
        <v>598</v>
      </c>
      <c r="G995" s="286">
        <v>26</v>
      </c>
      <c r="H995" s="290">
        <v>3689.8100000000009</v>
      </c>
      <c r="I995" s="290">
        <v>121.5</v>
      </c>
    </row>
    <row r="996" spans="1:9">
      <c r="A996" s="286">
        <v>107</v>
      </c>
      <c r="D996" s="286" t="s">
        <v>650</v>
      </c>
      <c r="F996" s="286" t="s">
        <v>605</v>
      </c>
      <c r="H996" s="290">
        <v>254.79</v>
      </c>
      <c r="I996" s="290">
        <v>8.5</v>
      </c>
    </row>
    <row r="997" spans="1:9">
      <c r="A997" s="286">
        <v>107</v>
      </c>
      <c r="D997" s="286" t="s">
        <v>650</v>
      </c>
      <c r="F997" s="286" t="s">
        <v>612</v>
      </c>
      <c r="H997" s="290"/>
      <c r="I997" s="290"/>
    </row>
    <row r="998" spans="1:9">
      <c r="A998" s="286">
        <v>107</v>
      </c>
      <c r="D998" s="286" t="s">
        <v>650</v>
      </c>
      <c r="F998" s="286" t="s">
        <v>624</v>
      </c>
      <c r="H998" s="290"/>
      <c r="I998" s="290"/>
    </row>
    <row r="999" spans="1:9">
      <c r="A999" s="286">
        <v>110</v>
      </c>
      <c r="B999" s="344">
        <v>0.25</v>
      </c>
      <c r="D999" s="286" t="s">
        <v>597</v>
      </c>
      <c r="F999" s="286" t="s">
        <v>598</v>
      </c>
      <c r="G999" s="286">
        <v>26</v>
      </c>
      <c r="H999" s="290">
        <v>7025.0099999999984</v>
      </c>
      <c r="I999" s="290">
        <v>214.14</v>
      </c>
    </row>
    <row r="1000" spans="1:9">
      <c r="A1000" s="286">
        <v>110</v>
      </c>
      <c r="B1000" s="344">
        <v>0.25</v>
      </c>
      <c r="D1000" s="286" t="s">
        <v>597</v>
      </c>
      <c r="F1000" s="286" t="s">
        <v>605</v>
      </c>
      <c r="H1000" s="290">
        <v>765.04000000000008</v>
      </c>
      <c r="I1000" s="290">
        <v>23.629999999999995</v>
      </c>
    </row>
    <row r="1001" spans="1:9">
      <c r="A1001" s="286">
        <v>110</v>
      </c>
      <c r="B1001" s="344">
        <v>0.25</v>
      </c>
      <c r="D1001" s="286" t="s">
        <v>597</v>
      </c>
      <c r="F1001" s="286" t="s">
        <v>608</v>
      </c>
      <c r="H1001" s="290">
        <v>801.43</v>
      </c>
      <c r="I1001" s="290">
        <v>24.460000000000008</v>
      </c>
    </row>
    <row r="1002" spans="1:9">
      <c r="A1002" s="286">
        <v>110</v>
      </c>
      <c r="B1002" s="344">
        <v>0.25</v>
      </c>
      <c r="D1002" s="286" t="s">
        <v>597</v>
      </c>
      <c r="F1002" s="286" t="s">
        <v>610</v>
      </c>
      <c r="H1002" s="290">
        <v>100.42999999999999</v>
      </c>
      <c r="I1002" s="290">
        <v>3.0700000000000003</v>
      </c>
    </row>
    <row r="1003" spans="1:9">
      <c r="A1003" s="286">
        <v>110</v>
      </c>
      <c r="B1003" s="344">
        <v>0.25</v>
      </c>
      <c r="D1003" s="286" t="s">
        <v>597</v>
      </c>
      <c r="F1003" s="286" t="s">
        <v>624</v>
      </c>
      <c r="H1003" s="290"/>
      <c r="I1003" s="290"/>
    </row>
    <row r="1004" spans="1:9">
      <c r="A1004" s="286">
        <v>114</v>
      </c>
      <c r="B1004" s="344">
        <v>0.25</v>
      </c>
      <c r="D1004" s="286" t="s">
        <v>597</v>
      </c>
      <c r="F1004" s="286" t="s">
        <v>598</v>
      </c>
      <c r="G1004" s="286">
        <v>11</v>
      </c>
      <c r="H1004" s="290">
        <v>2154.1600000000003</v>
      </c>
      <c r="I1004" s="290">
        <v>109</v>
      </c>
    </row>
    <row r="1005" spans="1:9">
      <c r="A1005" s="286">
        <v>114</v>
      </c>
      <c r="B1005" s="344">
        <v>0.25</v>
      </c>
      <c r="D1005" s="286" t="s">
        <v>597</v>
      </c>
      <c r="F1005" s="286" t="s">
        <v>608</v>
      </c>
      <c r="H1005" s="290">
        <v>19.760000000000002</v>
      </c>
      <c r="I1005" s="290">
        <v>1</v>
      </c>
    </row>
    <row r="1006" spans="1:9">
      <c r="A1006" s="286">
        <v>121</v>
      </c>
      <c r="B1006" s="344">
        <v>0.25</v>
      </c>
      <c r="D1006" s="286" t="s">
        <v>597</v>
      </c>
      <c r="F1006" s="286" t="s">
        <v>598</v>
      </c>
      <c r="G1006" s="286">
        <v>26</v>
      </c>
      <c r="H1006" s="290">
        <v>7774.2399999999989</v>
      </c>
      <c r="I1006" s="290">
        <v>230.33999999999997</v>
      </c>
    </row>
    <row r="1007" spans="1:9">
      <c r="A1007" s="286">
        <v>121</v>
      </c>
      <c r="B1007" s="344">
        <v>0.25</v>
      </c>
      <c r="D1007" s="286" t="s">
        <v>597</v>
      </c>
      <c r="F1007" s="286" t="s">
        <v>605</v>
      </c>
      <c r="H1007" s="290">
        <v>751.45</v>
      </c>
      <c r="I1007" s="290">
        <v>22.26</v>
      </c>
    </row>
    <row r="1008" spans="1:9">
      <c r="A1008" s="286">
        <v>121</v>
      </c>
      <c r="B1008" s="344">
        <v>0.25</v>
      </c>
      <c r="D1008" s="286" t="s">
        <v>597</v>
      </c>
      <c r="F1008" s="286" t="s">
        <v>608</v>
      </c>
      <c r="H1008" s="290">
        <v>106.67</v>
      </c>
      <c r="I1008" s="290">
        <v>3.18</v>
      </c>
    </row>
    <row r="1009" spans="1:9">
      <c r="A1009" s="286">
        <v>121</v>
      </c>
      <c r="B1009" s="344">
        <v>0.25</v>
      </c>
      <c r="D1009" s="286" t="s">
        <v>597</v>
      </c>
      <c r="F1009" s="286" t="s">
        <v>652</v>
      </c>
      <c r="H1009" s="290">
        <v>-8.7200000000000006</v>
      </c>
      <c r="I1009" s="290">
        <v>0</v>
      </c>
    </row>
    <row r="1010" spans="1:9">
      <c r="A1010" s="286">
        <v>121</v>
      </c>
      <c r="B1010" s="344">
        <v>0.25</v>
      </c>
      <c r="D1010" s="286" t="s">
        <v>597</v>
      </c>
      <c r="F1010" s="286" t="s">
        <v>602</v>
      </c>
      <c r="H1010" s="290"/>
      <c r="I1010" s="290"/>
    </row>
    <row r="1011" spans="1:9">
      <c r="A1011" s="286">
        <v>121</v>
      </c>
      <c r="B1011" s="344">
        <v>0.25</v>
      </c>
      <c r="D1011" s="286" t="s">
        <v>597</v>
      </c>
      <c r="F1011" s="286" t="s">
        <v>610</v>
      </c>
      <c r="H1011" s="290">
        <v>101.33</v>
      </c>
      <c r="I1011" s="290">
        <v>3</v>
      </c>
    </row>
    <row r="1012" spans="1:9">
      <c r="A1012" s="286">
        <v>121</v>
      </c>
      <c r="B1012" s="344">
        <v>0.25</v>
      </c>
      <c r="D1012" s="286" t="s">
        <v>597</v>
      </c>
      <c r="F1012" s="286" t="s">
        <v>612</v>
      </c>
      <c r="H1012" s="290"/>
      <c r="I1012" s="290"/>
    </row>
    <row r="1013" spans="1:9">
      <c r="A1013" s="286">
        <v>121</v>
      </c>
      <c r="B1013" s="344">
        <v>0.25</v>
      </c>
      <c r="D1013" s="286" t="s">
        <v>597</v>
      </c>
      <c r="F1013" s="286" t="s">
        <v>624</v>
      </c>
      <c r="H1013" s="290"/>
      <c r="I1013" s="290"/>
    </row>
    <row r="1014" spans="1:9">
      <c r="A1014" s="286">
        <v>125</v>
      </c>
      <c r="B1014" s="344">
        <v>0.25</v>
      </c>
      <c r="D1014" s="286" t="s">
        <v>597</v>
      </c>
      <c r="F1014" s="286" t="s">
        <v>598</v>
      </c>
      <c r="G1014" s="286">
        <v>26</v>
      </c>
      <c r="H1014" s="290">
        <v>8059.5099999999984</v>
      </c>
      <c r="I1014" s="290">
        <v>247.73999999999995</v>
      </c>
    </row>
    <row r="1015" spans="1:9">
      <c r="A1015" s="286">
        <v>125</v>
      </c>
      <c r="B1015" s="344">
        <v>0.25</v>
      </c>
      <c r="D1015" s="286" t="s">
        <v>597</v>
      </c>
      <c r="F1015" s="286" t="s">
        <v>605</v>
      </c>
      <c r="H1015" s="290">
        <v>146.12</v>
      </c>
      <c r="I1015" s="290">
        <v>4.57</v>
      </c>
    </row>
    <row r="1016" spans="1:9">
      <c r="A1016" s="286">
        <v>125</v>
      </c>
      <c r="B1016" s="344">
        <v>0.25</v>
      </c>
      <c r="D1016" s="286" t="s">
        <v>597</v>
      </c>
      <c r="F1016" s="286" t="s">
        <v>608</v>
      </c>
      <c r="H1016" s="290">
        <v>178.48999999999998</v>
      </c>
      <c r="I1016" s="290">
        <v>5.52</v>
      </c>
    </row>
    <row r="1017" spans="1:9">
      <c r="A1017" s="286">
        <v>125</v>
      </c>
      <c r="B1017" s="344">
        <v>0.25</v>
      </c>
      <c r="D1017" s="286" t="s">
        <v>597</v>
      </c>
      <c r="F1017" s="286" t="s">
        <v>610</v>
      </c>
      <c r="H1017" s="290">
        <v>73.27</v>
      </c>
      <c r="I1017" s="290">
        <v>2.3099999999999996</v>
      </c>
    </row>
    <row r="1018" spans="1:9">
      <c r="A1018" s="286">
        <v>125</v>
      </c>
      <c r="B1018" s="344">
        <v>0.25</v>
      </c>
      <c r="D1018" s="286" t="s">
        <v>597</v>
      </c>
      <c r="F1018" s="286" t="s">
        <v>624</v>
      </c>
      <c r="H1018" s="290"/>
      <c r="I1018" s="290"/>
    </row>
    <row r="1019" spans="1:9">
      <c r="A1019" s="286">
        <v>126</v>
      </c>
      <c r="B1019" s="344">
        <v>0.25</v>
      </c>
      <c r="D1019" s="286" t="s">
        <v>597</v>
      </c>
      <c r="F1019" s="286" t="s">
        <v>598</v>
      </c>
      <c r="G1019" s="286">
        <v>26</v>
      </c>
      <c r="H1019" s="290">
        <v>5646.880000000001</v>
      </c>
      <c r="I1019" s="290">
        <v>246.32999999999998</v>
      </c>
    </row>
    <row r="1020" spans="1:9">
      <c r="A1020" s="286">
        <v>126</v>
      </c>
      <c r="B1020" s="344">
        <v>0.25</v>
      </c>
      <c r="D1020" s="286" t="s">
        <v>597</v>
      </c>
      <c r="F1020" s="286" t="s">
        <v>605</v>
      </c>
      <c r="H1020" s="290">
        <v>208.36</v>
      </c>
      <c r="I1020" s="290">
        <v>9.0700000000000021</v>
      </c>
    </row>
    <row r="1021" spans="1:9">
      <c r="A1021" s="286">
        <v>126</v>
      </c>
      <c r="B1021" s="344">
        <v>0.25</v>
      </c>
      <c r="D1021" s="286" t="s">
        <v>597</v>
      </c>
      <c r="F1021" s="286" t="s">
        <v>608</v>
      </c>
      <c r="H1021" s="290">
        <v>31.7</v>
      </c>
      <c r="I1021" s="290">
        <v>1.38</v>
      </c>
    </row>
    <row r="1022" spans="1:9">
      <c r="A1022" s="286">
        <v>126</v>
      </c>
      <c r="B1022" s="344">
        <v>0.25</v>
      </c>
      <c r="D1022" s="286" t="s">
        <v>597</v>
      </c>
      <c r="F1022" s="286" t="s">
        <v>610</v>
      </c>
      <c r="H1022" s="290">
        <v>71.37</v>
      </c>
      <c r="I1022" s="290">
        <v>3.25</v>
      </c>
    </row>
    <row r="1023" spans="1:9">
      <c r="A1023" s="286">
        <v>126</v>
      </c>
      <c r="B1023" s="344">
        <v>0.25</v>
      </c>
      <c r="D1023" s="286" t="s">
        <v>597</v>
      </c>
      <c r="F1023" s="286" t="s">
        <v>624</v>
      </c>
      <c r="H1023" s="290"/>
      <c r="I1023" s="290"/>
    </row>
    <row r="1024" spans="1:9">
      <c r="A1024" s="286">
        <v>126</v>
      </c>
      <c r="B1024" s="344">
        <v>0.25</v>
      </c>
      <c r="D1024" s="286" t="s">
        <v>597</v>
      </c>
      <c r="F1024" s="286" t="s">
        <v>636</v>
      </c>
      <c r="H1024" s="290">
        <v>2.72</v>
      </c>
      <c r="I1024" s="290">
        <v>0</v>
      </c>
    </row>
    <row r="1025" spans="1:9">
      <c r="A1025" s="286">
        <v>126</v>
      </c>
      <c r="B1025" s="344">
        <v>0.25</v>
      </c>
      <c r="D1025" s="286" t="s">
        <v>597</v>
      </c>
      <c r="F1025" s="286" t="s">
        <v>632</v>
      </c>
      <c r="H1025" s="290"/>
      <c r="I1025" s="290"/>
    </row>
    <row r="1026" spans="1:9">
      <c r="A1026" s="286">
        <v>138</v>
      </c>
      <c r="B1026" s="344">
        <v>0.25</v>
      </c>
      <c r="D1026" s="286" t="s">
        <v>650</v>
      </c>
      <c r="F1026" s="286" t="s">
        <v>598</v>
      </c>
      <c r="G1026" s="286">
        <v>26</v>
      </c>
      <c r="H1026" s="290">
        <v>11661.259999999998</v>
      </c>
      <c r="I1026" s="290">
        <v>229</v>
      </c>
    </row>
    <row r="1027" spans="1:9">
      <c r="A1027" s="286">
        <v>138</v>
      </c>
      <c r="D1027" s="286" t="s">
        <v>650</v>
      </c>
      <c r="F1027" s="286" t="s">
        <v>605</v>
      </c>
      <c r="H1027" s="290">
        <v>1270.8300000000002</v>
      </c>
      <c r="I1027" s="290">
        <v>25</v>
      </c>
    </row>
    <row r="1028" spans="1:9">
      <c r="A1028" s="286">
        <v>138</v>
      </c>
      <c r="D1028" s="286" t="s">
        <v>650</v>
      </c>
      <c r="F1028" s="286" t="s">
        <v>608</v>
      </c>
      <c r="H1028" s="290">
        <v>50.99</v>
      </c>
      <c r="I1028" s="290">
        <v>1</v>
      </c>
    </row>
    <row r="1029" spans="1:9">
      <c r="A1029" s="286">
        <v>138</v>
      </c>
      <c r="D1029" s="286" t="s">
        <v>650</v>
      </c>
      <c r="F1029" s="286" t="s">
        <v>602</v>
      </c>
      <c r="H1029" s="290"/>
      <c r="I1029" s="290"/>
    </row>
    <row r="1030" spans="1:9">
      <c r="A1030" s="286">
        <v>138</v>
      </c>
      <c r="D1030" s="286" t="s">
        <v>650</v>
      </c>
      <c r="F1030" s="286" t="s">
        <v>610</v>
      </c>
      <c r="H1030" s="290">
        <v>152.98000000000002</v>
      </c>
      <c r="I1030" s="290">
        <v>3</v>
      </c>
    </row>
    <row r="1031" spans="1:9">
      <c r="A1031" s="286">
        <v>138</v>
      </c>
      <c r="D1031" s="286" t="s">
        <v>650</v>
      </c>
      <c r="F1031" s="286" t="s">
        <v>612</v>
      </c>
      <c r="H1031" s="290"/>
      <c r="I1031" s="290"/>
    </row>
    <row r="1032" spans="1:9">
      <c r="A1032" s="286">
        <v>138</v>
      </c>
      <c r="D1032" s="286" t="s">
        <v>650</v>
      </c>
      <c r="F1032" s="286" t="s">
        <v>624</v>
      </c>
      <c r="H1032" s="290"/>
      <c r="I1032" s="290"/>
    </row>
    <row r="1033" spans="1:9">
      <c r="A1033" s="286">
        <v>47</v>
      </c>
      <c r="B1033" s="344">
        <v>0.25</v>
      </c>
      <c r="D1033" s="286" t="s">
        <v>663</v>
      </c>
      <c r="F1033" s="286" t="s">
        <v>598</v>
      </c>
      <c r="G1033" s="286">
        <v>26</v>
      </c>
      <c r="H1033" s="287">
        <v>7824.0599999999995</v>
      </c>
      <c r="I1033" s="287">
        <v>241.14</v>
      </c>
    </row>
    <row r="1034" spans="1:9">
      <c r="A1034" s="286">
        <v>47</v>
      </c>
      <c r="D1034" s="286" t="s">
        <v>663</v>
      </c>
      <c r="F1034" s="286" t="s">
        <v>605</v>
      </c>
      <c r="H1034" s="287">
        <v>613.44000000000005</v>
      </c>
      <c r="I1034" s="287">
        <v>18.89</v>
      </c>
    </row>
    <row r="1035" spans="1:9">
      <c r="A1035" s="286">
        <v>93</v>
      </c>
      <c r="B1035" s="344">
        <v>0.25</v>
      </c>
      <c r="D1035" s="286" t="s">
        <v>663</v>
      </c>
      <c r="F1035" s="286" t="s">
        <v>648</v>
      </c>
      <c r="G1035" s="286">
        <v>21</v>
      </c>
      <c r="H1035" s="287">
        <v>7520.2</v>
      </c>
      <c r="I1035" s="287">
        <v>376.01000000000005</v>
      </c>
    </row>
    <row r="1036" spans="1:9">
      <c r="A1036" s="286">
        <v>111</v>
      </c>
      <c r="B1036" s="344">
        <v>0.25</v>
      </c>
      <c r="D1036" s="286" t="s">
        <v>663</v>
      </c>
      <c r="F1036" s="286" t="s">
        <v>598</v>
      </c>
      <c r="G1036" s="286">
        <v>26</v>
      </c>
      <c r="H1036" s="287">
        <v>14040</v>
      </c>
      <c r="I1036" s="287">
        <v>520</v>
      </c>
    </row>
    <row r="1037" spans="1:9">
      <c r="A1037" s="286">
        <v>6</v>
      </c>
      <c r="B1037" s="344">
        <v>0.25</v>
      </c>
      <c r="D1037" s="286" t="s">
        <v>639</v>
      </c>
      <c r="F1037" s="286" t="s">
        <v>598</v>
      </c>
      <c r="G1037" s="286">
        <v>26</v>
      </c>
      <c r="H1037" s="290">
        <v>5982.0600000000013</v>
      </c>
      <c r="I1037" s="290">
        <v>208</v>
      </c>
    </row>
    <row r="1038" spans="1:9">
      <c r="A1038" s="286">
        <v>6</v>
      </c>
      <c r="B1038" s="348"/>
      <c r="D1038" s="286" t="s">
        <v>639</v>
      </c>
      <c r="F1038" s="286" t="s">
        <v>612</v>
      </c>
      <c r="H1038" s="290"/>
      <c r="I1038" s="290"/>
    </row>
    <row r="1039" spans="1:9">
      <c r="A1039" s="286">
        <v>10</v>
      </c>
      <c r="B1039" s="344">
        <v>0.25</v>
      </c>
      <c r="D1039" s="286" t="s">
        <v>639</v>
      </c>
      <c r="F1039" s="286" t="s">
        <v>598</v>
      </c>
      <c r="G1039" s="286">
        <v>26</v>
      </c>
      <c r="H1039" s="290">
        <v>667.99000000000024</v>
      </c>
      <c r="I1039" s="290">
        <v>88.40000000000002</v>
      </c>
    </row>
    <row r="1040" spans="1:9">
      <c r="A1040" s="286">
        <v>12</v>
      </c>
      <c r="B1040" s="344">
        <v>0.25</v>
      </c>
      <c r="D1040" s="286" t="s">
        <v>639</v>
      </c>
      <c r="F1040" s="286" t="s">
        <v>598</v>
      </c>
      <c r="G1040" s="286">
        <v>26</v>
      </c>
      <c r="H1040" s="290">
        <v>667.99000000000024</v>
      </c>
      <c r="I1040" s="290">
        <v>88.40000000000002</v>
      </c>
    </row>
    <row r="1041" spans="1:9">
      <c r="A1041" s="286">
        <v>16</v>
      </c>
      <c r="B1041" s="344">
        <v>0.25</v>
      </c>
      <c r="D1041" s="286" t="s">
        <v>639</v>
      </c>
      <c r="F1041" s="286" t="s">
        <v>598</v>
      </c>
      <c r="G1041" s="286">
        <v>26</v>
      </c>
      <c r="H1041" s="287">
        <v>12414.290000000005</v>
      </c>
      <c r="I1041" s="287">
        <v>260</v>
      </c>
    </row>
    <row r="1042" spans="1:9">
      <c r="A1042" s="286">
        <v>16</v>
      </c>
      <c r="B1042" s="348"/>
      <c r="D1042" s="286" t="s">
        <v>639</v>
      </c>
      <c r="F1042" s="286" t="s">
        <v>612</v>
      </c>
      <c r="H1042" s="287"/>
      <c r="I1042" s="287"/>
    </row>
    <row r="1043" spans="1:9">
      <c r="A1043" s="286">
        <v>30</v>
      </c>
      <c r="B1043" s="344">
        <v>0.25</v>
      </c>
      <c r="D1043" s="286" t="s">
        <v>639</v>
      </c>
      <c r="F1043" s="286" t="s">
        <v>598</v>
      </c>
      <c r="G1043" s="286">
        <v>26</v>
      </c>
      <c r="H1043" s="290">
        <v>667.99000000000024</v>
      </c>
      <c r="I1043" s="290">
        <v>88.40000000000002</v>
      </c>
    </row>
    <row r="1044" spans="1:9">
      <c r="A1044" s="286">
        <v>31</v>
      </c>
      <c r="B1044" s="344">
        <v>0.25</v>
      </c>
      <c r="D1044" s="286" t="s">
        <v>639</v>
      </c>
      <c r="F1044" s="286" t="s">
        <v>598</v>
      </c>
      <c r="G1044" s="286">
        <v>26</v>
      </c>
      <c r="H1044" s="290">
        <v>667.99000000000024</v>
      </c>
      <c r="I1044" s="290">
        <v>88.40000000000002</v>
      </c>
    </row>
    <row r="1045" spans="1:9">
      <c r="A1045" s="286">
        <v>35</v>
      </c>
      <c r="B1045" s="344">
        <v>0.25</v>
      </c>
      <c r="D1045" s="286" t="s">
        <v>639</v>
      </c>
      <c r="F1045" s="286" t="s">
        <v>598</v>
      </c>
      <c r="G1045" s="286">
        <v>26</v>
      </c>
      <c r="H1045" s="290">
        <v>667.99000000000024</v>
      </c>
      <c r="I1045" s="290">
        <v>88.40000000000002</v>
      </c>
    </row>
    <row r="1046" spans="1:9">
      <c r="A1046" s="286">
        <v>46</v>
      </c>
      <c r="B1046" s="344">
        <v>0.25</v>
      </c>
      <c r="D1046" s="286" t="s">
        <v>639</v>
      </c>
      <c r="F1046" s="286" t="s">
        <v>598</v>
      </c>
      <c r="G1046" s="286">
        <v>26</v>
      </c>
      <c r="H1046" s="290">
        <v>667.99000000000024</v>
      </c>
      <c r="I1046" s="290">
        <v>88.40000000000002</v>
      </c>
    </row>
    <row r="1047" spans="1:9">
      <c r="A1047" s="286">
        <v>89</v>
      </c>
      <c r="B1047" s="344">
        <v>0.25</v>
      </c>
      <c r="D1047" s="286" t="s">
        <v>639</v>
      </c>
      <c r="F1047" s="286" t="s">
        <v>598</v>
      </c>
      <c r="G1047" s="286">
        <v>26</v>
      </c>
      <c r="H1047" s="287">
        <v>667.99000000000024</v>
      </c>
      <c r="I1047" s="287">
        <v>88.40000000000002</v>
      </c>
    </row>
    <row r="1048" spans="1:9">
      <c r="A1048" s="286">
        <v>91</v>
      </c>
      <c r="B1048" s="344">
        <v>0.25</v>
      </c>
      <c r="D1048" s="286" t="s">
        <v>639</v>
      </c>
      <c r="F1048" s="286" t="s">
        <v>598</v>
      </c>
      <c r="G1048" s="286">
        <v>26</v>
      </c>
      <c r="H1048" s="287">
        <v>667.99000000000024</v>
      </c>
      <c r="I1048" s="287">
        <v>88.40000000000002</v>
      </c>
    </row>
    <row r="1049" spans="1:9">
      <c r="A1049" s="286">
        <v>123</v>
      </c>
      <c r="B1049" s="344">
        <v>0.25</v>
      </c>
      <c r="D1049" s="286" t="s">
        <v>639</v>
      </c>
      <c r="F1049" s="286" t="s">
        <v>598</v>
      </c>
      <c r="G1049" s="286">
        <v>26</v>
      </c>
      <c r="H1049" s="287">
        <v>667.99000000000024</v>
      </c>
      <c r="I1049" s="287">
        <v>88.40000000000002</v>
      </c>
    </row>
  </sheetData>
  <autoFilter ref="A9:I1049" xr:uid="{63A4171D-F133-4FCD-BA10-BE38A999BF35}"/>
  <mergeCells count="3">
    <mergeCell ref="A4:P4"/>
    <mergeCell ref="A5:P5"/>
    <mergeCell ref="A7:P7"/>
  </mergeCells>
  <pageMargins left="0.7" right="0.7" top="0.75" bottom="0.75" header="0.3" footer="0.3"/>
  <pageSetup scale="42" orientation="portrait" r:id="rId1"/>
  <colBreaks count="1" manualBreakCount="1">
    <brk id="16" max="104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B99F-A010-4904-9C6A-36A5271F223C}">
  <sheetPr>
    <tabColor rgb="FFFFFF00"/>
  </sheetPr>
  <dimension ref="A1:G82"/>
  <sheetViews>
    <sheetView view="pageBreakPreview" zoomScale="115" zoomScaleNormal="100" zoomScaleSheetLayoutView="115" workbookViewId="0">
      <selection sqref="A1:C7"/>
    </sheetView>
  </sheetViews>
  <sheetFormatPr defaultRowHeight="15.75"/>
  <cols>
    <col min="1" max="1" width="32.375" style="286" bestFit="1" customWidth="1"/>
    <col min="2" max="2" width="16.125" style="290" bestFit="1" customWidth="1"/>
    <col min="3" max="3" width="10" style="290" bestFit="1" customWidth="1"/>
  </cols>
  <sheetData>
    <row r="1" spans="1:7" s="2" customFormat="1">
      <c r="C1" s="26" t="str">
        <f>'Cover Page'!A3</f>
        <v>OUCC Attachment CFS-1</v>
      </c>
    </row>
    <row r="2" spans="1:7" s="2" customFormat="1">
      <c r="C2" s="26" t="str">
        <f>"Workpaper "&amp;+Inputs!C11&amp;"-6"</f>
        <v>Workpaper CFS-6</v>
      </c>
    </row>
    <row r="3" spans="1:7" s="2" customFormat="1">
      <c r="C3" s="443" t="s">
        <v>144</v>
      </c>
    </row>
    <row r="4" spans="1:7" s="3" customFormat="1" ht="20.25">
      <c r="A4" s="453" t="str">
        <f>+Inputs!$C$5</f>
        <v>City of Anderson</v>
      </c>
      <c r="B4" s="453"/>
      <c r="C4" s="453"/>
      <c r="D4" s="9"/>
      <c r="E4" s="9"/>
      <c r="F4" s="9"/>
      <c r="G4" s="9"/>
    </row>
    <row r="5" spans="1:7" s="4" customFormat="1" ht="18.75">
      <c r="A5" s="454" t="str">
        <f>"CAUSE NUMBER "&amp;Inputs!$C$6</f>
        <v>CAUSE NUMBER 46171</v>
      </c>
      <c r="B5" s="454"/>
      <c r="C5" s="454"/>
      <c r="D5" s="10"/>
      <c r="E5" s="10"/>
      <c r="F5" s="10"/>
      <c r="G5" s="10"/>
    </row>
    <row r="6" spans="1:7" s="2" customFormat="1"/>
    <row r="7" spans="1:7" s="2" customFormat="1">
      <c r="A7" s="452" t="s">
        <v>872</v>
      </c>
      <c r="B7" s="452"/>
      <c r="C7" s="452"/>
      <c r="D7" s="33"/>
      <c r="E7" s="33"/>
      <c r="F7" s="33"/>
      <c r="G7" s="33"/>
    </row>
    <row r="8" spans="1:7" s="2" customFormat="1">
      <c r="A8" s="33"/>
      <c r="B8" s="33"/>
      <c r="C8" s="33"/>
      <c r="D8" s="33"/>
      <c r="E8" s="33"/>
      <c r="F8" s="33"/>
      <c r="G8" s="33"/>
    </row>
    <row r="9" spans="1:7">
      <c r="A9" s="286" t="s">
        <v>873</v>
      </c>
      <c r="B9" s="290" t="s">
        <v>874</v>
      </c>
      <c r="C9" s="290" t="s">
        <v>728</v>
      </c>
    </row>
    <row r="10" spans="1:7">
      <c r="A10" s="286" t="s">
        <v>598</v>
      </c>
      <c r="B10" s="290">
        <v>1125779.8500000001</v>
      </c>
      <c r="C10" s="290">
        <v>42584.349999999991</v>
      </c>
    </row>
    <row r="11" spans="1:7">
      <c r="A11" s="286" t="s">
        <v>621</v>
      </c>
      <c r="B11" s="290">
        <v>1076219.79</v>
      </c>
      <c r="C11" s="290">
        <v>39897.990000000005</v>
      </c>
    </row>
    <row r="12" spans="1:7">
      <c r="A12" s="286" t="s">
        <v>648</v>
      </c>
      <c r="B12" s="290">
        <v>42063.280000000006</v>
      </c>
      <c r="C12" s="290">
        <v>2826.2200000000003</v>
      </c>
    </row>
    <row r="13" spans="1:7">
      <c r="A13" s="286" t="s">
        <v>622</v>
      </c>
      <c r="B13" s="290">
        <v>46970.30000000001</v>
      </c>
      <c r="C13" s="290">
        <v>1774.8</v>
      </c>
    </row>
    <row r="14" spans="1:7">
      <c r="A14" s="286" t="s">
        <v>645</v>
      </c>
      <c r="B14" s="290">
        <v>2008.4999999999998</v>
      </c>
      <c r="C14" s="290">
        <v>99</v>
      </c>
    </row>
    <row r="15" spans="1:7">
      <c r="A15" s="286" t="s">
        <v>675</v>
      </c>
      <c r="B15" s="290">
        <v>60.24</v>
      </c>
      <c r="C15" s="290">
        <v>2.2000000000000002</v>
      </c>
    </row>
    <row r="16" spans="1:7">
      <c r="A16" s="286" t="s">
        <v>605</v>
      </c>
      <c r="B16" s="290">
        <v>88164.67</v>
      </c>
      <c r="C16" s="290">
        <v>3260.690000000001</v>
      </c>
    </row>
    <row r="17" spans="1:3">
      <c r="A17" s="286" t="s">
        <v>600</v>
      </c>
      <c r="B17" s="290">
        <v>1850.3200000000002</v>
      </c>
      <c r="C17" s="290">
        <v>51</v>
      </c>
    </row>
    <row r="18" spans="1:3">
      <c r="A18" s="286" t="s">
        <v>627</v>
      </c>
      <c r="B18" s="290">
        <v>104172.04999999999</v>
      </c>
      <c r="C18" s="290">
        <v>3877.9</v>
      </c>
    </row>
    <row r="19" spans="1:3">
      <c r="A19" s="286" t="s">
        <v>664</v>
      </c>
      <c r="B19" s="290">
        <v>7294.62</v>
      </c>
      <c r="C19" s="290">
        <v>240.45</v>
      </c>
    </row>
    <row r="20" spans="1:3">
      <c r="A20" s="286" t="s">
        <v>608</v>
      </c>
      <c r="B20" s="290">
        <v>48041.94000000001</v>
      </c>
      <c r="C20" s="290">
        <v>1959.5800000000006</v>
      </c>
    </row>
    <row r="21" spans="1:3">
      <c r="A21" s="286" t="s">
        <v>875</v>
      </c>
      <c r="B21" s="290">
        <v>158.66999999999999</v>
      </c>
      <c r="C21" s="290">
        <v>10</v>
      </c>
    </row>
    <row r="22" spans="1:3">
      <c r="A22" s="286" t="s">
        <v>876</v>
      </c>
      <c r="B22" s="290">
        <v>790.31</v>
      </c>
      <c r="C22" s="290">
        <v>22.5</v>
      </c>
    </row>
    <row r="23" spans="1:3">
      <c r="A23" s="286" t="s">
        <v>652</v>
      </c>
      <c r="B23" s="290">
        <v>11.9</v>
      </c>
      <c r="C23" s="290">
        <v>0.75</v>
      </c>
    </row>
    <row r="24" spans="1:3">
      <c r="A24" s="286" t="s">
        <v>630</v>
      </c>
      <c r="B24" s="290">
        <v>83479.670000000013</v>
      </c>
      <c r="C24" s="290">
        <v>3121.16</v>
      </c>
    </row>
    <row r="25" spans="1:3">
      <c r="A25" s="286" t="s">
        <v>665</v>
      </c>
      <c r="B25" s="290">
        <v>11366.71</v>
      </c>
      <c r="C25" s="290">
        <v>379.2</v>
      </c>
    </row>
    <row r="26" spans="1:3">
      <c r="A26" s="286" t="s">
        <v>631</v>
      </c>
      <c r="B26" s="290">
        <v>281.33999999999997</v>
      </c>
      <c r="C26" s="290">
        <v>10.4</v>
      </c>
    </row>
    <row r="27" spans="1:3">
      <c r="A27" s="286" t="s">
        <v>683</v>
      </c>
      <c r="B27" s="290">
        <v>121.4</v>
      </c>
      <c r="C27" s="290">
        <v>4.7</v>
      </c>
    </row>
    <row r="28" spans="1:3">
      <c r="A28" s="286" t="s">
        <v>633</v>
      </c>
      <c r="B28" s="290">
        <v>75821.999999999985</v>
      </c>
      <c r="C28" s="290">
        <v>2824</v>
      </c>
    </row>
    <row r="29" spans="1:3">
      <c r="A29" s="286" t="s">
        <v>877</v>
      </c>
      <c r="B29" s="290">
        <v>620.24</v>
      </c>
      <c r="C29" s="290">
        <v>24</v>
      </c>
    </row>
    <row r="30" spans="1:3">
      <c r="A30" s="286" t="s">
        <v>646</v>
      </c>
      <c r="B30" s="290">
        <v>681.6</v>
      </c>
      <c r="C30" s="290">
        <v>39.5</v>
      </c>
    </row>
    <row r="31" spans="1:3">
      <c r="A31" s="286" t="s">
        <v>878</v>
      </c>
      <c r="B31" s="290">
        <v>1090.73</v>
      </c>
      <c r="C31" s="290">
        <v>48</v>
      </c>
    </row>
    <row r="32" spans="1:3">
      <c r="A32" s="286" t="s">
        <v>680</v>
      </c>
      <c r="B32" s="290">
        <v>1656.65</v>
      </c>
      <c r="C32" s="290">
        <v>72.23</v>
      </c>
    </row>
    <row r="33" spans="1:3">
      <c r="A33" s="286" t="s">
        <v>681</v>
      </c>
      <c r="B33" s="290">
        <v>1595.69</v>
      </c>
      <c r="C33" s="290">
        <v>72.83</v>
      </c>
    </row>
    <row r="34" spans="1:3">
      <c r="A34" s="286" t="s">
        <v>879</v>
      </c>
      <c r="B34" s="290">
        <v>0</v>
      </c>
      <c r="C34" s="290">
        <v>8</v>
      </c>
    </row>
    <row r="35" spans="1:3">
      <c r="A35" s="286" t="s">
        <v>610</v>
      </c>
      <c r="B35" s="290">
        <v>14093.950000000003</v>
      </c>
      <c r="C35" s="290">
        <v>535.96999999999991</v>
      </c>
    </row>
    <row r="36" spans="1:3">
      <c r="A36" s="286" t="s">
        <v>634</v>
      </c>
      <c r="B36" s="290">
        <v>16166.720000000001</v>
      </c>
      <c r="C36" s="290">
        <v>610.40000000000009</v>
      </c>
    </row>
    <row r="37" spans="1:3">
      <c r="A37" s="286" t="s">
        <v>880</v>
      </c>
      <c r="B37" s="290">
        <v>103.64</v>
      </c>
      <c r="C37" s="290">
        <v>4</v>
      </c>
    </row>
    <row r="38" spans="1:3">
      <c r="A38" s="286" t="s">
        <v>638</v>
      </c>
      <c r="B38" s="290">
        <v>3740.6899999999996</v>
      </c>
      <c r="C38" s="290">
        <v>147.5</v>
      </c>
    </row>
    <row r="39" spans="1:3">
      <c r="A39" s="286" t="s">
        <v>635</v>
      </c>
      <c r="B39" s="290">
        <v>2329.2399999999998</v>
      </c>
      <c r="C39" s="290">
        <v>90</v>
      </c>
    </row>
    <row r="40" spans="1:3">
      <c r="A40" s="286" t="s">
        <v>641</v>
      </c>
      <c r="B40" s="290">
        <v>0</v>
      </c>
      <c r="C40" s="290">
        <v>155.25</v>
      </c>
    </row>
    <row r="41" spans="1:3">
      <c r="A41" s="286" t="s">
        <v>642</v>
      </c>
      <c r="B41" s="290">
        <v>2103.6600000000003</v>
      </c>
      <c r="C41" s="290">
        <v>90.63</v>
      </c>
    </row>
    <row r="42" spans="1:3">
      <c r="A42" s="286" t="s">
        <v>881</v>
      </c>
      <c r="B42" s="290">
        <v>1425.34</v>
      </c>
      <c r="C42" s="290">
        <v>54.300000000000004</v>
      </c>
    </row>
    <row r="43" spans="1:3">
      <c r="A43" s="286" t="s">
        <v>655</v>
      </c>
      <c r="B43" s="290">
        <v>933.44</v>
      </c>
      <c r="C43" s="290">
        <v>18</v>
      </c>
    </row>
    <row r="44" spans="1:3">
      <c r="A44" s="286" t="s">
        <v>660</v>
      </c>
      <c r="B44" s="290">
        <v>1713.12</v>
      </c>
      <c r="C44" s="290">
        <v>56.629999999999995</v>
      </c>
    </row>
    <row r="45" spans="1:3">
      <c r="A45" s="286" t="s">
        <v>636</v>
      </c>
      <c r="B45" s="290">
        <v>6843.3399999999992</v>
      </c>
      <c r="C45" s="290">
        <v>0</v>
      </c>
    </row>
    <row r="46" spans="1:3">
      <c r="A46" s="286" t="s">
        <v>649</v>
      </c>
      <c r="B46" s="290">
        <v>-538.47</v>
      </c>
      <c r="C46" s="290">
        <v>-33.94</v>
      </c>
    </row>
    <row r="47" spans="1:3">
      <c r="A47" s="286" t="s">
        <v>669</v>
      </c>
      <c r="B47" s="290">
        <v>5293.6800000000021</v>
      </c>
      <c r="C47" s="290">
        <v>267.37</v>
      </c>
    </row>
    <row r="48" spans="1:3">
      <c r="A48" s="286" t="s">
        <v>666</v>
      </c>
      <c r="B48" s="290">
        <v>-63.47</v>
      </c>
      <c r="C48" s="290">
        <v>-4</v>
      </c>
    </row>
    <row r="49" spans="1:3">
      <c r="A49" s="286" t="s">
        <v>643</v>
      </c>
      <c r="B49" s="290">
        <v>-475.16</v>
      </c>
      <c r="C49" s="290">
        <v>-29.979999999999997</v>
      </c>
    </row>
    <row r="50" spans="1:3">
      <c r="A50" s="286" t="s">
        <v>671</v>
      </c>
      <c r="B50" s="332">
        <v>-806.22</v>
      </c>
      <c r="C50" s="332">
        <v>-50.81</v>
      </c>
    </row>
    <row r="51" spans="1:3" ht="6" customHeight="1"/>
    <row r="52" spans="1:3">
      <c r="A52" s="335" t="s">
        <v>882</v>
      </c>
      <c r="B52" s="334">
        <f>SUM(B10:B51)</f>
        <v>2773165.9699999993</v>
      </c>
      <c r="C52" s="334">
        <f>SUM(C10:C51)</f>
        <v>105122.76999999999</v>
      </c>
    </row>
    <row r="54" spans="1:3">
      <c r="A54" s="286" t="s">
        <v>599</v>
      </c>
      <c r="B54" s="290">
        <v>199639.26000000004</v>
      </c>
      <c r="C54" s="290">
        <v>5247.39</v>
      </c>
    </row>
    <row r="55" spans="1:3">
      <c r="A55" s="286" t="s">
        <v>601</v>
      </c>
      <c r="B55" s="290">
        <v>231516.40999999997</v>
      </c>
      <c r="C55" s="290">
        <v>3949.42</v>
      </c>
    </row>
    <row r="56" spans="1:3">
      <c r="A56" s="286" t="s">
        <v>603</v>
      </c>
      <c r="B56" s="290">
        <v>18053.390000000003</v>
      </c>
      <c r="C56" s="290">
        <v>400.40000000000003</v>
      </c>
    </row>
    <row r="57" spans="1:3">
      <c r="A57" s="286" t="s">
        <v>606</v>
      </c>
      <c r="B57" s="332">
        <v>15467.53</v>
      </c>
      <c r="C57" s="332">
        <v>238</v>
      </c>
    </row>
    <row r="58" spans="1:3" ht="6" customHeight="1"/>
    <row r="59" spans="1:3">
      <c r="A59" s="335" t="s">
        <v>595</v>
      </c>
      <c r="B59" s="334">
        <f>SUM(B54:B58)</f>
        <v>464676.59000000008</v>
      </c>
      <c r="C59" s="334">
        <f>SUM(C54:C58)</f>
        <v>9835.2100000000009</v>
      </c>
    </row>
    <row r="61" spans="1:3">
      <c r="A61" s="286" t="s">
        <v>602</v>
      </c>
      <c r="B61" s="290">
        <v>3711.92</v>
      </c>
      <c r="C61" s="290">
        <v>143.42000000000002</v>
      </c>
    </row>
    <row r="62" spans="1:3">
      <c r="A62" s="286" t="s">
        <v>604</v>
      </c>
      <c r="B62" s="290">
        <v>3422.1800000000003</v>
      </c>
      <c r="C62" s="290">
        <v>125</v>
      </c>
    </row>
    <row r="63" spans="1:3">
      <c r="A63" s="286" t="s">
        <v>607</v>
      </c>
      <c r="B63" s="290">
        <v>6400</v>
      </c>
      <c r="C63" s="290">
        <v>0</v>
      </c>
    </row>
    <row r="64" spans="1:3">
      <c r="A64" s="286" t="s">
        <v>609</v>
      </c>
      <c r="B64" s="290">
        <v>6240</v>
      </c>
      <c r="C64" s="290">
        <v>0</v>
      </c>
    </row>
    <row r="65" spans="1:3">
      <c r="A65" s="286" t="s">
        <v>611</v>
      </c>
      <c r="B65" s="290">
        <v>5733.25</v>
      </c>
      <c r="C65" s="290">
        <v>226</v>
      </c>
    </row>
    <row r="66" spans="1:3">
      <c r="A66" s="286" t="s">
        <v>612</v>
      </c>
      <c r="B66" s="290">
        <v>614.25</v>
      </c>
      <c r="C66" s="290">
        <v>0</v>
      </c>
    </row>
    <row r="67" spans="1:3">
      <c r="A67" s="286" t="s">
        <v>615</v>
      </c>
      <c r="B67" s="290">
        <v>370</v>
      </c>
      <c r="C67" s="290">
        <v>0</v>
      </c>
    </row>
    <row r="68" spans="1:3">
      <c r="A68" s="286" t="s">
        <v>617</v>
      </c>
      <c r="B68" s="290">
        <v>260</v>
      </c>
      <c r="C68" s="290">
        <v>0</v>
      </c>
    </row>
    <row r="69" spans="1:3">
      <c r="A69" s="286" t="s">
        <v>613</v>
      </c>
      <c r="B69" s="290">
        <v>375.02</v>
      </c>
      <c r="C69" s="290">
        <v>0</v>
      </c>
    </row>
    <row r="70" spans="1:3">
      <c r="A70" s="286" t="s">
        <v>614</v>
      </c>
      <c r="B70" s="290">
        <v>2218.7600000000002</v>
      </c>
      <c r="C70" s="290">
        <v>0</v>
      </c>
    </row>
    <row r="71" spans="1:3">
      <c r="A71" s="286" t="s">
        <v>623</v>
      </c>
      <c r="B71" s="290">
        <v>7950</v>
      </c>
      <c r="C71" s="290">
        <v>0</v>
      </c>
    </row>
    <row r="72" spans="1:3">
      <c r="A72" s="286" t="s">
        <v>624</v>
      </c>
      <c r="B72" s="290">
        <v>22266.25</v>
      </c>
      <c r="C72" s="290">
        <v>0</v>
      </c>
    </row>
    <row r="73" spans="1:3">
      <c r="A73" s="286" t="s">
        <v>625</v>
      </c>
      <c r="B73" s="290">
        <v>104625</v>
      </c>
      <c r="C73" s="290">
        <v>0</v>
      </c>
    </row>
    <row r="74" spans="1:3">
      <c r="A74" s="286" t="s">
        <v>626</v>
      </c>
      <c r="B74" s="290">
        <v>4154.55</v>
      </c>
      <c r="C74" s="290">
        <v>0</v>
      </c>
    </row>
    <row r="75" spans="1:3">
      <c r="A75" s="286" t="s">
        <v>616</v>
      </c>
      <c r="B75" s="290">
        <v>32871.879999999997</v>
      </c>
      <c r="C75" s="290">
        <v>0</v>
      </c>
    </row>
    <row r="76" spans="1:3">
      <c r="A76" s="286" t="s">
        <v>629</v>
      </c>
      <c r="B76" s="290">
        <v>117375</v>
      </c>
      <c r="C76" s="290">
        <v>0</v>
      </c>
    </row>
    <row r="77" spans="1:3">
      <c r="A77" s="286" t="s">
        <v>618</v>
      </c>
      <c r="B77" s="290">
        <v>862.5</v>
      </c>
      <c r="C77" s="290">
        <v>0</v>
      </c>
    </row>
    <row r="78" spans="1:3">
      <c r="A78" s="286" t="s">
        <v>632</v>
      </c>
      <c r="B78" s="332">
        <v>338.36</v>
      </c>
      <c r="C78" s="332">
        <v>0</v>
      </c>
    </row>
    <row r="79" spans="1:3" ht="6" customHeight="1"/>
    <row r="80" spans="1:3">
      <c r="A80" s="335" t="s">
        <v>596</v>
      </c>
      <c r="B80" s="334">
        <f>SUM(B61:B79)</f>
        <v>319788.92</v>
      </c>
      <c r="C80" s="334">
        <f>SUM(C61:C79)</f>
        <v>494.42</v>
      </c>
    </row>
    <row r="82" spans="1:3">
      <c r="A82" s="333" t="s">
        <v>465</v>
      </c>
      <c r="B82" s="334">
        <f>B80+B59+B52</f>
        <v>3557631.4799999995</v>
      </c>
      <c r="C82" s="334">
        <f>C80+C59+C52</f>
        <v>115452.4</v>
      </c>
    </row>
  </sheetData>
  <mergeCells count="3">
    <mergeCell ref="A4:C4"/>
    <mergeCell ref="A7:C7"/>
    <mergeCell ref="A5:C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0367-3976-426E-AB17-3CC444DE7E7A}">
  <sheetPr>
    <tabColor rgb="FFFFFF00"/>
  </sheetPr>
  <dimension ref="A1:Q41"/>
  <sheetViews>
    <sheetView view="pageBreakPreview" topLeftCell="B1" zoomScaleNormal="100" zoomScaleSheetLayoutView="100" workbookViewId="0">
      <selection activeCell="E16" sqref="E16"/>
    </sheetView>
  </sheetViews>
  <sheetFormatPr defaultRowHeight="15.75"/>
  <cols>
    <col min="2" max="3" width="11.125" bestFit="1" customWidth="1"/>
    <col min="4" max="4" width="10.125" bestFit="1" customWidth="1"/>
    <col min="12" max="12" width="18.625" bestFit="1" customWidth="1"/>
    <col min="14" max="14" width="9" customWidth="1"/>
    <col min="15" max="15" width="11.125" bestFit="1" customWidth="1"/>
  </cols>
  <sheetData>
    <row r="1" spans="1:17">
      <c r="A1" s="2"/>
      <c r="B1" s="2"/>
      <c r="Q1" s="26" t="str">
        <f>'Cover Page'!A3</f>
        <v>OUCC Attachment CFS-1</v>
      </c>
    </row>
    <row r="2" spans="1:17">
      <c r="A2" s="2"/>
      <c r="B2" s="2"/>
      <c r="Q2" s="26" t="str">
        <f>"Workpaper "&amp;+Inputs!C11&amp;"-6"</f>
        <v>Workpaper CFS-6</v>
      </c>
    </row>
    <row r="3" spans="1:17">
      <c r="A3" s="2"/>
      <c r="B3" s="2"/>
      <c r="Q3" s="443" t="s">
        <v>295</v>
      </c>
    </row>
    <row r="4" spans="1:17" ht="20.25">
      <c r="A4" s="453" t="str">
        <f>+Inputs!$C$5</f>
        <v>City of Anderson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</row>
    <row r="5" spans="1:17" ht="18.75">
      <c r="A5" s="454" t="str">
        <f>"CAUSE NUMBER "&amp;Inputs!$C$6</f>
        <v>CAUSE NUMBER 46171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</row>
    <row r="6" spans="1:17">
      <c r="A6" s="2"/>
      <c r="B6" s="2"/>
      <c r="C6" s="2"/>
    </row>
    <row r="7" spans="1:17">
      <c r="A7" s="452" t="s">
        <v>883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</row>
    <row r="9" spans="1:17">
      <c r="A9" s="225" t="s">
        <v>884</v>
      </c>
      <c r="B9" s="225" t="s">
        <v>885</v>
      </c>
      <c r="C9" s="225" t="s">
        <v>886</v>
      </c>
      <c r="D9" s="225" t="s">
        <v>887</v>
      </c>
      <c r="E9" s="225" t="s">
        <v>888</v>
      </c>
      <c r="F9" s="225" t="s">
        <v>889</v>
      </c>
      <c r="G9" s="225" t="s">
        <v>890</v>
      </c>
      <c r="H9" s="225" t="s">
        <v>891</v>
      </c>
      <c r="I9" s="225" t="s">
        <v>892</v>
      </c>
      <c r="J9" s="225" t="s">
        <v>893</v>
      </c>
      <c r="K9" s="225" t="s">
        <v>894</v>
      </c>
      <c r="L9" s="225" t="s">
        <v>895</v>
      </c>
      <c r="M9" s="225" t="s">
        <v>896</v>
      </c>
      <c r="N9" s="225" t="s">
        <v>896</v>
      </c>
      <c r="O9" s="226" t="s">
        <v>897</v>
      </c>
    </row>
    <row r="10" spans="1:17">
      <c r="A10" s="227">
        <v>563620</v>
      </c>
      <c r="B10" s="227" t="s">
        <v>528</v>
      </c>
      <c r="C10" s="227" t="s">
        <v>898</v>
      </c>
      <c r="D10" s="227">
        <v>23</v>
      </c>
      <c r="E10" s="227" t="s">
        <v>899</v>
      </c>
      <c r="F10" s="227" t="s">
        <v>900</v>
      </c>
      <c r="G10" s="227" t="s">
        <v>901</v>
      </c>
      <c r="H10" s="227" t="s">
        <v>902</v>
      </c>
      <c r="I10" s="227" t="s">
        <v>903</v>
      </c>
      <c r="J10" s="227" t="s">
        <v>904</v>
      </c>
      <c r="K10" s="227" t="s">
        <v>905</v>
      </c>
      <c r="L10" s="280" t="s">
        <v>906</v>
      </c>
      <c r="M10" s="227" t="s">
        <v>907</v>
      </c>
      <c r="N10" s="227" t="s">
        <v>907</v>
      </c>
      <c r="O10" s="249">
        <v>24069.29</v>
      </c>
      <c r="P10" s="227" t="s">
        <v>908</v>
      </c>
    </row>
    <row r="11" spans="1:17">
      <c r="A11" s="227">
        <v>563620</v>
      </c>
      <c r="B11" s="227" t="s">
        <v>528</v>
      </c>
      <c r="C11" s="227" t="s">
        <v>909</v>
      </c>
      <c r="D11" s="227">
        <v>23</v>
      </c>
      <c r="E11" s="227" t="s">
        <v>910</v>
      </c>
      <c r="F11" s="227" t="s">
        <v>911</v>
      </c>
      <c r="G11" s="227" t="s">
        <v>901</v>
      </c>
      <c r="H11" s="227" t="s">
        <v>902</v>
      </c>
      <c r="I11" s="227" t="s">
        <v>912</v>
      </c>
      <c r="J11" s="227" t="s">
        <v>913</v>
      </c>
      <c r="K11" s="227" t="s">
        <v>914</v>
      </c>
      <c r="L11" s="280" t="s">
        <v>915</v>
      </c>
      <c r="M11" s="227" t="s">
        <v>907</v>
      </c>
      <c r="N11" s="227" t="s">
        <v>907</v>
      </c>
      <c r="O11" s="249">
        <v>24069.29</v>
      </c>
      <c r="P11" s="227" t="s">
        <v>908</v>
      </c>
      <c r="Q11" s="248">
        <v>44927</v>
      </c>
    </row>
    <row r="12" spans="1:17">
      <c r="A12" s="227">
        <v>563620</v>
      </c>
      <c r="B12" s="227" t="s">
        <v>528</v>
      </c>
      <c r="C12" s="227" t="s">
        <v>916</v>
      </c>
      <c r="D12" s="227">
        <v>23</v>
      </c>
      <c r="E12" s="227" t="s">
        <v>917</v>
      </c>
      <c r="F12" s="227" t="s">
        <v>918</v>
      </c>
      <c r="G12" s="227" t="s">
        <v>901</v>
      </c>
      <c r="H12" s="227" t="s">
        <v>902</v>
      </c>
      <c r="I12" s="227" t="s">
        <v>919</v>
      </c>
      <c r="J12" s="227" t="s">
        <v>920</v>
      </c>
      <c r="K12" s="227" t="s">
        <v>921</v>
      </c>
      <c r="L12" s="227" t="s">
        <v>922</v>
      </c>
      <c r="M12" s="227" t="s">
        <v>907</v>
      </c>
      <c r="N12" s="227" t="s">
        <v>907</v>
      </c>
      <c r="O12" s="249">
        <v>24069.29</v>
      </c>
      <c r="Q12" s="248">
        <v>44958</v>
      </c>
    </row>
    <row r="13" spans="1:17">
      <c r="A13" s="227">
        <v>563620</v>
      </c>
      <c r="B13" s="227" t="s">
        <v>528</v>
      </c>
      <c r="C13" s="227" t="s">
        <v>916</v>
      </c>
      <c r="D13" s="227">
        <v>23</v>
      </c>
      <c r="E13" s="227" t="s">
        <v>923</v>
      </c>
      <c r="F13" s="227" t="s">
        <v>924</v>
      </c>
      <c r="G13" s="227" t="s">
        <v>901</v>
      </c>
      <c r="H13" s="227" t="s">
        <v>902</v>
      </c>
      <c r="I13" s="227" t="s">
        <v>925</v>
      </c>
      <c r="J13" s="227" t="s">
        <v>926</v>
      </c>
      <c r="K13" s="227" t="s">
        <v>927</v>
      </c>
      <c r="L13" s="280" t="s">
        <v>915</v>
      </c>
      <c r="M13" s="227" t="s">
        <v>907</v>
      </c>
      <c r="N13" s="227" t="s">
        <v>907</v>
      </c>
      <c r="O13" s="249">
        <v>3707.99</v>
      </c>
      <c r="P13" s="227" t="s">
        <v>908</v>
      </c>
      <c r="Q13" s="248">
        <v>44866</v>
      </c>
    </row>
    <row r="14" spans="1:17">
      <c r="A14" s="227">
        <v>563620</v>
      </c>
      <c r="B14" s="227" t="s">
        <v>528</v>
      </c>
      <c r="C14" s="227" t="s">
        <v>916</v>
      </c>
      <c r="D14" s="227">
        <v>23</v>
      </c>
      <c r="E14" s="227" t="s">
        <v>923</v>
      </c>
      <c r="F14" s="227" t="s">
        <v>924</v>
      </c>
      <c r="G14" s="227" t="s">
        <v>901</v>
      </c>
      <c r="H14" s="227" t="s">
        <v>902</v>
      </c>
      <c r="I14" s="227" t="s">
        <v>925</v>
      </c>
      <c r="J14" s="227" t="s">
        <v>928</v>
      </c>
      <c r="K14" s="227" t="s">
        <v>927</v>
      </c>
      <c r="L14" s="280" t="s">
        <v>915</v>
      </c>
      <c r="M14" s="227" t="s">
        <v>907</v>
      </c>
      <c r="N14" s="227" t="s">
        <v>907</v>
      </c>
      <c r="O14" s="249">
        <v>5000</v>
      </c>
      <c r="P14" s="227" t="s">
        <v>908</v>
      </c>
      <c r="Q14" s="248">
        <v>44866</v>
      </c>
    </row>
    <row r="15" spans="1:17">
      <c r="A15" s="227">
        <v>563620</v>
      </c>
      <c r="B15" s="227" t="s">
        <v>528</v>
      </c>
      <c r="C15" s="227" t="s">
        <v>916</v>
      </c>
      <c r="D15" s="227">
        <v>23</v>
      </c>
      <c r="E15" s="227" t="s">
        <v>923</v>
      </c>
      <c r="F15" s="227" t="s">
        <v>924</v>
      </c>
      <c r="G15" s="227" t="s">
        <v>901</v>
      </c>
      <c r="H15" s="227" t="s">
        <v>902</v>
      </c>
      <c r="I15" s="227" t="s">
        <v>925</v>
      </c>
      <c r="J15" s="227" t="s">
        <v>929</v>
      </c>
      <c r="K15" s="227" t="s">
        <v>927</v>
      </c>
      <c r="L15" s="280" t="s">
        <v>915</v>
      </c>
      <c r="M15" s="227" t="s">
        <v>907</v>
      </c>
      <c r="N15" s="227" t="s">
        <v>907</v>
      </c>
      <c r="O15" s="249">
        <v>6202.16</v>
      </c>
      <c r="P15" s="227" t="s">
        <v>908</v>
      </c>
      <c r="Q15" s="248">
        <v>44866</v>
      </c>
    </row>
    <row r="16" spans="1:17">
      <c r="A16" s="227">
        <v>563620</v>
      </c>
      <c r="B16" s="227" t="s">
        <v>528</v>
      </c>
      <c r="C16" s="227" t="s">
        <v>916</v>
      </c>
      <c r="D16" s="227">
        <v>23</v>
      </c>
      <c r="E16" s="227" t="s">
        <v>923</v>
      </c>
      <c r="F16" s="227" t="s">
        <v>924</v>
      </c>
      <c r="G16" s="227" t="s">
        <v>901</v>
      </c>
      <c r="H16" s="227" t="s">
        <v>902</v>
      </c>
      <c r="I16" s="227" t="s">
        <v>925</v>
      </c>
      <c r="J16" s="227" t="s">
        <v>930</v>
      </c>
      <c r="K16" s="227" t="s">
        <v>927</v>
      </c>
      <c r="L16" s="280" t="s">
        <v>915</v>
      </c>
      <c r="M16" s="227" t="s">
        <v>907</v>
      </c>
      <c r="N16" s="227" t="s">
        <v>907</v>
      </c>
      <c r="O16" s="249">
        <v>4148.99</v>
      </c>
      <c r="P16" s="227" t="s">
        <v>908</v>
      </c>
      <c r="Q16" s="248">
        <v>44866</v>
      </c>
    </row>
    <row r="17" spans="1:17">
      <c r="A17" s="227">
        <v>563620</v>
      </c>
      <c r="B17" s="227" t="s">
        <v>528</v>
      </c>
      <c r="C17" s="227" t="s">
        <v>916</v>
      </c>
      <c r="D17" s="227">
        <v>23</v>
      </c>
      <c r="E17" s="227" t="s">
        <v>923</v>
      </c>
      <c r="F17" s="227" t="s">
        <v>924</v>
      </c>
      <c r="G17" s="227" t="s">
        <v>901</v>
      </c>
      <c r="H17" s="227" t="s">
        <v>902</v>
      </c>
      <c r="I17" s="227" t="s">
        <v>925</v>
      </c>
      <c r="J17" s="227" t="s">
        <v>931</v>
      </c>
      <c r="K17" s="227" t="s">
        <v>927</v>
      </c>
      <c r="L17" s="280" t="s">
        <v>915</v>
      </c>
      <c r="M17" s="227" t="s">
        <v>907</v>
      </c>
      <c r="N17" s="227" t="s">
        <v>907</v>
      </c>
      <c r="O17" s="249">
        <v>4713.08</v>
      </c>
      <c r="P17" s="227" t="s">
        <v>908</v>
      </c>
      <c r="Q17" s="248">
        <v>44866</v>
      </c>
    </row>
    <row r="18" spans="1:17">
      <c r="A18" s="227">
        <v>563620</v>
      </c>
      <c r="B18" s="227" t="s">
        <v>528</v>
      </c>
      <c r="C18" s="227" t="s">
        <v>916</v>
      </c>
      <c r="D18" s="227">
        <v>23</v>
      </c>
      <c r="E18" s="227" t="s">
        <v>923</v>
      </c>
      <c r="F18" s="227" t="s">
        <v>924</v>
      </c>
      <c r="G18" s="227" t="s">
        <v>901</v>
      </c>
      <c r="H18" s="227" t="s">
        <v>902</v>
      </c>
      <c r="I18" s="227" t="s">
        <v>925</v>
      </c>
      <c r="J18" s="227" t="s">
        <v>932</v>
      </c>
      <c r="K18" s="227" t="s">
        <v>927</v>
      </c>
      <c r="L18" s="280" t="s">
        <v>915</v>
      </c>
      <c r="M18" s="227" t="s">
        <v>907</v>
      </c>
      <c r="N18" s="227" t="s">
        <v>907</v>
      </c>
      <c r="O18" s="249">
        <v>133.66</v>
      </c>
      <c r="P18" s="227" t="s">
        <v>908</v>
      </c>
      <c r="Q18" s="248"/>
    </row>
    <row r="19" spans="1:17">
      <c r="A19" s="227">
        <v>563620</v>
      </c>
      <c r="B19" s="227" t="s">
        <v>528</v>
      </c>
      <c r="C19" s="227" t="s">
        <v>916</v>
      </c>
      <c r="D19" s="227">
        <v>23</v>
      </c>
      <c r="E19" s="227" t="s">
        <v>923</v>
      </c>
      <c r="F19" s="227" t="s">
        <v>924</v>
      </c>
      <c r="G19" s="227" t="s">
        <v>901</v>
      </c>
      <c r="H19" s="227" t="s">
        <v>902</v>
      </c>
      <c r="I19" s="227" t="s">
        <v>925</v>
      </c>
      <c r="J19" s="227" t="s">
        <v>933</v>
      </c>
      <c r="K19" s="227" t="s">
        <v>927</v>
      </c>
      <c r="L19" s="280" t="s">
        <v>915</v>
      </c>
      <c r="M19" s="227" t="s">
        <v>907</v>
      </c>
      <c r="N19" s="227" t="s">
        <v>907</v>
      </c>
      <c r="O19" s="249">
        <v>163.41</v>
      </c>
      <c r="P19" s="227" t="s">
        <v>908</v>
      </c>
      <c r="Q19" s="248">
        <v>44866</v>
      </c>
    </row>
    <row r="20" spans="1:17">
      <c r="A20" s="227">
        <v>563620</v>
      </c>
      <c r="B20" s="227" t="s">
        <v>528</v>
      </c>
      <c r="C20" s="227" t="s">
        <v>934</v>
      </c>
      <c r="D20" s="227">
        <v>23</v>
      </c>
      <c r="E20" s="227" t="s">
        <v>935</v>
      </c>
      <c r="F20" s="227" t="s">
        <v>936</v>
      </c>
      <c r="G20" s="227" t="s">
        <v>901</v>
      </c>
      <c r="H20" s="227" t="s">
        <v>902</v>
      </c>
      <c r="I20" s="227" t="s">
        <v>937</v>
      </c>
      <c r="J20" s="227" t="s">
        <v>938</v>
      </c>
      <c r="K20" s="227" t="s">
        <v>939</v>
      </c>
      <c r="L20" s="280" t="s">
        <v>915</v>
      </c>
      <c r="M20" s="227" t="s">
        <v>907</v>
      </c>
      <c r="N20" s="227" t="s">
        <v>907</v>
      </c>
      <c r="O20" s="249">
        <v>24069.29</v>
      </c>
      <c r="P20" s="227" t="s">
        <v>908</v>
      </c>
      <c r="Q20" s="248">
        <v>44986</v>
      </c>
    </row>
    <row r="21" spans="1:17">
      <c r="A21" s="227">
        <v>563620</v>
      </c>
      <c r="B21" s="227" t="s">
        <v>528</v>
      </c>
      <c r="C21" s="227" t="s">
        <v>934</v>
      </c>
      <c r="D21" s="227">
        <v>23</v>
      </c>
      <c r="E21" s="227" t="s">
        <v>940</v>
      </c>
      <c r="F21" s="227" t="s">
        <v>941</v>
      </c>
      <c r="G21" s="227" t="s">
        <v>901</v>
      </c>
      <c r="H21" s="227" t="s">
        <v>902</v>
      </c>
      <c r="I21" s="227" t="s">
        <v>942</v>
      </c>
      <c r="J21" s="227" t="s">
        <v>943</v>
      </c>
      <c r="K21" s="227" t="s">
        <v>944</v>
      </c>
      <c r="L21" s="227" t="s">
        <v>945</v>
      </c>
      <c r="M21" s="227" t="s">
        <v>907</v>
      </c>
      <c r="N21" s="227" t="s">
        <v>907</v>
      </c>
      <c r="O21" s="249">
        <v>24069.29</v>
      </c>
      <c r="Q21" s="248">
        <v>45017</v>
      </c>
    </row>
    <row r="22" spans="1:17">
      <c r="A22" s="227">
        <v>563620</v>
      </c>
      <c r="B22" s="227" t="s">
        <v>528</v>
      </c>
      <c r="C22" s="227" t="s">
        <v>946</v>
      </c>
      <c r="D22" s="227">
        <v>23</v>
      </c>
      <c r="E22" s="227" t="s">
        <v>947</v>
      </c>
      <c r="F22" s="227" t="s">
        <v>948</v>
      </c>
      <c r="G22" s="227" t="s">
        <v>901</v>
      </c>
      <c r="H22" s="227" t="s">
        <v>902</v>
      </c>
      <c r="I22" s="227" t="s">
        <v>949</v>
      </c>
      <c r="J22" s="227" t="s">
        <v>950</v>
      </c>
      <c r="K22" s="227" t="s">
        <v>951</v>
      </c>
      <c r="L22" s="227" t="s">
        <v>952</v>
      </c>
      <c r="M22" s="227" t="s">
        <v>907</v>
      </c>
      <c r="N22" s="227" t="s">
        <v>907</v>
      </c>
      <c r="O22" s="249">
        <v>24069.29</v>
      </c>
      <c r="Q22" s="248">
        <v>45047</v>
      </c>
    </row>
    <row r="23" spans="1:17">
      <c r="A23" s="227">
        <v>563620</v>
      </c>
      <c r="B23" s="227" t="s">
        <v>528</v>
      </c>
      <c r="C23" s="227" t="s">
        <v>953</v>
      </c>
      <c r="D23" s="227">
        <v>23</v>
      </c>
      <c r="E23" s="227" t="s">
        <v>954</v>
      </c>
      <c r="F23" s="227" t="s">
        <v>955</v>
      </c>
      <c r="G23" s="227" t="s">
        <v>901</v>
      </c>
      <c r="H23" s="227" t="s">
        <v>902</v>
      </c>
      <c r="I23" s="227" t="s">
        <v>903</v>
      </c>
      <c r="J23" s="227" t="s">
        <v>956</v>
      </c>
      <c r="K23" s="227" t="s">
        <v>957</v>
      </c>
      <c r="L23" s="280" t="s">
        <v>915</v>
      </c>
      <c r="M23" s="227" t="s">
        <v>907</v>
      </c>
      <c r="N23" s="227" t="s">
        <v>907</v>
      </c>
      <c r="O23" s="249">
        <v>24069.29</v>
      </c>
      <c r="P23" s="227" t="s">
        <v>908</v>
      </c>
      <c r="Q23" s="248">
        <v>45078</v>
      </c>
    </row>
    <row r="24" spans="1:17">
      <c r="A24" s="227">
        <v>563620</v>
      </c>
      <c r="B24" s="227" t="s">
        <v>528</v>
      </c>
      <c r="C24" s="227" t="s">
        <v>958</v>
      </c>
      <c r="D24" s="227">
        <v>23</v>
      </c>
      <c r="E24" s="227" t="s">
        <v>959</v>
      </c>
      <c r="F24" s="227" t="s">
        <v>960</v>
      </c>
      <c r="G24" s="227" t="s">
        <v>901</v>
      </c>
      <c r="H24" s="227" t="s">
        <v>902</v>
      </c>
      <c r="I24" s="227" t="s">
        <v>961</v>
      </c>
      <c r="J24" s="227" t="s">
        <v>962</v>
      </c>
      <c r="K24" s="227" t="s">
        <v>963</v>
      </c>
      <c r="L24" s="280" t="s">
        <v>915</v>
      </c>
      <c r="M24" s="227" t="s">
        <v>907</v>
      </c>
      <c r="N24" s="227" t="s">
        <v>907</v>
      </c>
      <c r="O24" s="249">
        <v>24069.29</v>
      </c>
      <c r="P24" s="227" t="s">
        <v>908</v>
      </c>
      <c r="Q24" s="248">
        <v>45108</v>
      </c>
    </row>
    <row r="25" spans="1:17">
      <c r="A25" s="227">
        <v>563620</v>
      </c>
      <c r="B25" s="227" t="s">
        <v>528</v>
      </c>
      <c r="C25" s="227" t="s">
        <v>964</v>
      </c>
      <c r="D25" s="227">
        <v>23</v>
      </c>
      <c r="E25" s="227" t="s">
        <v>965</v>
      </c>
      <c r="F25" s="227" t="s">
        <v>966</v>
      </c>
      <c r="G25" s="227" t="s">
        <v>901</v>
      </c>
      <c r="H25" s="227" t="s">
        <v>902</v>
      </c>
      <c r="I25" s="227" t="s">
        <v>967</v>
      </c>
      <c r="J25" s="227" t="s">
        <v>968</v>
      </c>
      <c r="K25" s="227" t="s">
        <v>969</v>
      </c>
      <c r="L25" s="227" t="s">
        <v>970</v>
      </c>
      <c r="M25" s="227" t="s">
        <v>907</v>
      </c>
      <c r="N25" s="227" t="s">
        <v>907</v>
      </c>
      <c r="O25" s="249">
        <v>24069.29</v>
      </c>
      <c r="Q25" s="248">
        <v>45170</v>
      </c>
    </row>
    <row r="26" spans="1:17">
      <c r="A26" s="227">
        <v>563620</v>
      </c>
      <c r="B26" s="227" t="s">
        <v>528</v>
      </c>
      <c r="C26" s="227" t="s">
        <v>971</v>
      </c>
      <c r="D26" s="227">
        <v>23</v>
      </c>
      <c r="E26" s="227" t="s">
        <v>972</v>
      </c>
      <c r="F26" s="227" t="s">
        <v>973</v>
      </c>
      <c r="G26" s="227" t="s">
        <v>901</v>
      </c>
      <c r="H26" s="227" t="s">
        <v>902</v>
      </c>
      <c r="I26" s="227" t="s">
        <v>974</v>
      </c>
      <c r="J26" s="227" t="s">
        <v>975</v>
      </c>
      <c r="K26" s="227" t="s">
        <v>976</v>
      </c>
      <c r="L26" s="280" t="s">
        <v>915</v>
      </c>
      <c r="M26" s="227" t="s">
        <v>907</v>
      </c>
      <c r="N26" s="227" t="s">
        <v>907</v>
      </c>
      <c r="O26" s="249">
        <v>24069.29</v>
      </c>
      <c r="P26" s="227" t="s">
        <v>908</v>
      </c>
      <c r="Q26" s="248">
        <v>45200</v>
      </c>
    </row>
    <row r="27" spans="1:17">
      <c r="A27" s="227">
        <v>563620</v>
      </c>
      <c r="B27" s="227" t="s">
        <v>528</v>
      </c>
      <c r="C27" s="227" t="s">
        <v>971</v>
      </c>
      <c r="D27" s="227">
        <v>23</v>
      </c>
      <c r="E27" s="227" t="s">
        <v>977</v>
      </c>
      <c r="F27" s="227" t="s">
        <v>978</v>
      </c>
      <c r="G27" s="227" t="s">
        <v>901</v>
      </c>
      <c r="H27" s="227" t="s">
        <v>902</v>
      </c>
      <c r="I27" s="227" t="s">
        <v>903</v>
      </c>
      <c r="J27" s="227" t="s">
        <v>979</v>
      </c>
      <c r="K27" s="227" t="s">
        <v>980</v>
      </c>
      <c r="L27" s="280" t="s">
        <v>915</v>
      </c>
      <c r="M27" s="227" t="s">
        <v>907</v>
      </c>
      <c r="N27" s="227" t="s">
        <v>907</v>
      </c>
      <c r="O27" s="249">
        <v>24069.29</v>
      </c>
      <c r="P27" s="227" t="s">
        <v>908</v>
      </c>
      <c r="Q27" s="248">
        <v>45231</v>
      </c>
    </row>
    <row r="28" spans="1:17">
      <c r="A28" s="227">
        <v>563620</v>
      </c>
      <c r="B28" s="227" t="s">
        <v>528</v>
      </c>
      <c r="C28" s="227" t="s">
        <v>981</v>
      </c>
      <c r="D28" s="227">
        <v>23</v>
      </c>
      <c r="E28" s="227" t="s">
        <v>982</v>
      </c>
      <c r="F28" s="227" t="s">
        <v>983</v>
      </c>
      <c r="G28" s="227" t="s">
        <v>901</v>
      </c>
      <c r="H28" s="227" t="s">
        <v>984</v>
      </c>
      <c r="I28" s="227" t="s">
        <v>903</v>
      </c>
      <c r="J28" s="227" t="s">
        <v>985</v>
      </c>
      <c r="K28" s="227" t="s">
        <v>986</v>
      </c>
      <c r="L28" s="280" t="s">
        <v>987</v>
      </c>
      <c r="M28" s="227" t="s">
        <v>988</v>
      </c>
      <c r="N28" s="227" t="s">
        <v>988</v>
      </c>
      <c r="O28" s="232">
        <v>24069.29</v>
      </c>
      <c r="P28" s="227" t="s">
        <v>908</v>
      </c>
    </row>
    <row r="29" spans="1:17">
      <c r="O29" s="232">
        <f>SUM(O10:O28)</f>
        <v>312900.77</v>
      </c>
    </row>
    <row r="30" spans="1:17">
      <c r="A30" s="488" t="s">
        <v>989</v>
      </c>
      <c r="B30" s="489"/>
    </row>
    <row r="31" spans="1:17" ht="31.5">
      <c r="A31" s="5" t="s">
        <v>887</v>
      </c>
      <c r="B31" s="114" t="s">
        <v>990</v>
      </c>
    </row>
    <row r="32" spans="1:17">
      <c r="A32">
        <v>2023</v>
      </c>
      <c r="B32" s="24">
        <v>288832</v>
      </c>
      <c r="C32" s="24"/>
      <c r="L32" s="280" t="s">
        <v>906</v>
      </c>
      <c r="O32" s="141">
        <v>216624</v>
      </c>
    </row>
    <row r="33" spans="1:15">
      <c r="A33">
        <v>2024</v>
      </c>
      <c r="B33" s="24">
        <v>393110</v>
      </c>
      <c r="C33" s="24"/>
      <c r="D33" s="141"/>
      <c r="L33" s="280" t="s">
        <v>987</v>
      </c>
    </row>
    <row r="34" spans="1:15">
      <c r="A34">
        <v>2025</v>
      </c>
      <c r="B34" s="24">
        <v>393110</v>
      </c>
      <c r="C34" s="24"/>
      <c r="L34" s="280" t="s">
        <v>987</v>
      </c>
    </row>
    <row r="35" spans="1:15">
      <c r="A35">
        <v>2026</v>
      </c>
      <c r="B35" s="24">
        <v>393110</v>
      </c>
      <c r="C35" s="24"/>
    </row>
    <row r="36" spans="1:15">
      <c r="A36">
        <v>2027</v>
      </c>
      <c r="B36" s="24">
        <v>393110</v>
      </c>
      <c r="C36" s="24"/>
    </row>
    <row r="37" spans="1:15">
      <c r="L37" s="227" t="s">
        <v>922</v>
      </c>
    </row>
    <row r="38" spans="1:15">
      <c r="L38" s="227" t="s">
        <v>945</v>
      </c>
    </row>
    <row r="39" spans="1:15">
      <c r="L39" s="227" t="s">
        <v>952</v>
      </c>
    </row>
    <row r="40" spans="1:15">
      <c r="L40" s="227" t="s">
        <v>970</v>
      </c>
    </row>
    <row r="41" spans="1:15">
      <c r="O41" s="141">
        <f>O32-O29</f>
        <v>-96276.770000000019</v>
      </c>
    </row>
  </sheetData>
  <mergeCells count="4">
    <mergeCell ref="A30:B30"/>
    <mergeCell ref="A4:Q4"/>
    <mergeCell ref="A5:Q5"/>
    <mergeCell ref="A7:Q7"/>
  </mergeCells>
  <pageMargins left="0.7" right="0.7" top="0.75" bottom="0.75" header="0.3" footer="0.3"/>
  <pageSetup scale="4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3"/>
  </sheetPr>
  <dimension ref="A1:I72"/>
  <sheetViews>
    <sheetView topLeftCell="A2" zoomScale="115" zoomScaleNormal="115" workbookViewId="0">
      <selection activeCell="A25" sqref="A25"/>
    </sheetView>
  </sheetViews>
  <sheetFormatPr defaultRowHeight="15.75"/>
  <cols>
    <col min="1" max="1" width="25.375" customWidth="1"/>
    <col min="2" max="2" width="1.25" customWidth="1"/>
    <col min="3" max="3" width="19.5" customWidth="1"/>
    <col min="4" max="4" width="1.625" customWidth="1"/>
    <col min="5" max="5" width="17.25" customWidth="1"/>
    <col min="6" max="6" width="1.625" customWidth="1"/>
    <col min="7" max="7" width="13" customWidth="1"/>
    <col min="8" max="8" width="1.375" customWidth="1"/>
    <col min="9" max="9" width="12" customWidth="1"/>
  </cols>
  <sheetData>
    <row r="1" spans="1:9" ht="20.25">
      <c r="A1" s="9" t="s">
        <v>991</v>
      </c>
    </row>
    <row r="2" spans="1:9" ht="18.75">
      <c r="A2" s="10" t="s">
        <v>992</v>
      </c>
      <c r="E2" s="19" t="s">
        <v>993</v>
      </c>
    </row>
    <row r="3" spans="1:9" ht="18.75">
      <c r="A3" s="10"/>
      <c r="E3" s="20" t="s">
        <v>994</v>
      </c>
    </row>
    <row r="4" spans="1:9" ht="18.75">
      <c r="A4" s="10"/>
    </row>
    <row r="5" spans="1:9">
      <c r="A5" s="7" t="s">
        <v>995</v>
      </c>
      <c r="C5" s="49" t="s">
        <v>996</v>
      </c>
    </row>
    <row r="6" spans="1:9">
      <c r="A6" s="7" t="s">
        <v>997</v>
      </c>
      <c r="C6" s="49">
        <v>46171</v>
      </c>
    </row>
    <row r="7" spans="1:9">
      <c r="A7" s="7"/>
    </row>
    <row r="8" spans="1:9">
      <c r="A8" s="7" t="s">
        <v>998</v>
      </c>
      <c r="C8" s="217" t="s">
        <v>999</v>
      </c>
      <c r="E8" s="19">
        <v>2023</v>
      </c>
      <c r="G8" s="442"/>
      <c r="H8" s="442"/>
      <c r="I8" s="442"/>
    </row>
    <row r="9" spans="1:9">
      <c r="A9" s="7"/>
      <c r="C9" s="218">
        <v>45291</v>
      </c>
      <c r="G9" s="442"/>
      <c r="H9" s="442"/>
      <c r="I9" s="442"/>
    </row>
    <row r="10" spans="1:9">
      <c r="A10" s="7"/>
      <c r="G10" s="442"/>
      <c r="H10" s="442"/>
      <c r="I10" s="442"/>
    </row>
    <row r="11" spans="1:9">
      <c r="A11" s="7" t="s">
        <v>1000</v>
      </c>
      <c r="C11" s="67" t="s">
        <v>1001</v>
      </c>
    </row>
    <row r="12" spans="1:9">
      <c r="A12" s="7"/>
      <c r="C12" s="450"/>
    </row>
    <row r="13" spans="1:9" s="60" customFormat="1">
      <c r="A13" s="59" t="s">
        <v>1002</v>
      </c>
      <c r="C13" s="451">
        <v>1.5E-3</v>
      </c>
      <c r="E13" s="60" t="s">
        <v>1003</v>
      </c>
      <c r="G13" s="60" t="s">
        <v>1004</v>
      </c>
    </row>
    <row r="14" spans="1:9">
      <c r="A14" s="7"/>
      <c r="C14" s="450"/>
    </row>
    <row r="15" spans="1:9">
      <c r="A15" s="7" t="s">
        <v>1005</v>
      </c>
      <c r="C15" s="379">
        <v>1</v>
      </c>
      <c r="E15" t="s">
        <v>1006</v>
      </c>
    </row>
    <row r="16" spans="1:9">
      <c r="A16" s="7"/>
      <c r="C16" s="450"/>
      <c r="E16">
        <v>1</v>
      </c>
      <c r="G16" t="s">
        <v>364</v>
      </c>
    </row>
    <row r="17" spans="1:9">
      <c r="A17" s="7"/>
      <c r="C17" s="450"/>
      <c r="E17">
        <v>2</v>
      </c>
      <c r="G17" t="s">
        <v>201</v>
      </c>
    </row>
    <row r="18" spans="1:9" ht="16.5" thickBot="1">
      <c r="A18" s="7"/>
      <c r="C18" s="450"/>
    </row>
    <row r="19" spans="1:9">
      <c r="A19" s="7"/>
      <c r="E19" s="17" t="s">
        <v>1007</v>
      </c>
      <c r="F19" s="28"/>
      <c r="G19" s="34"/>
      <c r="H19" s="34"/>
      <c r="I19" s="18"/>
    </row>
    <row r="20" spans="1:9">
      <c r="A20" s="7" t="s">
        <v>1008</v>
      </c>
      <c r="C20" s="19">
        <v>2</v>
      </c>
      <c r="E20" s="30"/>
      <c r="G20" s="5" t="s">
        <v>1009</v>
      </c>
      <c r="H20" s="442"/>
      <c r="I20" s="35" t="s">
        <v>1010</v>
      </c>
    </row>
    <row r="21" spans="1:9">
      <c r="A21" s="7"/>
      <c r="E21" s="30" t="s">
        <v>1011</v>
      </c>
      <c r="G21" s="36">
        <v>0.02</v>
      </c>
      <c r="H21" s="36"/>
      <c r="I21" s="37">
        <v>2.5000000000000001E-2</v>
      </c>
    </row>
    <row r="22" spans="1:9" ht="16.5" thickBot="1">
      <c r="A22" s="7"/>
      <c r="E22" s="31" t="s">
        <v>1012</v>
      </c>
      <c r="F22" s="32"/>
      <c r="G22" s="38">
        <v>1.7000000000000001E-2</v>
      </c>
      <c r="H22" s="38"/>
      <c r="I22" s="39">
        <v>2.1999999999999999E-2</v>
      </c>
    </row>
    <row r="23" spans="1:9">
      <c r="A23" s="7" t="s">
        <v>1013</v>
      </c>
      <c r="C23" s="19"/>
    </row>
    <row r="24" spans="1:9">
      <c r="A24" s="7"/>
      <c r="G24" t="s">
        <v>1014</v>
      </c>
    </row>
    <row r="25" spans="1:9">
      <c r="A25" s="7" t="s">
        <v>1015</v>
      </c>
      <c r="C25" s="19">
        <v>2</v>
      </c>
      <c r="E25" s="40"/>
      <c r="G25">
        <v>1</v>
      </c>
      <c r="I25" t="s">
        <v>1016</v>
      </c>
    </row>
    <row r="26" spans="1:9">
      <c r="A26" s="7" t="s">
        <v>1017</v>
      </c>
      <c r="E26" s="40">
        <f>('Sch 12 - Tariff'!F29*5)+('Sch 12 - Tariff'!F30*0.34722)+'Sch 12 - Tariff'!F60</f>
        <v>24.330480860000002</v>
      </c>
      <c r="G26">
        <v>2</v>
      </c>
      <c r="I26" t="s">
        <v>1018</v>
      </c>
    </row>
    <row r="27" spans="1:9">
      <c r="A27" s="7"/>
    </row>
    <row r="28" spans="1:9">
      <c r="A28" s="7" t="s">
        <v>1019</v>
      </c>
      <c r="C28" s="21">
        <f>IF('Sch 3 - IS'!F36=0,0,ROUND('Sch 3 - IS'!F36/'Sch 3 - IS'!F22,5))</f>
        <v>9.9699999999999997E-3</v>
      </c>
      <c r="E28" s="7" t="s">
        <v>1020</v>
      </c>
    </row>
    <row r="29" spans="1:9">
      <c r="A29" s="7"/>
    </row>
    <row r="30" spans="1:9">
      <c r="A30" s="7"/>
    </row>
    <row r="31" spans="1:9">
      <c r="A31" s="7"/>
    </row>
    <row r="32" spans="1:9" s="23" customFormat="1" ht="8.25" customHeight="1">
      <c r="A32" s="22"/>
    </row>
    <row r="33" spans="1:7">
      <c r="A33" s="7"/>
    </row>
    <row r="34" spans="1:7">
      <c r="A34" s="7"/>
      <c r="C34" s="24"/>
      <c r="D34" s="24"/>
      <c r="E34" s="24"/>
      <c r="F34" s="24"/>
      <c r="G34" s="24"/>
    </row>
    <row r="35" spans="1:7">
      <c r="A35" s="7"/>
      <c r="C35" s="24"/>
      <c r="D35" s="24"/>
      <c r="E35" s="24"/>
      <c r="F35" s="24"/>
      <c r="G35" s="24"/>
    </row>
    <row r="36" spans="1:7">
      <c r="A36" s="7"/>
      <c r="C36" s="24"/>
      <c r="D36" s="24"/>
      <c r="E36" s="24"/>
      <c r="F36" s="24"/>
      <c r="G36" s="24"/>
    </row>
    <row r="37" spans="1:7">
      <c r="A37" s="7"/>
      <c r="C37" s="24"/>
      <c r="D37" s="24"/>
      <c r="E37" s="24"/>
      <c r="F37" s="24"/>
      <c r="G37" s="24"/>
    </row>
    <row r="38" spans="1:7">
      <c r="A38" s="7"/>
      <c r="C38" s="24"/>
      <c r="D38" s="24"/>
      <c r="E38" s="24"/>
      <c r="F38" s="24"/>
      <c r="G38" s="24"/>
    </row>
    <row r="39" spans="1:7">
      <c r="A39" s="7"/>
      <c r="C39" s="24"/>
      <c r="D39" s="24"/>
      <c r="E39" s="24"/>
      <c r="F39" s="24"/>
      <c r="G39" s="24"/>
    </row>
    <row r="40" spans="1:7">
      <c r="A40" s="7"/>
      <c r="C40" s="24"/>
      <c r="D40" s="24"/>
      <c r="E40" s="24"/>
      <c r="F40" s="24"/>
      <c r="G40" s="24"/>
    </row>
    <row r="41" spans="1:7">
      <c r="A41" s="7"/>
      <c r="C41" s="24"/>
      <c r="D41" s="24"/>
      <c r="E41" s="24"/>
      <c r="F41" s="24"/>
      <c r="G41" s="24"/>
    </row>
    <row r="42" spans="1:7">
      <c r="A42" s="7"/>
      <c r="C42" s="24"/>
      <c r="D42" s="24"/>
      <c r="E42" s="24"/>
      <c r="F42" s="24"/>
      <c r="G42" s="24"/>
    </row>
    <row r="43" spans="1:7">
      <c r="A43" s="7"/>
      <c r="C43" s="24"/>
      <c r="D43" s="24"/>
      <c r="E43" s="24"/>
      <c r="F43" s="24"/>
      <c r="G43" s="24"/>
    </row>
    <row r="44" spans="1:7">
      <c r="A44" s="7"/>
      <c r="C44" s="24"/>
      <c r="D44" s="24"/>
      <c r="E44" s="24"/>
      <c r="F44" s="24"/>
      <c r="G44" s="24"/>
    </row>
    <row r="45" spans="1:7">
      <c r="A45" s="7"/>
      <c r="C45" s="24"/>
      <c r="D45" s="24"/>
      <c r="E45" s="24"/>
      <c r="F45" s="24"/>
      <c r="G45" s="24"/>
    </row>
    <row r="46" spans="1:7">
      <c r="A46" s="7"/>
      <c r="C46" s="24"/>
      <c r="D46" s="24"/>
      <c r="E46" s="24"/>
      <c r="F46" s="24"/>
      <c r="G46" s="24"/>
    </row>
    <row r="47" spans="1:7">
      <c r="A47" s="7"/>
      <c r="C47" s="24"/>
      <c r="D47" s="24"/>
      <c r="E47" s="24"/>
      <c r="F47" s="24"/>
      <c r="G47" s="24"/>
    </row>
    <row r="48" spans="1:7">
      <c r="A48" s="7"/>
      <c r="C48" s="24"/>
      <c r="D48" s="24"/>
      <c r="E48" s="24"/>
      <c r="F48" s="24"/>
      <c r="G48" s="24"/>
    </row>
    <row r="49" spans="1:7">
      <c r="A49" s="7"/>
      <c r="C49" s="24"/>
      <c r="D49" s="24"/>
      <c r="E49" s="24"/>
      <c r="F49" s="24"/>
      <c r="G49" s="24"/>
    </row>
    <row r="50" spans="1:7">
      <c r="A50" s="7"/>
      <c r="C50" s="24"/>
      <c r="D50" s="24"/>
      <c r="E50" s="24"/>
      <c r="F50" s="24"/>
      <c r="G50" s="24"/>
    </row>
    <row r="51" spans="1:7">
      <c r="A51" s="7"/>
      <c r="C51" s="24"/>
      <c r="D51" s="24"/>
      <c r="E51" s="24"/>
      <c r="F51" s="24"/>
      <c r="G51" s="24"/>
    </row>
    <row r="52" spans="1:7">
      <c r="A52" s="7"/>
      <c r="C52" s="24"/>
      <c r="D52" s="24"/>
      <c r="E52" s="24"/>
      <c r="F52" s="24"/>
      <c r="G52" s="24"/>
    </row>
    <row r="53" spans="1:7">
      <c r="A53" s="7"/>
      <c r="C53" s="24"/>
      <c r="D53" s="24"/>
      <c r="E53" s="24"/>
      <c r="F53" s="24"/>
      <c r="G53" s="24"/>
    </row>
    <row r="54" spans="1:7">
      <c r="A54" s="7"/>
      <c r="C54" s="24"/>
      <c r="D54" s="24"/>
      <c r="E54" s="24"/>
      <c r="F54" s="24"/>
      <c r="G54" s="24"/>
    </row>
    <row r="55" spans="1:7">
      <c r="A55" s="7"/>
      <c r="C55" s="24"/>
      <c r="D55" s="24"/>
      <c r="E55" s="24"/>
      <c r="F55" s="24"/>
      <c r="G55" s="24"/>
    </row>
    <row r="56" spans="1:7">
      <c r="A56" s="7"/>
      <c r="C56" s="24"/>
      <c r="D56" s="24"/>
      <c r="E56" s="24"/>
      <c r="F56" s="24"/>
      <c r="G56" s="24"/>
    </row>
    <row r="57" spans="1:7">
      <c r="A57" s="7"/>
      <c r="C57" s="24"/>
      <c r="D57" s="24"/>
      <c r="E57" s="24"/>
      <c r="F57" s="24"/>
      <c r="G57" s="24"/>
    </row>
    <row r="58" spans="1:7">
      <c r="A58" s="7"/>
      <c r="C58" s="24"/>
      <c r="D58" s="24"/>
      <c r="E58" s="24"/>
      <c r="F58" s="24"/>
      <c r="G58" s="24"/>
    </row>
    <row r="59" spans="1:7">
      <c r="A59" s="7"/>
      <c r="C59" s="24"/>
      <c r="D59" s="24"/>
      <c r="E59" s="24"/>
      <c r="F59" s="24"/>
      <c r="G59" s="24"/>
    </row>
    <row r="60" spans="1:7">
      <c r="A60" s="7"/>
      <c r="C60" s="24"/>
      <c r="D60" s="24"/>
      <c r="E60" s="24"/>
      <c r="F60" s="24"/>
      <c r="G60" s="24"/>
    </row>
    <row r="61" spans="1:7">
      <c r="A61" s="7"/>
      <c r="C61" s="24"/>
      <c r="D61" s="24"/>
      <c r="E61" s="24"/>
      <c r="F61" s="24"/>
      <c r="G61" s="24"/>
    </row>
    <row r="62" spans="1:7">
      <c r="A62" s="7"/>
      <c r="C62" s="24"/>
      <c r="D62" s="24"/>
      <c r="E62" s="24"/>
      <c r="F62" s="24"/>
      <c r="G62" s="24"/>
    </row>
    <row r="63" spans="1:7">
      <c r="A63" s="7"/>
      <c r="C63" s="24"/>
      <c r="D63" s="24"/>
      <c r="E63" s="24"/>
      <c r="F63" s="24"/>
      <c r="G63" s="24"/>
    </row>
    <row r="64" spans="1:7">
      <c r="C64" s="24"/>
      <c r="D64" s="24"/>
      <c r="E64" s="24"/>
      <c r="F64" s="24"/>
      <c r="G64" s="24"/>
    </row>
    <row r="65" spans="3:7">
      <c r="C65" s="24"/>
      <c r="D65" s="24"/>
      <c r="E65" s="24"/>
      <c r="F65" s="24"/>
      <c r="G65" s="24"/>
    </row>
    <row r="66" spans="3:7">
      <c r="C66" s="24"/>
      <c r="D66" s="24"/>
      <c r="E66" s="24"/>
      <c r="F66" s="24"/>
      <c r="G66" s="24"/>
    </row>
    <row r="67" spans="3:7">
      <c r="C67" s="24"/>
      <c r="D67" s="24"/>
      <c r="E67" s="24"/>
      <c r="F67" s="24"/>
      <c r="G67" s="24"/>
    </row>
    <row r="68" spans="3:7">
      <c r="C68" s="24"/>
      <c r="D68" s="24"/>
      <c r="E68" s="24"/>
      <c r="F68" s="24"/>
      <c r="G68" s="24"/>
    </row>
    <row r="69" spans="3:7">
      <c r="C69" s="24"/>
      <c r="D69" s="24"/>
      <c r="E69" s="24"/>
      <c r="F69" s="24"/>
      <c r="G69" s="24"/>
    </row>
    <row r="70" spans="3:7">
      <c r="C70" s="24"/>
      <c r="D70" s="24"/>
      <c r="E70" s="24"/>
      <c r="F70" s="24"/>
      <c r="G70" s="24"/>
    </row>
    <row r="71" spans="3:7">
      <c r="C71" s="24"/>
      <c r="D71" s="24"/>
      <c r="E71" s="24"/>
      <c r="F71" s="24"/>
      <c r="G71" s="24"/>
    </row>
    <row r="72" spans="3:7">
      <c r="C72" s="24"/>
      <c r="D72" s="24"/>
      <c r="E72" s="24"/>
      <c r="F72" s="24"/>
      <c r="G72" s="24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362B78-C8C0-4ED4-BC8C-11F26C38B37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db5066c-6899-482b-9ea0-5145f9da9989"/>
    <ds:schemaRef ds:uri="7558938a-8a22-4524-afb0-58b165029303"/>
  </ds:schemaRefs>
</ds:datastoreItem>
</file>

<file path=customXml/itemProps2.xml><?xml version="1.0" encoding="utf-8"?>
<ds:datastoreItem xmlns:ds="http://schemas.openxmlformats.org/officeDocument/2006/customXml" ds:itemID="{65112AFD-D251-4615-AC2F-63BA72B5407A}"/>
</file>

<file path=customXml/itemProps3.xml><?xml version="1.0" encoding="utf-8"?>
<ds:datastoreItem xmlns:ds="http://schemas.openxmlformats.org/officeDocument/2006/customXml" ds:itemID="{8F2DC6B3-B409-4F55-B6CD-B9FB649CD4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Cover Page</vt:lpstr>
      <vt:lpstr>Sch 1 - Overall</vt:lpstr>
      <vt:lpstr>Sch 1 - Phased</vt:lpstr>
      <vt:lpstr>Sch 1 - REcon of IS Adj.</vt:lpstr>
      <vt:lpstr>Sch 2 - BS</vt:lpstr>
      <vt:lpstr>Sch 3 - IS</vt:lpstr>
      <vt:lpstr>Sch 4 PF IS</vt:lpstr>
      <vt:lpstr>Sch 5 - Inc Adj</vt:lpstr>
      <vt:lpstr>Sch 6 - Exp Adj</vt:lpstr>
      <vt:lpstr>Sch 7 - E&amp;R</vt:lpstr>
      <vt:lpstr>Sch 8 - PILT</vt:lpstr>
      <vt:lpstr>Sch 9 - Working Captial</vt:lpstr>
      <vt:lpstr>Sch 10 - Debt Service</vt:lpstr>
      <vt:lpstr>Sch 11 - Debt Service Reserve</vt:lpstr>
      <vt:lpstr>Sch 12 - Tariff</vt:lpstr>
      <vt:lpstr>Workpapers</vt:lpstr>
      <vt:lpstr>WP-2 Rev Req Comp</vt:lpstr>
      <vt:lpstr>WP-3 IS TB Map</vt:lpstr>
      <vt:lpstr>WP-4 Salaries &amp; Wages Expense</vt:lpstr>
      <vt:lpstr>WP-5 Payroll Data</vt:lpstr>
      <vt:lpstr>WP-6 2024 Salaries $ Wages</vt:lpstr>
      <vt:lpstr>WP-7 Tank Maint</vt:lpstr>
      <vt:lpstr>Inputs</vt:lpstr>
      <vt:lpstr>'Sch 1 - Overall'!Print_Area</vt:lpstr>
      <vt:lpstr>'Sch 1 - Phased'!Print_Area</vt:lpstr>
      <vt:lpstr>'Sch 1 - REcon of IS Adj.'!Print_Area</vt:lpstr>
      <vt:lpstr>'Sch 10 - Debt Service'!Print_Area</vt:lpstr>
      <vt:lpstr>'Sch 11 - Debt Service Reserve'!Print_Area</vt:lpstr>
      <vt:lpstr>'Sch 12 - Tariff'!Print_Area</vt:lpstr>
      <vt:lpstr>'Sch 2 - BS'!Print_Area</vt:lpstr>
      <vt:lpstr>'Sch 3 - IS'!Print_Area</vt:lpstr>
      <vt:lpstr>'Sch 4 PF IS'!Print_Area</vt:lpstr>
      <vt:lpstr>'Sch 5 - Inc Adj'!Print_Area</vt:lpstr>
      <vt:lpstr>'Sch 6 - Exp Adj'!Print_Area</vt:lpstr>
      <vt:lpstr>'Sch 7 - E&amp;R'!Print_Area</vt:lpstr>
      <vt:lpstr>'Sch 8 - PILT'!Print_Area</vt:lpstr>
      <vt:lpstr>'Sch 9 - Working Captial'!Print_Area</vt:lpstr>
      <vt:lpstr>'WP-3 IS TB Map'!Print_Area</vt:lpstr>
      <vt:lpstr>'WP-4 Salaries &amp; Wages Expense'!Print_Area</vt:lpstr>
      <vt:lpstr>'WP-5 Payroll Data'!Print_Area</vt:lpstr>
      <vt:lpstr>'WP-6 2024 Salaries $ Wages'!Print_Area</vt:lpstr>
    </vt:vector>
  </TitlesOfParts>
  <Manager/>
  <Company>State of Indiana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Indiana</dc:creator>
  <cp:keywords/>
  <dc:description/>
  <cp:lastModifiedBy>Bruce, Carla</cp:lastModifiedBy>
  <cp:revision/>
  <dcterms:created xsi:type="dcterms:W3CDTF">2006-03-07T16:03:17Z</dcterms:created>
  <dcterms:modified xsi:type="dcterms:W3CDTF">2025-04-07T20:07:31Z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{6E711800-C5E7-44F9-9BF3-053C779D0A13}</vt:lpwstr>
  </property>
  <property fmtid="{D5CDD505-2E9C-101B-9397-08002B2CF9AE}" pid="3" name="ContentTypeId">
    <vt:lpwstr>0x01010017F62C1BAB7D1B4998D0BFFEC59B8AD2</vt:lpwstr>
  </property>
  <property fmtid="{D5CDD505-2E9C-101B-9397-08002B2CF9AE}" pid="4" name="MediaServiceImageTags">
    <vt:lpwstr/>
  </property>
</Properties>
</file>